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<sst xmlns="http://schemas.openxmlformats.org/spreadsheetml/2006/main" count="1558" uniqueCount="81">
  <si>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</si>
  <si>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</si>
  <si>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</si>
  <si>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</si>
  <si>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</si>
  <si>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</si>
  <si>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</si>
  <si>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</si>
  <si>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</si>
  <si>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</si>
  <si>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</si>
  <si>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</si>
  <si>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</si>
  <si>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</si>
  <si>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</si>
  <si>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</si>
  <si>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4.1</t>
  </si>
  <si>
    <t>日経225先物</t>
  </si>
  <si>
    <t>Nikkei 225 Futures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</si>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</sst>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66816</f>
        <v>66816.0</v>
      </c>
      <c r="F6" s="10"/>
      <c r="G6" s="2" t="n">
        <f>1847099873180</f>
        <v>1.84709987318E12</v>
      </c>
      <c r="H6" s="10"/>
      <c r="I6" s="2" t="n">
        <f>8511</f>
        <v>8511.0</v>
      </c>
      <c r="J6" s="10"/>
      <c r="K6" s="2" t="n">
        <f>277506</f>
        <v>277506.0</v>
      </c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 t="n">
        <f>48169</f>
        <v>48169.0</v>
      </c>
      <c r="F9" s="10"/>
      <c r="G9" s="2" t="n">
        <f>1333974945120</f>
        <v>1.33397494512E12</v>
      </c>
      <c r="H9" s="10"/>
      <c r="I9" s="2" t="n">
        <f>8103</f>
        <v>8103.0</v>
      </c>
      <c r="J9" s="10"/>
      <c r="K9" s="2" t="n">
        <f>279271</f>
        <v>279271.0</v>
      </c>
    </row>
    <row r="10">
      <c r="A10" s="8" t="s">
        <v>22</v>
      </c>
      <c r="B10" s="9" t="s">
        <v>17</v>
      </c>
      <c r="C10" s="9" t="s">
        <v>18</v>
      </c>
      <c r="D10" s="10"/>
      <c r="E10" s="2" t="n">
        <f>47932</f>
        <v>47932.0</v>
      </c>
      <c r="F10" s="10"/>
      <c r="G10" s="2" t="n">
        <f>1331197050720</f>
        <v>1.33119705072E12</v>
      </c>
      <c r="H10" s="10" t="s">
        <v>23</v>
      </c>
      <c r="I10" s="2" t="n">
        <f>4878</f>
        <v>4878.0</v>
      </c>
      <c r="J10" s="10"/>
      <c r="K10" s="2" t="n">
        <f>277323</f>
        <v>277323.0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68464</f>
        <v>68464.0</v>
      </c>
      <c r="F11" s="10"/>
      <c r="G11" s="2" t="n">
        <f>1878623084950</f>
        <v>1.87862308495E12</v>
      </c>
      <c r="H11" s="10"/>
      <c r="I11" s="2" t="n">
        <f>7834</f>
        <v>7834.0</v>
      </c>
      <c r="J11" s="10"/>
      <c r="K11" s="2" t="n">
        <f>277739</f>
        <v>277739.0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76935</f>
        <v>76935.0</v>
      </c>
      <c r="F12" s="10"/>
      <c r="G12" s="2" t="n">
        <f>2073918152600</f>
        <v>2.0739181526E12</v>
      </c>
      <c r="H12" s="10"/>
      <c r="I12" s="2" t="n">
        <f>10023</f>
        <v>10023.0</v>
      </c>
      <c r="J12" s="10"/>
      <c r="K12" s="2" t="n">
        <f>277064</f>
        <v>277064.0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74420</f>
        <v>74420.0</v>
      </c>
      <c r="F13" s="10"/>
      <c r="G13" s="2" t="n">
        <f>2007772455840</f>
        <v>2.00777245584E12</v>
      </c>
      <c r="H13" s="10"/>
      <c r="I13" s="2" t="n">
        <f>9223</f>
        <v>9223.0</v>
      </c>
      <c r="J13" s="10"/>
      <c r="K13" s="2" t="n">
        <f>277775</f>
        <v>277775.0</v>
      </c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 t="n">
        <f>56925</f>
        <v>56925.0</v>
      </c>
      <c r="F16" s="10"/>
      <c r="G16" s="2" t="n">
        <f>1531625266350</f>
        <v>1.53162526635E12</v>
      </c>
      <c r="H16" s="10"/>
      <c r="I16" s="2" t="n">
        <f>7419</f>
        <v>7419.0</v>
      </c>
      <c r="J16" s="10" t="s">
        <v>23</v>
      </c>
      <c r="K16" s="2" t="n">
        <f>276921</f>
        <v>276921.0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78417</f>
        <v>78417.0</v>
      </c>
      <c r="F17" s="10"/>
      <c r="G17" s="2" t="n">
        <f>2080306997510</f>
        <v>2.08030699751E12</v>
      </c>
      <c r="H17" s="10" t="s">
        <v>31</v>
      </c>
      <c r="I17" s="2" t="n">
        <f>10909</f>
        <v>10909.0</v>
      </c>
      <c r="J17" s="10"/>
      <c r="K17" s="2" t="n">
        <f>282629</f>
        <v>282629.0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87106</f>
        <v>87106.0</v>
      </c>
      <c r="F18" s="10"/>
      <c r="G18" s="2" t="n">
        <f>2319659259560</f>
        <v>2.31965925956E12</v>
      </c>
      <c r="H18" s="10"/>
      <c r="I18" s="2" t="n">
        <f>10249</f>
        <v>10249.0</v>
      </c>
      <c r="J18" s="10"/>
      <c r="K18" s="2" t="n">
        <f>283217</f>
        <v>283217.0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65505</f>
        <v>65505.0</v>
      </c>
      <c r="F19" s="10"/>
      <c r="G19" s="2" t="n">
        <f>1768189591250</f>
        <v>1.76818959125E12</v>
      </c>
      <c r="H19" s="10"/>
      <c r="I19" s="2" t="n">
        <f>8752</f>
        <v>8752.0</v>
      </c>
      <c r="J19" s="10"/>
      <c r="K19" s="2" t="n">
        <f>284010</f>
        <v>284010.0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55785</f>
        <v>55785.0</v>
      </c>
      <c r="F20" s="10"/>
      <c r="G20" s="2" t="n">
        <f>1508571999190</f>
        <v>1.50857199919E12</v>
      </c>
      <c r="H20" s="10"/>
      <c r="I20" s="2" t="n">
        <f>7219</f>
        <v>7219.0</v>
      </c>
      <c r="J20" s="10"/>
      <c r="K20" s="2" t="n">
        <f>283501</f>
        <v>283501.0</v>
      </c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 t="s">
        <v>23</v>
      </c>
      <c r="E23" s="2" t="n">
        <f>40078</f>
        <v>40078.0</v>
      </c>
      <c r="F23" s="10" t="s">
        <v>23</v>
      </c>
      <c r="G23" s="2" t="n">
        <f>1070555342860</f>
        <v>1.07055534286E12</v>
      </c>
      <c r="H23" s="10"/>
      <c r="I23" s="2" t="n">
        <f>5692</f>
        <v>5692.0</v>
      </c>
      <c r="J23" s="10"/>
      <c r="K23" s="2" t="n">
        <f>283328</f>
        <v>283328.0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64481</f>
        <v>64481.0</v>
      </c>
      <c r="F24" s="10"/>
      <c r="G24" s="2" t="n">
        <f>1735129656050</f>
        <v>1.73512965605E12</v>
      </c>
      <c r="H24" s="10"/>
      <c r="I24" s="2" t="n">
        <f>7427</f>
        <v>7427.0</v>
      </c>
      <c r="J24" s="10"/>
      <c r="K24" s="2" t="n">
        <f>286115</f>
        <v>286115.0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64416</f>
        <v>64416.0</v>
      </c>
      <c r="F25" s="10"/>
      <c r="G25" s="2" t="n">
        <f>1748802021390</f>
        <v>1.74880202139E12</v>
      </c>
      <c r="H25" s="10"/>
      <c r="I25" s="2" t="n">
        <f>5229</f>
        <v>5229.0</v>
      </c>
      <c r="J25" s="10"/>
      <c r="K25" s="2" t="n">
        <f>286615</f>
        <v>286615.0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55179</f>
        <v>55179.0</v>
      </c>
      <c r="F26" s="10"/>
      <c r="G26" s="2" t="n">
        <f>1511997445400</f>
        <v>1.5119974454E12</v>
      </c>
      <c r="H26" s="10"/>
      <c r="I26" s="2" t="n">
        <f>5977</f>
        <v>5977.0</v>
      </c>
      <c r="J26" s="10"/>
      <c r="K26" s="2" t="n">
        <f>286968</f>
        <v>286968.0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77957</f>
        <v>77957.0</v>
      </c>
      <c r="F27" s="10"/>
      <c r="G27" s="2" t="n">
        <f>2117735508996</f>
        <v>2.117735508996E12</v>
      </c>
      <c r="H27" s="10"/>
      <c r="I27" s="2" t="n">
        <f>7137</f>
        <v>7137.0</v>
      </c>
      <c r="J27" s="10"/>
      <c r="K27" s="2" t="n">
        <f>284921</f>
        <v>284921.0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 t="n">
        <f>102179</f>
        <v>102179.0</v>
      </c>
      <c r="F30" s="10" t="s">
        <v>31</v>
      </c>
      <c r="G30" s="2" t="n">
        <f>2731974455170</f>
        <v>2.73197445517E12</v>
      </c>
      <c r="H30" s="10"/>
      <c r="I30" s="2" t="n">
        <f>10254</f>
        <v>10254.0</v>
      </c>
      <c r="J30" s="10"/>
      <c r="K30" s="2" t="n">
        <f>288843</f>
        <v>288843.0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91095</f>
        <v>91095.0</v>
      </c>
      <c r="F31" s="10"/>
      <c r="G31" s="2" t="n">
        <f>2428113557080</f>
        <v>2.42811355708E12</v>
      </c>
      <c r="H31" s="10"/>
      <c r="I31" s="2" t="n">
        <f>6145</f>
        <v>6145.0</v>
      </c>
      <c r="J31" s="10"/>
      <c r="K31" s="2" t="n">
        <f>290752</f>
        <v>290752.0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91131</f>
        <v>91131.0</v>
      </c>
      <c r="F32" s="10"/>
      <c r="G32" s="2" t="n">
        <f>2394150473150</f>
        <v>2.39415047315E12</v>
      </c>
      <c r="H32" s="10"/>
      <c r="I32" s="2" t="n">
        <f>8296</f>
        <v>8296.0</v>
      </c>
      <c r="J32" s="10"/>
      <c r="K32" s="2" t="n">
        <f>292826</f>
        <v>292826.0</v>
      </c>
    </row>
    <row r="33">
      <c r="A33" s="8" t="s">
        <v>47</v>
      </c>
      <c r="B33" s="9" t="s">
        <v>17</v>
      </c>
      <c r="C33" s="9" t="s">
        <v>18</v>
      </c>
      <c r="D33" s="10" t="s">
        <v>31</v>
      </c>
      <c r="E33" s="2" t="n">
        <f>102571</f>
        <v>102571.0</v>
      </c>
      <c r="F33" s="10"/>
      <c r="G33" s="2" t="n">
        <f>2722496915290</f>
        <v>2.72249691529E12</v>
      </c>
      <c r="H33" s="10"/>
      <c r="I33" s="2" t="n">
        <f>9271</f>
        <v>9271.0</v>
      </c>
      <c r="J33" s="10" t="s">
        <v>31</v>
      </c>
      <c r="K33" s="2" t="n">
        <f>294260</f>
        <v>294260.0</v>
      </c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16</v>
      </c>
      <c r="B36" s="9" t="s">
        <v>50</v>
      </c>
      <c r="C36" s="9" t="s">
        <v>51</v>
      </c>
      <c r="D36" s="10"/>
      <c r="E36" s="2" t="n">
        <f>962074</f>
        <v>962074.0</v>
      </c>
      <c r="F36" s="10"/>
      <c r="G36" s="2" t="n">
        <f>2661084362463</f>
        <v>2.661084362463E12</v>
      </c>
      <c r="H36" s="10"/>
      <c r="I36" s="2" t="n">
        <f>134078</f>
        <v>134078.0</v>
      </c>
      <c r="J36" s="10"/>
      <c r="K36" s="2" t="n">
        <f>461069</f>
        <v>461069.0</v>
      </c>
    </row>
    <row r="37">
      <c r="A37" s="8" t="s">
        <v>19</v>
      </c>
      <c r="B37" s="9" t="s">
        <v>50</v>
      </c>
      <c r="C37" s="9" t="s">
        <v>51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20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21</v>
      </c>
      <c r="B39" s="9" t="s">
        <v>50</v>
      </c>
      <c r="C39" s="9" t="s">
        <v>51</v>
      </c>
      <c r="D39" s="10"/>
      <c r="E39" s="2" t="n">
        <f>758959</f>
        <v>758959.0</v>
      </c>
      <c r="F39" s="10"/>
      <c r="G39" s="2" t="n">
        <f>2102599604528</f>
        <v>2.102599604528E12</v>
      </c>
      <c r="H39" s="10"/>
      <c r="I39" s="2" t="n">
        <f>103102</f>
        <v>103102.0</v>
      </c>
      <c r="J39" s="10"/>
      <c r="K39" s="2" t="n">
        <f>470864</f>
        <v>470864.0</v>
      </c>
    </row>
    <row r="40">
      <c r="A40" s="8" t="s">
        <v>22</v>
      </c>
      <c r="B40" s="9" t="s">
        <v>50</v>
      </c>
      <c r="C40" s="9" t="s">
        <v>51</v>
      </c>
      <c r="D40" s="10"/>
      <c r="E40" s="2" t="n">
        <f>814406</f>
        <v>814406.0</v>
      </c>
      <c r="F40" s="10"/>
      <c r="G40" s="2" t="n">
        <f>2263012855674</f>
        <v>2.263012855674E12</v>
      </c>
      <c r="H40" s="10"/>
      <c r="I40" s="2" t="n">
        <f>112124</f>
        <v>112124.0</v>
      </c>
      <c r="J40" s="10"/>
      <c r="K40" s="2" t="n">
        <f>483961</f>
        <v>483961.0</v>
      </c>
    </row>
    <row r="41">
      <c r="A41" s="8" t="s">
        <v>24</v>
      </c>
      <c r="B41" s="9" t="s">
        <v>50</v>
      </c>
      <c r="C41" s="9" t="s">
        <v>51</v>
      </c>
      <c r="D41" s="10"/>
      <c r="E41" s="2" t="n">
        <f>1078076</f>
        <v>1078076.0</v>
      </c>
      <c r="F41" s="10"/>
      <c r="G41" s="2" t="n">
        <f>2962530796333</f>
        <v>2.962530796333E12</v>
      </c>
      <c r="H41" s="10"/>
      <c r="I41" s="2" t="n">
        <f>138911</f>
        <v>138911.0</v>
      </c>
      <c r="J41" s="10"/>
      <c r="K41" s="2" t="n">
        <f>483581</f>
        <v>483581.0</v>
      </c>
    </row>
    <row r="42">
      <c r="A42" s="8" t="s">
        <v>25</v>
      </c>
      <c r="B42" s="9" t="s">
        <v>50</v>
      </c>
      <c r="C42" s="9" t="s">
        <v>51</v>
      </c>
      <c r="D42" s="10"/>
      <c r="E42" s="2" t="n">
        <f>1257378</f>
        <v>1257378.0</v>
      </c>
      <c r="F42" s="10"/>
      <c r="G42" s="2" t="n">
        <f>3395249971794</f>
        <v>3.395249971794E12</v>
      </c>
      <c r="H42" s="10"/>
      <c r="I42" s="2" t="n">
        <f>166881</f>
        <v>166881.0</v>
      </c>
      <c r="J42" s="10" t="s">
        <v>31</v>
      </c>
      <c r="K42" s="2" t="n">
        <f>500825</f>
        <v>500825.0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1071246</f>
        <v>1071246.0</v>
      </c>
      <c r="F43" s="10"/>
      <c r="G43" s="2" t="n">
        <f>2890425566099</f>
        <v>2.890425566099E12</v>
      </c>
      <c r="H43" s="10"/>
      <c r="I43" s="2" t="n">
        <f>150371</f>
        <v>150371.0</v>
      </c>
      <c r="J43" s="10"/>
      <c r="K43" s="2" t="n">
        <f>494561</f>
        <v>494561.0</v>
      </c>
    </row>
    <row r="44">
      <c r="A44" s="8" t="s">
        <v>27</v>
      </c>
      <c r="B44" s="9" t="s">
        <v>50</v>
      </c>
      <c r="C44" s="9" t="s">
        <v>51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28</v>
      </c>
      <c r="B45" s="9" t="s">
        <v>50</v>
      </c>
      <c r="C45" s="9" t="s">
        <v>51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29</v>
      </c>
      <c r="B46" s="9" t="s">
        <v>50</v>
      </c>
      <c r="C46" s="9" t="s">
        <v>51</v>
      </c>
      <c r="D46" s="10"/>
      <c r="E46" s="2" t="n">
        <f>856163</f>
        <v>856163.0</v>
      </c>
      <c r="F46" s="10"/>
      <c r="G46" s="2" t="n">
        <f>2305836447811</f>
        <v>2.305836447811E12</v>
      </c>
      <c r="H46" s="10"/>
      <c r="I46" s="2" t="n">
        <f>126251</f>
        <v>126251.0</v>
      </c>
      <c r="J46" s="10" t="s">
        <v>23</v>
      </c>
      <c r="K46" s="2" t="n">
        <f>342842</f>
        <v>342842.0</v>
      </c>
    </row>
    <row r="47">
      <c r="A47" s="8" t="s">
        <v>30</v>
      </c>
      <c r="B47" s="9" t="s">
        <v>50</v>
      </c>
      <c r="C47" s="9" t="s">
        <v>51</v>
      </c>
      <c r="D47" s="10"/>
      <c r="E47" s="2" t="n">
        <f>1026604</f>
        <v>1026604.0</v>
      </c>
      <c r="F47" s="10"/>
      <c r="G47" s="2" t="n">
        <f>2731407887994</f>
        <v>2.731407887994E12</v>
      </c>
      <c r="H47" s="10"/>
      <c r="I47" s="2" t="n">
        <f>139860</f>
        <v>139860.0</v>
      </c>
      <c r="J47" s="10"/>
      <c r="K47" s="2" t="n">
        <f>352940</f>
        <v>352940.0</v>
      </c>
    </row>
    <row r="48">
      <c r="A48" s="8" t="s">
        <v>32</v>
      </c>
      <c r="B48" s="9" t="s">
        <v>50</v>
      </c>
      <c r="C48" s="9" t="s">
        <v>51</v>
      </c>
      <c r="D48" s="10"/>
      <c r="E48" s="2" t="n">
        <f>1304334</f>
        <v>1304334.0</v>
      </c>
      <c r="F48" s="10"/>
      <c r="G48" s="2" t="n">
        <f>3467796991350</f>
        <v>3.46779699135E12</v>
      </c>
      <c r="H48" s="10" t="s">
        <v>31</v>
      </c>
      <c r="I48" s="2" t="n">
        <f>199664</f>
        <v>199664.0</v>
      </c>
      <c r="J48" s="10"/>
      <c r="K48" s="2" t="n">
        <f>355097</f>
        <v>355097.0</v>
      </c>
    </row>
    <row r="49">
      <c r="A49" s="8" t="s">
        <v>33</v>
      </c>
      <c r="B49" s="9" t="s">
        <v>50</v>
      </c>
      <c r="C49" s="9" t="s">
        <v>51</v>
      </c>
      <c r="D49" s="10"/>
      <c r="E49" s="2" t="n">
        <f>963166</f>
        <v>963166.0</v>
      </c>
      <c r="F49" s="10"/>
      <c r="G49" s="2" t="n">
        <f>2597088123722</f>
        <v>2.597088123722E12</v>
      </c>
      <c r="H49" s="10"/>
      <c r="I49" s="2" t="n">
        <f>141190</f>
        <v>141190.0</v>
      </c>
      <c r="J49" s="10"/>
      <c r="K49" s="2" t="n">
        <f>354134</f>
        <v>354134.0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949000</f>
        <v>949000.0</v>
      </c>
      <c r="F50" s="10"/>
      <c r="G50" s="2" t="n">
        <f>2568206719606</f>
        <v>2.568206719606E12</v>
      </c>
      <c r="H50" s="10"/>
      <c r="I50" s="2" t="n">
        <f>154366</f>
        <v>154366.0</v>
      </c>
      <c r="J50" s="10"/>
      <c r="K50" s="2" t="n">
        <f>347525</f>
        <v>347525.0</v>
      </c>
    </row>
    <row r="51">
      <c r="A51" s="8" t="s">
        <v>35</v>
      </c>
      <c r="B51" s="9" t="s">
        <v>50</v>
      </c>
      <c r="C51" s="9" t="s">
        <v>51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36</v>
      </c>
      <c r="B52" s="9" t="s">
        <v>50</v>
      </c>
      <c r="C52" s="9" t="s">
        <v>51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37</v>
      </c>
      <c r="B53" s="9" t="s">
        <v>50</v>
      </c>
      <c r="C53" s="9" t="s">
        <v>51</v>
      </c>
      <c r="D53" s="10" t="s">
        <v>23</v>
      </c>
      <c r="E53" s="2" t="n">
        <f>586384</f>
        <v>586384.0</v>
      </c>
      <c r="F53" s="10" t="s">
        <v>23</v>
      </c>
      <c r="G53" s="2" t="n">
        <f>1567603584705</f>
        <v>1.567603584705E12</v>
      </c>
      <c r="H53" s="10" t="s">
        <v>23</v>
      </c>
      <c r="I53" s="2" t="n">
        <f>92247</f>
        <v>92247.0</v>
      </c>
      <c r="J53" s="10"/>
      <c r="K53" s="2" t="n">
        <f>353950</f>
        <v>353950.0</v>
      </c>
    </row>
    <row r="54">
      <c r="A54" s="8" t="s">
        <v>38</v>
      </c>
      <c r="B54" s="9" t="s">
        <v>50</v>
      </c>
      <c r="C54" s="9" t="s">
        <v>51</v>
      </c>
      <c r="D54" s="10"/>
      <c r="E54" s="2" t="n">
        <f>984071</f>
        <v>984071.0</v>
      </c>
      <c r="F54" s="10"/>
      <c r="G54" s="2" t="n">
        <f>2646369252595</f>
        <v>2.646369252595E12</v>
      </c>
      <c r="H54" s="10"/>
      <c r="I54" s="2" t="n">
        <f>152692</f>
        <v>152692.0</v>
      </c>
      <c r="J54" s="10"/>
      <c r="K54" s="2" t="n">
        <f>347016</f>
        <v>347016.0</v>
      </c>
    </row>
    <row r="55">
      <c r="A55" s="8" t="s">
        <v>39</v>
      </c>
      <c r="B55" s="9" t="s">
        <v>50</v>
      </c>
      <c r="C55" s="9" t="s">
        <v>51</v>
      </c>
      <c r="D55" s="10"/>
      <c r="E55" s="2" t="n">
        <f>1149052</f>
        <v>1149052.0</v>
      </c>
      <c r="F55" s="10"/>
      <c r="G55" s="2" t="n">
        <f>3117576984235</f>
        <v>3.117576984235E12</v>
      </c>
      <c r="H55" s="10"/>
      <c r="I55" s="2" t="n">
        <f>132349</f>
        <v>132349.0</v>
      </c>
      <c r="J55" s="10"/>
      <c r="K55" s="2" t="n">
        <f>347338</f>
        <v>347338.0</v>
      </c>
    </row>
    <row r="56">
      <c r="A56" s="8" t="s">
        <v>40</v>
      </c>
      <c r="B56" s="9" t="s">
        <v>50</v>
      </c>
      <c r="C56" s="9" t="s">
        <v>51</v>
      </c>
      <c r="D56" s="10"/>
      <c r="E56" s="2" t="n">
        <f>974760</f>
        <v>974760.0</v>
      </c>
      <c r="F56" s="10"/>
      <c r="G56" s="2" t="n">
        <f>2667685541080</f>
        <v>2.66768554108E12</v>
      </c>
      <c r="H56" s="10"/>
      <c r="I56" s="2" t="n">
        <f>99169</f>
        <v>99169.0</v>
      </c>
      <c r="J56" s="10"/>
      <c r="K56" s="2" t="n">
        <f>372222</f>
        <v>372222.0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1252209</f>
        <v>1252209.0</v>
      </c>
      <c r="F57" s="10"/>
      <c r="G57" s="2" t="n">
        <f>3412631275450</f>
        <v>3.41263127545E12</v>
      </c>
      <c r="H57" s="10"/>
      <c r="I57" s="2" t="n">
        <f>131397</f>
        <v>131397.0</v>
      </c>
      <c r="J57" s="10"/>
      <c r="K57" s="2" t="n">
        <f>360417</f>
        <v>360417.0</v>
      </c>
    </row>
    <row r="58">
      <c r="A58" s="8" t="s">
        <v>42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43</v>
      </c>
      <c r="B59" s="9" t="s">
        <v>50</v>
      </c>
      <c r="C59" s="9" t="s">
        <v>51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44</v>
      </c>
      <c r="B60" s="9" t="s">
        <v>50</v>
      </c>
      <c r="C60" s="9" t="s">
        <v>51</v>
      </c>
      <c r="D60" s="10"/>
      <c r="E60" s="2" t="n">
        <f>1460628</f>
        <v>1460628.0</v>
      </c>
      <c r="F60" s="10"/>
      <c r="G60" s="2" t="n">
        <f>3915621810038</f>
        <v>3.915621810038E12</v>
      </c>
      <c r="H60" s="10"/>
      <c r="I60" s="2" t="n">
        <f>132889</f>
        <v>132889.0</v>
      </c>
      <c r="J60" s="10"/>
      <c r="K60" s="2" t="n">
        <f>379566</f>
        <v>379566.0</v>
      </c>
    </row>
    <row r="61">
      <c r="A61" s="8" t="s">
        <v>45</v>
      </c>
      <c r="B61" s="9" t="s">
        <v>50</v>
      </c>
      <c r="C61" s="9" t="s">
        <v>51</v>
      </c>
      <c r="D61" s="10"/>
      <c r="E61" s="2" t="n">
        <f>1531961</f>
        <v>1531961.0</v>
      </c>
      <c r="F61" s="10"/>
      <c r="G61" s="2" t="n">
        <f>4078324735086</f>
        <v>4.078324735086E12</v>
      </c>
      <c r="H61" s="10"/>
      <c r="I61" s="2" t="n">
        <f>119973</f>
        <v>119973.0</v>
      </c>
      <c r="J61" s="10"/>
      <c r="K61" s="2" t="n">
        <f>380161</f>
        <v>380161.0</v>
      </c>
    </row>
    <row r="62">
      <c r="A62" s="8" t="s">
        <v>46</v>
      </c>
      <c r="B62" s="9" t="s">
        <v>50</v>
      </c>
      <c r="C62" s="9" t="s">
        <v>51</v>
      </c>
      <c r="D62" s="10"/>
      <c r="E62" s="2" t="n">
        <f>1496917</f>
        <v>1496917.0</v>
      </c>
      <c r="F62" s="10"/>
      <c r="G62" s="2" t="n">
        <f>3933857862839</f>
        <v>3.933857862839E12</v>
      </c>
      <c r="H62" s="10"/>
      <c r="I62" s="2" t="n">
        <f>134314</f>
        <v>134314.0</v>
      </c>
      <c r="J62" s="10"/>
      <c r="K62" s="2" t="n">
        <f>394727</f>
        <v>394727.0</v>
      </c>
    </row>
    <row r="63">
      <c r="A63" s="8" t="s">
        <v>47</v>
      </c>
      <c r="B63" s="9" t="s">
        <v>50</v>
      </c>
      <c r="C63" s="9" t="s">
        <v>51</v>
      </c>
      <c r="D63" s="10" t="s">
        <v>31</v>
      </c>
      <c r="E63" s="2" t="n">
        <f>1562741</f>
        <v>1562741.0</v>
      </c>
      <c r="F63" s="10" t="s">
        <v>31</v>
      </c>
      <c r="G63" s="2" t="n">
        <f>4141931712392</f>
        <v>4.141931712392E12</v>
      </c>
      <c r="H63" s="10"/>
      <c r="I63" s="2" t="n">
        <f>127990</f>
        <v>127990.0</v>
      </c>
      <c r="J63" s="10"/>
      <c r="K63" s="2" t="n">
        <f>420142</f>
        <v>420142.0</v>
      </c>
    </row>
    <row r="64">
      <c r="A64" s="8" t="s">
        <v>48</v>
      </c>
      <c r="B64" s="9" t="s">
        <v>50</v>
      </c>
      <c r="C64" s="9" t="s">
        <v>51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49</v>
      </c>
      <c r="B65" s="9" t="s">
        <v>50</v>
      </c>
      <c r="C65" s="9" t="s">
        <v>51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16</v>
      </c>
      <c r="B66" s="9" t="s">
        <v>52</v>
      </c>
      <c r="C66" s="9" t="s">
        <v>53</v>
      </c>
      <c r="D66" s="10"/>
      <c r="E66" s="2" t="n">
        <f>87306</f>
        <v>87306.0</v>
      </c>
      <c r="F66" s="10" t="s">
        <v>31</v>
      </c>
      <c r="G66" s="2" t="n">
        <f>1693417350200</f>
        <v>1.6934173502E12</v>
      </c>
      <c r="H66" s="10" t="s">
        <v>31</v>
      </c>
      <c r="I66" s="2" t="n">
        <f>24859</f>
        <v>24859.0</v>
      </c>
      <c r="J66" s="10"/>
      <c r="K66" s="2" t="n">
        <f>516098</f>
        <v>516098.0</v>
      </c>
    </row>
    <row r="67">
      <c r="A67" s="8" t="s">
        <v>19</v>
      </c>
      <c r="B67" s="9" t="s">
        <v>52</v>
      </c>
      <c r="C67" s="9" t="s">
        <v>53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20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21</v>
      </c>
      <c r="B69" s="9" t="s">
        <v>52</v>
      </c>
      <c r="C69" s="9" t="s">
        <v>53</v>
      </c>
      <c r="D69" s="10"/>
      <c r="E69" s="2" t="n">
        <f>58368</f>
        <v>58368.0</v>
      </c>
      <c r="F69" s="10"/>
      <c r="G69" s="2" t="n">
        <f>1137928638538</f>
        <v>1.137928638538E12</v>
      </c>
      <c r="H69" s="10"/>
      <c r="I69" s="2" t="n">
        <f>12127</f>
        <v>12127.0</v>
      </c>
      <c r="J69" s="10"/>
      <c r="K69" s="2" t="n">
        <f>515578</f>
        <v>515578.0</v>
      </c>
    </row>
    <row r="70">
      <c r="A70" s="8" t="s">
        <v>22</v>
      </c>
      <c r="B70" s="9" t="s">
        <v>52</v>
      </c>
      <c r="C70" s="9" t="s">
        <v>53</v>
      </c>
      <c r="D70" s="10"/>
      <c r="E70" s="2" t="n">
        <f>64934</f>
        <v>64934.0</v>
      </c>
      <c r="F70" s="10"/>
      <c r="G70" s="2" t="n">
        <f>1268772747102</f>
        <v>1.268772747102E12</v>
      </c>
      <c r="H70" s="10"/>
      <c r="I70" s="2" t="n">
        <f>15736</f>
        <v>15736.0</v>
      </c>
      <c r="J70" s="10"/>
      <c r="K70" s="2" t="n">
        <f>509285</f>
        <v>509285.0</v>
      </c>
    </row>
    <row r="71">
      <c r="A71" s="8" t="s">
        <v>24</v>
      </c>
      <c r="B71" s="9" t="s">
        <v>52</v>
      </c>
      <c r="C71" s="9" t="s">
        <v>53</v>
      </c>
      <c r="D71" s="10"/>
      <c r="E71" s="2" t="n">
        <f>72635</f>
        <v>72635.0</v>
      </c>
      <c r="F71" s="10"/>
      <c r="G71" s="2" t="n">
        <f>1401919600590</f>
        <v>1.40191960059E12</v>
      </c>
      <c r="H71" s="10"/>
      <c r="I71" s="2" t="n">
        <f>16867</f>
        <v>16867.0</v>
      </c>
      <c r="J71" s="10" t="s">
        <v>23</v>
      </c>
      <c r="K71" s="2" t="n">
        <f>506354</f>
        <v>506354.0</v>
      </c>
    </row>
    <row r="72">
      <c r="A72" s="8" t="s">
        <v>25</v>
      </c>
      <c r="B72" s="9" t="s">
        <v>52</v>
      </c>
      <c r="C72" s="9" t="s">
        <v>53</v>
      </c>
      <c r="D72" s="10"/>
      <c r="E72" s="2" t="n">
        <f>79014</f>
        <v>79014.0</v>
      </c>
      <c r="F72" s="10"/>
      <c r="G72" s="2" t="n">
        <f>1497123153397</f>
        <v>1.497123153397E12</v>
      </c>
      <c r="H72" s="10"/>
      <c r="I72" s="2" t="n">
        <f>15798</f>
        <v>15798.0</v>
      </c>
      <c r="J72" s="10"/>
      <c r="K72" s="2" t="n">
        <f>510156</f>
        <v>510156.0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65634</f>
        <v>65634.0</v>
      </c>
      <c r="F73" s="10"/>
      <c r="G73" s="2" t="n">
        <f>1244235010950</f>
        <v>1.24423501095E12</v>
      </c>
      <c r="H73" s="10"/>
      <c r="I73" s="2" t="n">
        <f>11835</f>
        <v>11835.0</v>
      </c>
      <c r="J73" s="10"/>
      <c r="K73" s="2" t="n">
        <f>508490</f>
        <v>508490.0</v>
      </c>
    </row>
    <row r="74">
      <c r="A74" s="8" t="s">
        <v>27</v>
      </c>
      <c r="B74" s="9" t="s">
        <v>52</v>
      </c>
      <c r="C74" s="9" t="s">
        <v>53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28</v>
      </c>
      <c r="B75" s="9" t="s">
        <v>52</v>
      </c>
      <c r="C75" s="9" t="s">
        <v>53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29</v>
      </c>
      <c r="B76" s="9" t="s">
        <v>52</v>
      </c>
      <c r="C76" s="9" t="s">
        <v>53</v>
      </c>
      <c r="D76" s="10"/>
      <c r="E76" s="2" t="n">
        <f>57375</f>
        <v>57375.0</v>
      </c>
      <c r="F76" s="10"/>
      <c r="G76" s="2" t="n">
        <f>1086470612900</f>
        <v>1.0864706129E12</v>
      </c>
      <c r="H76" s="10"/>
      <c r="I76" s="2" t="n">
        <f>14830</f>
        <v>14830.0</v>
      </c>
      <c r="J76" s="10"/>
      <c r="K76" s="2" t="n">
        <f>512757</f>
        <v>512757.0</v>
      </c>
    </row>
    <row r="77">
      <c r="A77" s="8" t="s">
        <v>30</v>
      </c>
      <c r="B77" s="9" t="s">
        <v>52</v>
      </c>
      <c r="C77" s="9" t="s">
        <v>53</v>
      </c>
      <c r="D77" s="10"/>
      <c r="E77" s="2" t="n">
        <f>57526</f>
        <v>57526.0</v>
      </c>
      <c r="F77" s="10"/>
      <c r="G77" s="2" t="n">
        <f>1078509322392</f>
        <v>1.078509322392E12</v>
      </c>
      <c r="H77" s="10"/>
      <c r="I77" s="2" t="n">
        <f>13506</f>
        <v>13506.0</v>
      </c>
      <c r="J77" s="10"/>
      <c r="K77" s="2" t="n">
        <f>515979</f>
        <v>515979.0</v>
      </c>
    </row>
    <row r="78">
      <c r="A78" s="8" t="s">
        <v>32</v>
      </c>
      <c r="B78" s="9" t="s">
        <v>52</v>
      </c>
      <c r="C78" s="9" t="s">
        <v>53</v>
      </c>
      <c r="D78" s="10"/>
      <c r="E78" s="2" t="n">
        <f>77842</f>
        <v>77842.0</v>
      </c>
      <c r="F78" s="10"/>
      <c r="G78" s="2" t="n">
        <f>1463122582350</f>
        <v>1.46312258235E12</v>
      </c>
      <c r="H78" s="10"/>
      <c r="I78" s="2" t="n">
        <f>17829</f>
        <v>17829.0</v>
      </c>
      <c r="J78" s="10"/>
      <c r="K78" s="2" t="n">
        <f>514634</f>
        <v>514634.0</v>
      </c>
    </row>
    <row r="79">
      <c r="A79" s="8" t="s">
        <v>33</v>
      </c>
      <c r="B79" s="9" t="s">
        <v>52</v>
      </c>
      <c r="C79" s="9" t="s">
        <v>53</v>
      </c>
      <c r="D79" s="10"/>
      <c r="E79" s="2" t="n">
        <f>53441</f>
        <v>53441.0</v>
      </c>
      <c r="F79" s="10"/>
      <c r="G79" s="2" t="n">
        <f>1015516689600</f>
        <v>1.0155166896E12</v>
      </c>
      <c r="H79" s="10"/>
      <c r="I79" s="2" t="n">
        <f>12723</f>
        <v>12723.0</v>
      </c>
      <c r="J79" s="10"/>
      <c r="K79" s="2" t="n">
        <f>513676</f>
        <v>513676.0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47003</f>
        <v>47003.0</v>
      </c>
      <c r="F80" s="10"/>
      <c r="G80" s="2" t="n">
        <f>891253755220</f>
        <v>8.9125375522E11</v>
      </c>
      <c r="H80" s="10"/>
      <c r="I80" s="2" t="n">
        <f>12177</f>
        <v>12177.0</v>
      </c>
      <c r="J80" s="10"/>
      <c r="K80" s="2" t="n">
        <f>514936</f>
        <v>514936.0</v>
      </c>
    </row>
    <row r="81">
      <c r="A81" s="8" t="s">
        <v>35</v>
      </c>
      <c r="B81" s="9" t="s">
        <v>52</v>
      </c>
      <c r="C81" s="9" t="s">
        <v>53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36</v>
      </c>
      <c r="B82" s="9" t="s">
        <v>52</v>
      </c>
      <c r="C82" s="9" t="s">
        <v>53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37</v>
      </c>
      <c r="B83" s="9" t="s">
        <v>52</v>
      </c>
      <c r="C83" s="9" t="s">
        <v>53</v>
      </c>
      <c r="D83" s="10" t="s">
        <v>23</v>
      </c>
      <c r="E83" s="2" t="n">
        <f>33597</f>
        <v>33597.0</v>
      </c>
      <c r="F83" s="10" t="s">
        <v>23</v>
      </c>
      <c r="G83" s="2" t="n">
        <f>629949067300</f>
        <v>6.299490673E11</v>
      </c>
      <c r="H83" s="10" t="s">
        <v>23</v>
      </c>
      <c r="I83" s="2" t="n">
        <f>6648</f>
        <v>6648.0</v>
      </c>
      <c r="J83" s="10"/>
      <c r="K83" s="2" t="n">
        <f>516733</f>
        <v>516733.0</v>
      </c>
    </row>
    <row r="84">
      <c r="A84" s="8" t="s">
        <v>38</v>
      </c>
      <c r="B84" s="9" t="s">
        <v>52</v>
      </c>
      <c r="C84" s="9" t="s">
        <v>53</v>
      </c>
      <c r="D84" s="10"/>
      <c r="E84" s="2" t="n">
        <f>46590</f>
        <v>46590.0</v>
      </c>
      <c r="F84" s="10"/>
      <c r="G84" s="2" t="n">
        <f>880958785810</f>
        <v>8.8095878581E11</v>
      </c>
      <c r="H84" s="10"/>
      <c r="I84" s="2" t="n">
        <f>10191</f>
        <v>10191.0</v>
      </c>
      <c r="J84" s="10"/>
      <c r="K84" s="2" t="n">
        <f>515782</f>
        <v>515782.0</v>
      </c>
    </row>
    <row r="85">
      <c r="A85" s="8" t="s">
        <v>39</v>
      </c>
      <c r="B85" s="9" t="s">
        <v>52</v>
      </c>
      <c r="C85" s="9" t="s">
        <v>53</v>
      </c>
      <c r="D85" s="10"/>
      <c r="E85" s="2" t="n">
        <f>61726</f>
        <v>61726.0</v>
      </c>
      <c r="F85" s="10"/>
      <c r="G85" s="2" t="n">
        <f>1179583016800</f>
        <v>1.1795830168E12</v>
      </c>
      <c r="H85" s="10"/>
      <c r="I85" s="2" t="n">
        <f>12602</f>
        <v>12602.0</v>
      </c>
      <c r="J85" s="10"/>
      <c r="K85" s="2" t="n">
        <f>515107</f>
        <v>515107.0</v>
      </c>
    </row>
    <row r="86">
      <c r="A86" s="8" t="s">
        <v>40</v>
      </c>
      <c r="B86" s="9" t="s">
        <v>52</v>
      </c>
      <c r="C86" s="9" t="s">
        <v>53</v>
      </c>
      <c r="D86" s="10"/>
      <c r="E86" s="2" t="n">
        <f>49070</f>
        <v>49070.0</v>
      </c>
      <c r="F86" s="10"/>
      <c r="G86" s="2" t="n">
        <f>943567864900</f>
        <v>9.435678649E11</v>
      </c>
      <c r="H86" s="10"/>
      <c r="I86" s="2" t="n">
        <f>12122</f>
        <v>12122.0</v>
      </c>
      <c r="J86" s="10"/>
      <c r="K86" s="2" t="n">
        <f>516638</f>
        <v>516638.0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57323</f>
        <v>57323.0</v>
      </c>
      <c r="F87" s="10"/>
      <c r="G87" s="2" t="n">
        <f>1094409045500</f>
        <v>1.0944090455E12</v>
      </c>
      <c r="H87" s="10"/>
      <c r="I87" s="2" t="n">
        <f>11788</f>
        <v>11788.0</v>
      </c>
      <c r="J87" s="10"/>
      <c r="K87" s="2" t="n">
        <f>518907</f>
        <v>518907.0</v>
      </c>
    </row>
    <row r="88">
      <c r="A88" s="8" t="s">
        <v>42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43</v>
      </c>
      <c r="B89" s="9" t="s">
        <v>52</v>
      </c>
      <c r="C89" s="9" t="s">
        <v>53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44</v>
      </c>
      <c r="B90" s="9" t="s">
        <v>52</v>
      </c>
      <c r="C90" s="9" t="s">
        <v>53</v>
      </c>
      <c r="D90" s="10"/>
      <c r="E90" s="2" t="n">
        <f>67659</f>
        <v>67659.0</v>
      </c>
      <c r="F90" s="10"/>
      <c r="G90" s="2" t="n">
        <f>1273084872710</f>
        <v>1.27308487271E12</v>
      </c>
      <c r="H90" s="10"/>
      <c r="I90" s="2" t="n">
        <f>15522</f>
        <v>15522.0</v>
      </c>
      <c r="J90" s="10"/>
      <c r="K90" s="2" t="n">
        <f>520204</f>
        <v>520204.0</v>
      </c>
    </row>
    <row r="91">
      <c r="A91" s="8" t="s">
        <v>45</v>
      </c>
      <c r="B91" s="9" t="s">
        <v>52</v>
      </c>
      <c r="C91" s="9" t="s">
        <v>53</v>
      </c>
      <c r="D91" s="10"/>
      <c r="E91" s="2" t="n">
        <f>69419</f>
        <v>69419.0</v>
      </c>
      <c r="F91" s="10"/>
      <c r="G91" s="2" t="n">
        <f>1302653431600</f>
        <v>1.3026534316E12</v>
      </c>
      <c r="H91" s="10"/>
      <c r="I91" s="2" t="n">
        <f>16116</f>
        <v>16116.0</v>
      </c>
      <c r="J91" s="10"/>
      <c r="K91" s="2" t="n">
        <f>518186</f>
        <v>518186.0</v>
      </c>
    </row>
    <row r="92">
      <c r="A92" s="8" t="s">
        <v>46</v>
      </c>
      <c r="B92" s="9" t="s">
        <v>52</v>
      </c>
      <c r="C92" s="9" t="s">
        <v>53</v>
      </c>
      <c r="D92" s="10"/>
      <c r="E92" s="2" t="n">
        <f>76680</f>
        <v>76680.0</v>
      </c>
      <c r="F92" s="10"/>
      <c r="G92" s="2" t="n">
        <f>1422908594000</f>
        <v>1.422908594E12</v>
      </c>
      <c r="H92" s="10"/>
      <c r="I92" s="2" t="n">
        <f>18036</f>
        <v>18036.0</v>
      </c>
      <c r="J92" s="10"/>
      <c r="K92" s="2" t="n">
        <f>518044</f>
        <v>518044.0</v>
      </c>
    </row>
    <row r="93">
      <c r="A93" s="8" t="s">
        <v>47</v>
      </c>
      <c r="B93" s="9" t="s">
        <v>52</v>
      </c>
      <c r="C93" s="9" t="s">
        <v>53</v>
      </c>
      <c r="D93" s="10" t="s">
        <v>31</v>
      </c>
      <c r="E93" s="2" t="n">
        <f>89092</f>
        <v>89092.0</v>
      </c>
      <c r="F93" s="10"/>
      <c r="G93" s="2" t="n">
        <f>1676364563500</f>
        <v>1.6763645635E12</v>
      </c>
      <c r="H93" s="10"/>
      <c r="I93" s="2" t="n">
        <f>21226</f>
        <v>21226.0</v>
      </c>
      <c r="J93" s="10" t="s">
        <v>31</v>
      </c>
      <c r="K93" s="2" t="n">
        <f>522559</f>
        <v>522559.0</v>
      </c>
    </row>
    <row r="94">
      <c r="A94" s="8" t="s">
        <v>48</v>
      </c>
      <c r="B94" s="9" t="s">
        <v>52</v>
      </c>
      <c r="C94" s="9" t="s">
        <v>53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49</v>
      </c>
      <c r="B95" s="9" t="s">
        <v>52</v>
      </c>
      <c r="C95" s="9" t="s">
        <v>53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16</v>
      </c>
      <c r="B96" s="9" t="s">
        <v>54</v>
      </c>
      <c r="C96" s="9" t="s">
        <v>55</v>
      </c>
      <c r="D96" s="10" t="s">
        <v>31</v>
      </c>
      <c r="E96" s="2" t="n">
        <f>37679</f>
        <v>37679.0</v>
      </c>
      <c r="F96" s="10" t="s">
        <v>31</v>
      </c>
      <c r="G96" s="2" t="n">
        <f>73025685610</f>
        <v>7.302568561E10</v>
      </c>
      <c r="H96" s="10" t="s">
        <v>31</v>
      </c>
      <c r="I96" s="2" t="n">
        <f>5741</f>
        <v>5741.0</v>
      </c>
      <c r="J96" s="10"/>
      <c r="K96" s="2" t="n">
        <f>50517</f>
        <v>50517.0</v>
      </c>
    </row>
    <row r="97">
      <c r="A97" s="8" t="s">
        <v>19</v>
      </c>
      <c r="B97" s="9" t="s">
        <v>54</v>
      </c>
      <c r="C97" s="9" t="s">
        <v>55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20</v>
      </c>
      <c r="B98" s="9" t="s">
        <v>54</v>
      </c>
      <c r="C98" s="9" t="s">
        <v>55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21</v>
      </c>
      <c r="B99" s="9" t="s">
        <v>54</v>
      </c>
      <c r="C99" s="9" t="s">
        <v>55</v>
      </c>
      <c r="D99" s="10"/>
      <c r="E99" s="2" t="n">
        <f>24638</f>
        <v>24638.0</v>
      </c>
      <c r="F99" s="10"/>
      <c r="G99" s="2" t="n">
        <f>48012052650</f>
        <v>4.801205265E10</v>
      </c>
      <c r="H99" s="10"/>
      <c r="I99" s="2" t="n">
        <f>3005</f>
        <v>3005.0</v>
      </c>
      <c r="J99" s="10"/>
      <c r="K99" s="2" t="n">
        <f>51144</f>
        <v>51144.0</v>
      </c>
    </row>
    <row r="100">
      <c r="A100" s="8" t="s">
        <v>22</v>
      </c>
      <c r="B100" s="9" t="s">
        <v>54</v>
      </c>
      <c r="C100" s="9" t="s">
        <v>55</v>
      </c>
      <c r="D100" s="10"/>
      <c r="E100" s="2" t="n">
        <f>27126</f>
        <v>27126.0</v>
      </c>
      <c r="F100" s="10"/>
      <c r="G100" s="2" t="n">
        <f>53045913200</f>
        <v>5.30459132E10</v>
      </c>
      <c r="H100" s="10"/>
      <c r="I100" s="2" t="n">
        <f>3577</f>
        <v>3577.0</v>
      </c>
      <c r="J100" s="10"/>
      <c r="K100" s="2" t="n">
        <f>51852</f>
        <v>51852.0</v>
      </c>
    </row>
    <row r="101">
      <c r="A101" s="8" t="s">
        <v>24</v>
      </c>
      <c r="B101" s="9" t="s">
        <v>54</v>
      </c>
      <c r="C101" s="9" t="s">
        <v>55</v>
      </c>
      <c r="D101" s="10"/>
      <c r="E101" s="2" t="n">
        <f>35312</f>
        <v>35312.0</v>
      </c>
      <c r="F101" s="10"/>
      <c r="G101" s="2" t="n">
        <f>68209062200</f>
        <v>6.82090622E10</v>
      </c>
      <c r="H101" s="10"/>
      <c r="I101" s="2" t="n">
        <f>4279</f>
        <v>4279.0</v>
      </c>
      <c r="J101" s="10"/>
      <c r="K101" s="2" t="n">
        <f>49522</f>
        <v>49522.0</v>
      </c>
    </row>
    <row r="102">
      <c r="A102" s="8" t="s">
        <v>25</v>
      </c>
      <c r="B102" s="9" t="s">
        <v>54</v>
      </c>
      <c r="C102" s="9" t="s">
        <v>55</v>
      </c>
      <c r="D102" s="10"/>
      <c r="E102" s="2" t="n">
        <f>34919</f>
        <v>34919.0</v>
      </c>
      <c r="F102" s="10"/>
      <c r="G102" s="2" t="n">
        <f>66259979960</f>
        <v>6.625997996E10</v>
      </c>
      <c r="H102" s="10"/>
      <c r="I102" s="2" t="n">
        <f>5237</f>
        <v>5237.0</v>
      </c>
      <c r="J102" s="10"/>
      <c r="K102" s="2" t="n">
        <f>49632</f>
        <v>49632.0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31263</f>
        <v>31263.0</v>
      </c>
      <c r="F103" s="10"/>
      <c r="G103" s="2" t="n">
        <f>59312763895</f>
        <v>5.9312763895E10</v>
      </c>
      <c r="H103" s="10"/>
      <c r="I103" s="2" t="n">
        <f>4284</f>
        <v>4284.0</v>
      </c>
      <c r="J103" s="10"/>
      <c r="K103" s="2" t="n">
        <f>49299</f>
        <v>49299.0</v>
      </c>
    </row>
    <row r="104">
      <c r="A104" s="8" t="s">
        <v>27</v>
      </c>
      <c r="B104" s="9" t="s">
        <v>54</v>
      </c>
      <c r="C104" s="9" t="s">
        <v>55</v>
      </c>
      <c r="D104" s="10"/>
      <c r="E104" s="2"/>
      <c r="F104" s="10"/>
      <c r="G104" s="2"/>
      <c r="H104" s="10"/>
      <c r="I104" s="2"/>
      <c r="J104" s="10"/>
      <c r="K104" s="2"/>
    </row>
    <row r="105">
      <c r="A105" s="8" t="s">
        <v>28</v>
      </c>
      <c r="B105" s="9" t="s">
        <v>54</v>
      </c>
      <c r="C105" s="9" t="s">
        <v>55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29</v>
      </c>
      <c r="B106" s="9" t="s">
        <v>54</v>
      </c>
      <c r="C106" s="9" t="s">
        <v>55</v>
      </c>
      <c r="D106" s="10"/>
      <c r="E106" s="2" t="n">
        <f>21764</f>
        <v>21764.0</v>
      </c>
      <c r="F106" s="10"/>
      <c r="G106" s="2" t="n">
        <f>41233028050</f>
        <v>4.123302805E10</v>
      </c>
      <c r="H106" s="10"/>
      <c r="I106" s="2" t="n">
        <f>2840</f>
        <v>2840.0</v>
      </c>
      <c r="J106" s="10"/>
      <c r="K106" s="2" t="n">
        <f>49918</f>
        <v>49918.0</v>
      </c>
    </row>
    <row r="107">
      <c r="A107" s="8" t="s">
        <v>30</v>
      </c>
      <c r="B107" s="9" t="s">
        <v>54</v>
      </c>
      <c r="C107" s="9" t="s">
        <v>55</v>
      </c>
      <c r="D107" s="10"/>
      <c r="E107" s="2" t="n">
        <f>23546</f>
        <v>23546.0</v>
      </c>
      <c r="F107" s="10"/>
      <c r="G107" s="2" t="n">
        <f>44207494920</f>
        <v>4.420749492E10</v>
      </c>
      <c r="H107" s="10"/>
      <c r="I107" s="2" t="n">
        <f>2824</f>
        <v>2824.0</v>
      </c>
      <c r="J107" s="10"/>
      <c r="K107" s="2" t="n">
        <f>51617</f>
        <v>51617.0</v>
      </c>
    </row>
    <row r="108">
      <c r="A108" s="8" t="s">
        <v>32</v>
      </c>
      <c r="B108" s="9" t="s">
        <v>54</v>
      </c>
      <c r="C108" s="9" t="s">
        <v>55</v>
      </c>
      <c r="D108" s="10"/>
      <c r="E108" s="2" t="n">
        <f>31471</f>
        <v>31471.0</v>
      </c>
      <c r="F108" s="10"/>
      <c r="G108" s="2" t="n">
        <f>59079275300</f>
        <v>5.90792753E10</v>
      </c>
      <c r="H108" s="10"/>
      <c r="I108" s="2" t="n">
        <f>4229</f>
        <v>4229.0</v>
      </c>
      <c r="J108" s="10"/>
      <c r="K108" s="2" t="n">
        <f>52762</f>
        <v>52762.0</v>
      </c>
    </row>
    <row r="109">
      <c r="A109" s="8" t="s">
        <v>33</v>
      </c>
      <c r="B109" s="9" t="s">
        <v>54</v>
      </c>
      <c r="C109" s="9" t="s">
        <v>55</v>
      </c>
      <c r="D109" s="10"/>
      <c r="E109" s="2" t="n">
        <f>24461</f>
        <v>24461.0</v>
      </c>
      <c r="F109" s="10"/>
      <c r="G109" s="2" t="n">
        <f>46408520000</f>
        <v>4.640852E10</v>
      </c>
      <c r="H109" s="10"/>
      <c r="I109" s="2" t="n">
        <f>2583</f>
        <v>2583.0</v>
      </c>
      <c r="J109" s="10"/>
      <c r="K109" s="2" t="n">
        <f>53059</f>
        <v>53059.0</v>
      </c>
    </row>
    <row r="110">
      <c r="A110" s="8" t="s">
        <v>34</v>
      </c>
      <c r="B110" s="9" t="s">
        <v>54</v>
      </c>
      <c r="C110" s="9" t="s">
        <v>55</v>
      </c>
      <c r="D110" s="10"/>
      <c r="E110" s="2" t="n">
        <f>28216</f>
        <v>28216.0</v>
      </c>
      <c r="F110" s="10"/>
      <c r="G110" s="2" t="n">
        <f>53476669690</f>
        <v>5.347666969E10</v>
      </c>
      <c r="H110" s="10"/>
      <c r="I110" s="2" t="n">
        <f>3766</f>
        <v>3766.0</v>
      </c>
      <c r="J110" s="10" t="s">
        <v>31</v>
      </c>
      <c r="K110" s="2" t="n">
        <f>53083</f>
        <v>53083.0</v>
      </c>
    </row>
    <row r="111">
      <c r="A111" s="8" t="s">
        <v>35</v>
      </c>
      <c r="B111" s="9" t="s">
        <v>54</v>
      </c>
      <c r="C111" s="9" t="s">
        <v>55</v>
      </c>
      <c r="D111" s="10"/>
      <c r="E111" s="2"/>
      <c r="F111" s="10"/>
      <c r="G111" s="2"/>
      <c r="H111" s="10"/>
      <c r="I111" s="2"/>
      <c r="J111" s="10"/>
      <c r="K111" s="2"/>
    </row>
    <row r="112">
      <c r="A112" s="8" t="s">
        <v>36</v>
      </c>
      <c r="B112" s="9" t="s">
        <v>54</v>
      </c>
      <c r="C112" s="9" t="s">
        <v>55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37</v>
      </c>
      <c r="B113" s="9" t="s">
        <v>54</v>
      </c>
      <c r="C113" s="9" t="s">
        <v>55</v>
      </c>
      <c r="D113" s="10" t="s">
        <v>23</v>
      </c>
      <c r="E113" s="2" t="n">
        <f>17684</f>
        <v>17684.0</v>
      </c>
      <c r="F113" s="10" t="s">
        <v>23</v>
      </c>
      <c r="G113" s="2" t="n">
        <f>33176563400</f>
        <v>3.31765634E10</v>
      </c>
      <c r="H113" s="10"/>
      <c r="I113" s="2" t="n">
        <f>3492</f>
        <v>3492.0</v>
      </c>
      <c r="J113" s="10"/>
      <c r="K113" s="2" t="n">
        <f>50735</f>
        <v>50735.0</v>
      </c>
    </row>
    <row r="114">
      <c r="A114" s="8" t="s">
        <v>38</v>
      </c>
      <c r="B114" s="9" t="s">
        <v>54</v>
      </c>
      <c r="C114" s="9" t="s">
        <v>55</v>
      </c>
      <c r="D114" s="10"/>
      <c r="E114" s="2" t="n">
        <f>26813</f>
        <v>26813.0</v>
      </c>
      <c r="F114" s="10"/>
      <c r="G114" s="2" t="n">
        <f>50667766300</f>
        <v>5.06677663E10</v>
      </c>
      <c r="H114" s="10"/>
      <c r="I114" s="2" t="n">
        <f>3772</f>
        <v>3772.0</v>
      </c>
      <c r="J114" s="10"/>
      <c r="K114" s="2" t="n">
        <f>50342</f>
        <v>50342.0</v>
      </c>
    </row>
    <row r="115">
      <c r="A115" s="8" t="s">
        <v>39</v>
      </c>
      <c r="B115" s="9" t="s">
        <v>54</v>
      </c>
      <c r="C115" s="9" t="s">
        <v>55</v>
      </c>
      <c r="D115" s="10"/>
      <c r="E115" s="2" t="n">
        <f>27541</f>
        <v>27541.0</v>
      </c>
      <c r="F115" s="10"/>
      <c r="G115" s="2" t="n">
        <f>52590984920</f>
        <v>5.259098492E10</v>
      </c>
      <c r="H115" s="10"/>
      <c r="I115" s="2" t="n">
        <f>1409</f>
        <v>1409.0</v>
      </c>
      <c r="J115" s="10"/>
      <c r="K115" s="2" t="n">
        <f>51538</f>
        <v>51538.0</v>
      </c>
    </row>
    <row r="116">
      <c r="A116" s="8" t="s">
        <v>40</v>
      </c>
      <c r="B116" s="9" t="s">
        <v>54</v>
      </c>
      <c r="C116" s="9" t="s">
        <v>55</v>
      </c>
      <c r="D116" s="10"/>
      <c r="E116" s="2" t="n">
        <f>22098</f>
        <v>22098.0</v>
      </c>
      <c r="F116" s="10"/>
      <c r="G116" s="2" t="n">
        <f>42479902034</f>
        <v>4.2479902034E10</v>
      </c>
      <c r="H116" s="10" t="s">
        <v>23</v>
      </c>
      <c r="I116" s="2" t="n">
        <f>1266</f>
        <v>1266.0</v>
      </c>
      <c r="J116" s="10"/>
      <c r="K116" s="2" t="n">
        <f>53024</f>
        <v>53024.0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26389</f>
        <v>26389.0</v>
      </c>
      <c r="F117" s="10"/>
      <c r="G117" s="2" t="n">
        <f>50360789250</f>
        <v>5.036078925E10</v>
      </c>
      <c r="H117" s="10"/>
      <c r="I117" s="2" t="n">
        <f>2530</f>
        <v>2530.0</v>
      </c>
      <c r="J117" s="10"/>
      <c r="K117" s="2" t="n">
        <f>50660</f>
        <v>50660.0</v>
      </c>
    </row>
    <row r="118">
      <c r="A118" s="8" t="s">
        <v>42</v>
      </c>
      <c r="B118" s="9" t="s">
        <v>54</v>
      </c>
      <c r="C118" s="9" t="s">
        <v>55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43</v>
      </c>
      <c r="B119" s="9" t="s">
        <v>54</v>
      </c>
      <c r="C119" s="9" t="s">
        <v>55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44</v>
      </c>
      <c r="B120" s="9" t="s">
        <v>54</v>
      </c>
      <c r="C120" s="9" t="s">
        <v>55</v>
      </c>
      <c r="D120" s="10"/>
      <c r="E120" s="2" t="n">
        <f>34966</f>
        <v>34966.0</v>
      </c>
      <c r="F120" s="10"/>
      <c r="G120" s="2" t="n">
        <f>65795002400</f>
        <v>6.57950024E10</v>
      </c>
      <c r="H120" s="10"/>
      <c r="I120" s="2" t="n">
        <f>2338</f>
        <v>2338.0</v>
      </c>
      <c r="J120" s="10"/>
      <c r="K120" s="2" t="n">
        <f>49136</f>
        <v>49136.0</v>
      </c>
    </row>
    <row r="121">
      <c r="A121" s="8" t="s">
        <v>45</v>
      </c>
      <c r="B121" s="9" t="s">
        <v>54</v>
      </c>
      <c r="C121" s="9" t="s">
        <v>55</v>
      </c>
      <c r="D121" s="10"/>
      <c r="E121" s="2" t="n">
        <f>35441</f>
        <v>35441.0</v>
      </c>
      <c r="F121" s="10"/>
      <c r="G121" s="2" t="n">
        <f>66502285400</f>
        <v>6.65022854E10</v>
      </c>
      <c r="H121" s="10"/>
      <c r="I121" s="2" t="n">
        <f>2015</f>
        <v>2015.0</v>
      </c>
      <c r="J121" s="10" t="s">
        <v>23</v>
      </c>
      <c r="K121" s="2" t="n">
        <f>48989</f>
        <v>48989.0</v>
      </c>
    </row>
    <row r="122">
      <c r="A122" s="8" t="s">
        <v>46</v>
      </c>
      <c r="B122" s="9" t="s">
        <v>54</v>
      </c>
      <c r="C122" s="9" t="s">
        <v>55</v>
      </c>
      <c r="D122" s="10"/>
      <c r="E122" s="2" t="n">
        <f>32232</f>
        <v>32232.0</v>
      </c>
      <c r="F122" s="10"/>
      <c r="G122" s="2" t="n">
        <f>59769995020</f>
        <v>5.976999502E10</v>
      </c>
      <c r="H122" s="10"/>
      <c r="I122" s="2" t="n">
        <f>2234</f>
        <v>2234.0</v>
      </c>
      <c r="J122" s="10"/>
      <c r="K122" s="2" t="n">
        <f>49397</f>
        <v>49397.0</v>
      </c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35026</f>
        <v>35026.0</v>
      </c>
      <c r="F123" s="10"/>
      <c r="G123" s="2" t="n">
        <f>65678806950</f>
        <v>6.567880695E10</v>
      </c>
      <c r="H123" s="10"/>
      <c r="I123" s="2" t="n">
        <f>3170</f>
        <v>3170.0</v>
      </c>
      <c r="J123" s="10"/>
      <c r="K123" s="2" t="n">
        <f>51897</f>
        <v>51897.0</v>
      </c>
    </row>
    <row r="124">
      <c r="A124" s="8" t="s">
        <v>48</v>
      </c>
      <c r="B124" s="9" t="s">
        <v>54</v>
      </c>
      <c r="C124" s="9" t="s">
        <v>55</v>
      </c>
      <c r="D124" s="10"/>
      <c r="E124" s="2"/>
      <c r="F124" s="10"/>
      <c r="G124" s="2"/>
      <c r="H124" s="10"/>
      <c r="I124" s="2"/>
      <c r="J124" s="10"/>
      <c r="K124" s="2"/>
    </row>
    <row r="125">
      <c r="A125" s="8" t="s">
        <v>49</v>
      </c>
      <c r="B125" s="9" t="s">
        <v>54</v>
      </c>
      <c r="C125" s="9" t="s">
        <v>55</v>
      </c>
      <c r="D125" s="10"/>
      <c r="E125" s="2"/>
      <c r="F125" s="10"/>
      <c r="G125" s="2"/>
      <c r="H125" s="10"/>
      <c r="I125" s="2"/>
      <c r="J125" s="10"/>
      <c r="K125" s="2"/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16969</f>
        <v>16969.0</v>
      </c>
      <c r="F126" s="10"/>
      <c r="G126" s="2" t="n">
        <f>29676433500</f>
        <v>2.96764335E10</v>
      </c>
      <c r="H126" s="10"/>
      <c r="I126" s="2" t="n">
        <f>899</f>
        <v>899.0</v>
      </c>
      <c r="J126" s="10"/>
      <c r="K126" s="2" t="n">
        <f>62177</f>
        <v>62177.0</v>
      </c>
    </row>
    <row r="127">
      <c r="A127" s="8" t="s">
        <v>19</v>
      </c>
      <c r="B127" s="9" t="s">
        <v>56</v>
      </c>
      <c r="C127" s="9" t="s">
        <v>57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20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21</v>
      </c>
      <c r="B129" s="9" t="s">
        <v>56</v>
      </c>
      <c r="C129" s="9" t="s">
        <v>57</v>
      </c>
      <c r="D129" s="10"/>
      <c r="E129" s="2" t="n">
        <f>10268</f>
        <v>10268.0</v>
      </c>
      <c r="F129" s="10"/>
      <c r="G129" s="2" t="n">
        <f>18043690200</f>
        <v>1.80436902E10</v>
      </c>
      <c r="H129" s="10"/>
      <c r="I129" s="2" t="n">
        <f>285</f>
        <v>285.0</v>
      </c>
      <c r="J129" s="10"/>
      <c r="K129" s="2" t="n">
        <f>62637</f>
        <v>62637.0</v>
      </c>
    </row>
    <row r="130">
      <c r="A130" s="8" t="s">
        <v>22</v>
      </c>
      <c r="B130" s="9" t="s">
        <v>56</v>
      </c>
      <c r="C130" s="9" t="s">
        <v>57</v>
      </c>
      <c r="D130" s="10"/>
      <c r="E130" s="2" t="n">
        <f>13560</f>
        <v>13560.0</v>
      </c>
      <c r="F130" s="10"/>
      <c r="G130" s="2" t="n">
        <f>23854551486</f>
        <v>2.3854551486E10</v>
      </c>
      <c r="H130" s="10"/>
      <c r="I130" s="2" t="n">
        <f>731</f>
        <v>731.0</v>
      </c>
      <c r="J130" s="10"/>
      <c r="K130" s="2" t="n">
        <f>63630</f>
        <v>63630.0</v>
      </c>
    </row>
    <row r="131">
      <c r="A131" s="8" t="s">
        <v>24</v>
      </c>
      <c r="B131" s="9" t="s">
        <v>56</v>
      </c>
      <c r="C131" s="9" t="s">
        <v>57</v>
      </c>
      <c r="D131" s="10" t="s">
        <v>31</v>
      </c>
      <c r="E131" s="2" t="n">
        <f>25853</f>
        <v>25853.0</v>
      </c>
      <c r="F131" s="10" t="s">
        <v>31</v>
      </c>
      <c r="G131" s="2" t="n">
        <f>44851102500</f>
        <v>4.48511025E10</v>
      </c>
      <c r="H131" s="10"/>
      <c r="I131" s="2" t="n">
        <f>685</f>
        <v>685.0</v>
      </c>
      <c r="J131" s="10"/>
      <c r="K131" s="2" t="n">
        <f>63436</f>
        <v>63436.0</v>
      </c>
    </row>
    <row r="132">
      <c r="A132" s="8" t="s">
        <v>25</v>
      </c>
      <c r="B132" s="9" t="s">
        <v>56</v>
      </c>
      <c r="C132" s="9" t="s">
        <v>57</v>
      </c>
      <c r="D132" s="10"/>
      <c r="E132" s="2" t="n">
        <f>15297</f>
        <v>15297.0</v>
      </c>
      <c r="F132" s="10"/>
      <c r="G132" s="2" t="n">
        <f>26123828000</f>
        <v>2.6123828E10</v>
      </c>
      <c r="H132" s="10" t="s">
        <v>31</v>
      </c>
      <c r="I132" s="2" t="n">
        <f>1786</f>
        <v>1786.0</v>
      </c>
      <c r="J132" s="10" t="s">
        <v>31</v>
      </c>
      <c r="K132" s="2" t="n">
        <f>64009</f>
        <v>64009.0</v>
      </c>
    </row>
    <row r="133">
      <c r="A133" s="8" t="s">
        <v>26</v>
      </c>
      <c r="B133" s="9" t="s">
        <v>56</v>
      </c>
      <c r="C133" s="9" t="s">
        <v>57</v>
      </c>
      <c r="D133" s="10"/>
      <c r="E133" s="2" t="n">
        <f>11311</f>
        <v>11311.0</v>
      </c>
      <c r="F133" s="10"/>
      <c r="G133" s="2" t="n">
        <f>19314894000</f>
        <v>1.9314894E10</v>
      </c>
      <c r="H133" s="10"/>
      <c r="I133" s="2" t="n">
        <f>233</f>
        <v>233.0</v>
      </c>
      <c r="J133" s="10"/>
      <c r="K133" s="2" t="n">
        <f>63279</f>
        <v>63279.0</v>
      </c>
    </row>
    <row r="134">
      <c r="A134" s="8" t="s">
        <v>27</v>
      </c>
      <c r="B134" s="9" t="s">
        <v>56</v>
      </c>
      <c r="C134" s="9" t="s">
        <v>57</v>
      </c>
      <c r="D134" s="10"/>
      <c r="E134" s="2"/>
      <c r="F134" s="10"/>
      <c r="G134" s="2"/>
      <c r="H134" s="10"/>
      <c r="I134" s="2"/>
      <c r="J134" s="10"/>
      <c r="K134" s="2"/>
    </row>
    <row r="135">
      <c r="A135" s="8" t="s">
        <v>28</v>
      </c>
      <c r="B135" s="9" t="s">
        <v>56</v>
      </c>
      <c r="C135" s="9" t="s">
        <v>57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29</v>
      </c>
      <c r="B136" s="9" t="s">
        <v>56</v>
      </c>
      <c r="C136" s="9" t="s">
        <v>57</v>
      </c>
      <c r="D136" s="10"/>
      <c r="E136" s="2" t="n">
        <f>7701</f>
        <v>7701.0</v>
      </c>
      <c r="F136" s="10"/>
      <c r="G136" s="2" t="n">
        <f>13155514500</f>
        <v>1.31555145E10</v>
      </c>
      <c r="H136" s="10"/>
      <c r="I136" s="2" t="n">
        <f>146</f>
        <v>146.0</v>
      </c>
      <c r="J136" s="10"/>
      <c r="K136" s="2" t="n">
        <f>62176</f>
        <v>62176.0</v>
      </c>
    </row>
    <row r="137">
      <c r="A137" s="8" t="s">
        <v>30</v>
      </c>
      <c r="B137" s="9" t="s">
        <v>56</v>
      </c>
      <c r="C137" s="9" t="s">
        <v>57</v>
      </c>
      <c r="D137" s="10"/>
      <c r="E137" s="2" t="n">
        <f>7049</f>
        <v>7049.0</v>
      </c>
      <c r="F137" s="10"/>
      <c r="G137" s="2" t="n">
        <f>11943419000</f>
        <v>1.1943419E10</v>
      </c>
      <c r="H137" s="10"/>
      <c r="I137" s="2" t="n">
        <f>536</f>
        <v>536.0</v>
      </c>
      <c r="J137" s="10"/>
      <c r="K137" s="2" t="n">
        <f>61937</f>
        <v>61937.0</v>
      </c>
    </row>
    <row r="138">
      <c r="A138" s="8" t="s">
        <v>32</v>
      </c>
      <c r="B138" s="9" t="s">
        <v>56</v>
      </c>
      <c r="C138" s="9" t="s">
        <v>57</v>
      </c>
      <c r="D138" s="10"/>
      <c r="E138" s="2" t="n">
        <f>7422</f>
        <v>7422.0</v>
      </c>
      <c r="F138" s="10"/>
      <c r="G138" s="2" t="n">
        <f>12567445000</f>
        <v>1.2567445E10</v>
      </c>
      <c r="H138" s="10"/>
      <c r="I138" s="2" t="n">
        <f>823</f>
        <v>823.0</v>
      </c>
      <c r="J138" s="10"/>
      <c r="K138" s="2" t="n">
        <f>61710</f>
        <v>61710.0</v>
      </c>
    </row>
    <row r="139">
      <c r="A139" s="8" t="s">
        <v>33</v>
      </c>
      <c r="B139" s="9" t="s">
        <v>56</v>
      </c>
      <c r="C139" s="9" t="s">
        <v>57</v>
      </c>
      <c r="D139" s="10"/>
      <c r="E139" s="2" t="n">
        <f>8385</f>
        <v>8385.0</v>
      </c>
      <c r="F139" s="10"/>
      <c r="G139" s="2" t="n">
        <f>14353259220</f>
        <v>1.435325922E10</v>
      </c>
      <c r="H139" s="10"/>
      <c r="I139" s="2" t="n">
        <f>369</f>
        <v>369.0</v>
      </c>
      <c r="J139" s="10"/>
      <c r="K139" s="2" t="n">
        <f>61907</f>
        <v>61907.0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6448</f>
        <v>6448.0</v>
      </c>
      <c r="F140" s="10"/>
      <c r="G140" s="2" t="n">
        <f>11018172500</f>
        <v>1.10181725E10</v>
      </c>
      <c r="H140" s="10"/>
      <c r="I140" s="2" t="n">
        <f>146</f>
        <v>146.0</v>
      </c>
      <c r="J140" s="10" t="s">
        <v>23</v>
      </c>
      <c r="K140" s="2" t="n">
        <f>61636</f>
        <v>61636.0</v>
      </c>
    </row>
    <row r="141">
      <c r="A141" s="8" t="s">
        <v>35</v>
      </c>
      <c r="B141" s="9" t="s">
        <v>56</v>
      </c>
      <c r="C141" s="9" t="s">
        <v>57</v>
      </c>
      <c r="D141" s="10"/>
      <c r="E141" s="2"/>
      <c r="F141" s="10"/>
      <c r="G141" s="2"/>
      <c r="H141" s="10"/>
      <c r="I141" s="2"/>
      <c r="J141" s="10"/>
      <c r="K141" s="2"/>
    </row>
    <row r="142">
      <c r="A142" s="8" t="s">
        <v>36</v>
      </c>
      <c r="B142" s="9" t="s">
        <v>56</v>
      </c>
      <c r="C142" s="9" t="s">
        <v>57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37</v>
      </c>
      <c r="B143" s="9" t="s">
        <v>56</v>
      </c>
      <c r="C143" s="9" t="s">
        <v>57</v>
      </c>
      <c r="D143" s="10" t="s">
        <v>23</v>
      </c>
      <c r="E143" s="2" t="n">
        <f>3966</f>
        <v>3966.0</v>
      </c>
      <c r="F143" s="10" t="s">
        <v>23</v>
      </c>
      <c r="G143" s="2" t="n">
        <f>6702074000</f>
        <v>6.702074E9</v>
      </c>
      <c r="H143" s="10"/>
      <c r="I143" s="2" t="n">
        <f>72</f>
        <v>72.0</v>
      </c>
      <c r="J143" s="10"/>
      <c r="K143" s="2" t="n">
        <f>61798</f>
        <v>61798.0</v>
      </c>
    </row>
    <row r="144">
      <c r="A144" s="8" t="s">
        <v>38</v>
      </c>
      <c r="B144" s="9" t="s">
        <v>56</v>
      </c>
      <c r="C144" s="9" t="s">
        <v>57</v>
      </c>
      <c r="D144" s="10"/>
      <c r="E144" s="2" t="n">
        <f>5591</f>
        <v>5591.0</v>
      </c>
      <c r="F144" s="10"/>
      <c r="G144" s="2" t="n">
        <f>9520236000</f>
        <v>9.520236E9</v>
      </c>
      <c r="H144" s="10" t="s">
        <v>23</v>
      </c>
      <c r="I144" s="2" t="n">
        <f>67</f>
        <v>67.0</v>
      </c>
      <c r="J144" s="10"/>
      <c r="K144" s="2" t="n">
        <f>61674</f>
        <v>61674.0</v>
      </c>
    </row>
    <row r="145">
      <c r="A145" s="8" t="s">
        <v>39</v>
      </c>
      <c r="B145" s="9" t="s">
        <v>56</v>
      </c>
      <c r="C145" s="9" t="s">
        <v>57</v>
      </c>
      <c r="D145" s="10"/>
      <c r="E145" s="2" t="n">
        <f>7648</f>
        <v>7648.0</v>
      </c>
      <c r="F145" s="10"/>
      <c r="G145" s="2" t="n">
        <f>13149556070</f>
        <v>1.314955607E10</v>
      </c>
      <c r="H145" s="10"/>
      <c r="I145" s="2" t="n">
        <f>114</f>
        <v>114.0</v>
      </c>
      <c r="J145" s="10"/>
      <c r="K145" s="2" t="n">
        <f>62302</f>
        <v>62302.0</v>
      </c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5697</f>
        <v>5697.0</v>
      </c>
      <c r="F146" s="10"/>
      <c r="G146" s="2" t="n">
        <f>9869391500</f>
        <v>9.8693915E9</v>
      </c>
      <c r="H146" s="10"/>
      <c r="I146" s="2" t="n">
        <f>116</f>
        <v>116.0</v>
      </c>
      <c r="J146" s="10"/>
      <c r="K146" s="2" t="n">
        <f>62445</f>
        <v>62445.0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8093</f>
        <v>8093.0</v>
      </c>
      <c r="F147" s="10"/>
      <c r="G147" s="2" t="n">
        <f>13938737000</f>
        <v>1.3938737E10</v>
      </c>
      <c r="H147" s="10"/>
      <c r="I147" s="2" t="n">
        <f>245</f>
        <v>245.0</v>
      </c>
      <c r="J147" s="10"/>
      <c r="K147" s="2" t="n">
        <f>61937</f>
        <v>61937.0</v>
      </c>
    </row>
    <row r="148">
      <c r="A148" s="8" t="s">
        <v>42</v>
      </c>
      <c r="B148" s="9" t="s">
        <v>56</v>
      </c>
      <c r="C148" s="9" t="s">
        <v>57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43</v>
      </c>
      <c r="B149" s="9" t="s">
        <v>56</v>
      </c>
      <c r="C149" s="9" t="s">
        <v>57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44</v>
      </c>
      <c r="B150" s="9" t="s">
        <v>56</v>
      </c>
      <c r="C150" s="9" t="s">
        <v>57</v>
      </c>
      <c r="D150" s="10"/>
      <c r="E150" s="2" t="n">
        <f>11302</f>
        <v>11302.0</v>
      </c>
      <c r="F150" s="10"/>
      <c r="G150" s="2" t="n">
        <f>19210928500</f>
        <v>1.92109285E10</v>
      </c>
      <c r="H150" s="10"/>
      <c r="I150" s="2" t="n">
        <f>680</f>
        <v>680.0</v>
      </c>
      <c r="J150" s="10"/>
      <c r="K150" s="2" t="n">
        <f>61854</f>
        <v>61854.0</v>
      </c>
    </row>
    <row r="151">
      <c r="A151" s="8" t="s">
        <v>45</v>
      </c>
      <c r="B151" s="9" t="s">
        <v>56</v>
      </c>
      <c r="C151" s="9" t="s">
        <v>57</v>
      </c>
      <c r="D151" s="10"/>
      <c r="E151" s="2" t="n">
        <f>10116</f>
        <v>10116.0</v>
      </c>
      <c r="F151" s="10"/>
      <c r="G151" s="2" t="n">
        <f>17131989500</f>
        <v>1.71319895E10</v>
      </c>
      <c r="H151" s="10"/>
      <c r="I151" s="2" t="n">
        <f>205</f>
        <v>205.0</v>
      </c>
      <c r="J151" s="10"/>
      <c r="K151" s="2" t="n">
        <f>62467</f>
        <v>62467.0</v>
      </c>
    </row>
    <row r="152">
      <c r="A152" s="8" t="s">
        <v>46</v>
      </c>
      <c r="B152" s="9" t="s">
        <v>56</v>
      </c>
      <c r="C152" s="9" t="s">
        <v>57</v>
      </c>
      <c r="D152" s="10"/>
      <c r="E152" s="2" t="n">
        <f>9376</f>
        <v>9376.0</v>
      </c>
      <c r="F152" s="10"/>
      <c r="G152" s="2" t="n">
        <f>15696159500</f>
        <v>1.56961595E10</v>
      </c>
      <c r="H152" s="10"/>
      <c r="I152" s="2" t="n">
        <f>100</f>
        <v>100.0</v>
      </c>
      <c r="J152" s="10"/>
      <c r="K152" s="2" t="n">
        <f>61927</f>
        <v>61927.0</v>
      </c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10001</f>
        <v>10001.0</v>
      </c>
      <c r="F153" s="10"/>
      <c r="G153" s="2" t="n">
        <f>16915352500</f>
        <v>1.69153525E10</v>
      </c>
      <c r="H153" s="10"/>
      <c r="I153" s="2" t="n">
        <f>269</f>
        <v>269.0</v>
      </c>
      <c r="J153" s="10"/>
      <c r="K153" s="2" t="n">
        <f>62380</f>
        <v>62380.0</v>
      </c>
    </row>
    <row r="154">
      <c r="A154" s="8" t="s">
        <v>48</v>
      </c>
      <c r="B154" s="9" t="s">
        <v>56</v>
      </c>
      <c r="C154" s="9" t="s">
        <v>57</v>
      </c>
      <c r="D154" s="10"/>
      <c r="E154" s="2"/>
      <c r="F154" s="10"/>
      <c r="G154" s="2"/>
      <c r="H154" s="10"/>
      <c r="I154" s="2"/>
      <c r="J154" s="10"/>
      <c r="K154" s="2"/>
    </row>
    <row r="155">
      <c r="A155" s="8" t="s">
        <v>49</v>
      </c>
      <c r="B155" s="9" t="s">
        <v>56</v>
      </c>
      <c r="C155" s="9" t="s">
        <v>57</v>
      </c>
      <c r="D155" s="10"/>
      <c r="E155" s="2"/>
      <c r="F155" s="10"/>
      <c r="G155" s="2"/>
      <c r="H155" s="10"/>
      <c r="I155" s="2"/>
      <c r="J155" s="10"/>
      <c r="K155" s="2"/>
    </row>
    <row r="156">
      <c r="A156" s="8" t="s">
        <v>16</v>
      </c>
      <c r="B156" s="9" t="s">
        <v>58</v>
      </c>
      <c r="C156" s="9" t="s">
        <v>59</v>
      </c>
      <c r="D156" s="10" t="s">
        <v>23</v>
      </c>
      <c r="E156" s="2" t="str">
        <f>"－"</f>
        <v>－</v>
      </c>
      <c r="F156" s="10" t="s">
        <v>23</v>
      </c>
      <c r="G156" s="2" t="str">
        <f>"－"</f>
        <v>－</v>
      </c>
      <c r="H156" s="10" t="s">
        <v>60</v>
      </c>
      <c r="I156" s="2" t="str">
        <f>"－"</f>
        <v>－</v>
      </c>
      <c r="J156" s="10" t="s">
        <v>23</v>
      </c>
      <c r="K156" s="2" t="n">
        <f>106</f>
        <v>106.0</v>
      </c>
    </row>
    <row r="157">
      <c r="A157" s="8" t="s">
        <v>19</v>
      </c>
      <c r="B157" s="9" t="s">
        <v>58</v>
      </c>
      <c r="C157" s="9" t="s">
        <v>59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20</v>
      </c>
      <c r="B158" s="9" t="s">
        <v>58</v>
      </c>
      <c r="C158" s="9" t="s">
        <v>59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21</v>
      </c>
      <c r="B159" s="9" t="s">
        <v>58</v>
      </c>
      <c r="C159" s="9" t="s">
        <v>59</v>
      </c>
      <c r="D159" s="10"/>
      <c r="E159" s="2" t="str">
        <f>"－"</f>
        <v>－</v>
      </c>
      <c r="F159" s="10"/>
      <c r="G159" s="2" t="str">
        <f>"－"</f>
        <v>－</v>
      </c>
      <c r="H159" s="10"/>
      <c r="I159" s="2" t="str">
        <f>"－"</f>
        <v>－</v>
      </c>
      <c r="J159" s="10"/>
      <c r="K159" s="2" t="n">
        <f>106</f>
        <v>106.0</v>
      </c>
    </row>
    <row r="160">
      <c r="A160" s="8" t="s">
        <v>22</v>
      </c>
      <c r="B160" s="9" t="s">
        <v>58</v>
      </c>
      <c r="C160" s="9" t="s">
        <v>59</v>
      </c>
      <c r="D160" s="10" t="s">
        <v>31</v>
      </c>
      <c r="E160" s="2" t="n">
        <f>2</f>
        <v>2.0</v>
      </c>
      <c r="F160" s="10" t="s">
        <v>31</v>
      </c>
      <c r="G160" s="2" t="n">
        <f>1958000</f>
        <v>1958000.0</v>
      </c>
      <c r="H160" s="10"/>
      <c r="I160" s="2" t="str">
        <f>"－"</f>
        <v>－</v>
      </c>
      <c r="J160" s="10" t="s">
        <v>31</v>
      </c>
      <c r="K160" s="2" t="n">
        <f>107</f>
        <v>107.0</v>
      </c>
    </row>
    <row r="161">
      <c r="A161" s="8" t="s">
        <v>24</v>
      </c>
      <c r="B161" s="9" t="s">
        <v>58</v>
      </c>
      <c r="C161" s="9" t="s">
        <v>59</v>
      </c>
      <c r="D161" s="10"/>
      <c r="E161" s="2" t="n">
        <f>1</f>
        <v>1.0</v>
      </c>
      <c r="F161" s="10"/>
      <c r="G161" s="2" t="n">
        <f>957500</f>
        <v>957500.0</v>
      </c>
      <c r="H161" s="10"/>
      <c r="I161" s="2" t="str">
        <f>"－"</f>
        <v>－</v>
      </c>
      <c r="J161" s="10"/>
      <c r="K161" s="2" t="n">
        <f>107</f>
        <v>107.0</v>
      </c>
    </row>
    <row r="162">
      <c r="A162" s="8" t="s">
        <v>25</v>
      </c>
      <c r="B162" s="9" t="s">
        <v>58</v>
      </c>
      <c r="C162" s="9" t="s">
        <v>59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107</f>
        <v>107.0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107</f>
        <v>107.0</v>
      </c>
    </row>
    <row r="164">
      <c r="A164" s="8" t="s">
        <v>27</v>
      </c>
      <c r="B164" s="9" t="s">
        <v>58</v>
      </c>
      <c r="C164" s="9" t="s">
        <v>59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28</v>
      </c>
      <c r="B165" s="9" t="s">
        <v>58</v>
      </c>
      <c r="C165" s="9" t="s">
        <v>59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29</v>
      </c>
      <c r="B166" s="9" t="s">
        <v>58</v>
      </c>
      <c r="C166" s="9" t="s">
        <v>59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107</f>
        <v>107.0</v>
      </c>
    </row>
    <row r="167">
      <c r="A167" s="8" t="s">
        <v>30</v>
      </c>
      <c r="B167" s="9" t="s">
        <v>58</v>
      </c>
      <c r="C167" s="9" t="s">
        <v>59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107</f>
        <v>107.0</v>
      </c>
    </row>
    <row r="168">
      <c r="A168" s="8" t="s">
        <v>32</v>
      </c>
      <c r="B168" s="9" t="s">
        <v>58</v>
      </c>
      <c r="C168" s="9" t="s">
        <v>59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107</f>
        <v>107.0</v>
      </c>
    </row>
    <row r="169">
      <c r="A169" s="8" t="s">
        <v>33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107</f>
        <v>107.0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107</f>
        <v>107.0</v>
      </c>
    </row>
    <row r="171">
      <c r="A171" s="8" t="s">
        <v>35</v>
      </c>
      <c r="B171" s="9" t="s">
        <v>58</v>
      </c>
      <c r="C171" s="9" t="s">
        <v>59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36</v>
      </c>
      <c r="B172" s="9" t="s">
        <v>58</v>
      </c>
      <c r="C172" s="9" t="s">
        <v>59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37</v>
      </c>
      <c r="B173" s="9" t="s">
        <v>58</v>
      </c>
      <c r="C173" s="9" t="s">
        <v>59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107</f>
        <v>107.0</v>
      </c>
    </row>
    <row r="174">
      <c r="A174" s="8" t="s">
        <v>38</v>
      </c>
      <c r="B174" s="9" t="s">
        <v>58</v>
      </c>
      <c r="C174" s="9" t="s">
        <v>59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107</f>
        <v>107.0</v>
      </c>
    </row>
    <row r="175">
      <c r="A175" s="8" t="s">
        <v>39</v>
      </c>
      <c r="B175" s="9" t="s">
        <v>58</v>
      </c>
      <c r="C175" s="9" t="s">
        <v>59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107</f>
        <v>107.0</v>
      </c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107</f>
        <v>107.0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107</f>
        <v>107.0</v>
      </c>
    </row>
    <row r="178">
      <c r="A178" s="8" t="s">
        <v>42</v>
      </c>
      <c r="B178" s="9" t="s">
        <v>58</v>
      </c>
      <c r="C178" s="9" t="s">
        <v>59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43</v>
      </c>
      <c r="B179" s="9" t="s">
        <v>58</v>
      </c>
      <c r="C179" s="9" t="s">
        <v>59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44</v>
      </c>
      <c r="B180" s="9" t="s">
        <v>58</v>
      </c>
      <c r="C180" s="9" t="s">
        <v>59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107</f>
        <v>107.0</v>
      </c>
    </row>
    <row r="181">
      <c r="A181" s="8" t="s">
        <v>45</v>
      </c>
      <c r="B181" s="9" t="s">
        <v>58</v>
      </c>
      <c r="C181" s="9" t="s">
        <v>59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107</f>
        <v>107.0</v>
      </c>
    </row>
    <row r="182">
      <c r="A182" s="8" t="s">
        <v>46</v>
      </c>
      <c r="B182" s="9" t="s">
        <v>58</v>
      </c>
      <c r="C182" s="9" t="s">
        <v>59</v>
      </c>
      <c r="D182" s="10"/>
      <c r="E182" s="2" t="n">
        <f>1</f>
        <v>1.0</v>
      </c>
      <c r="F182" s="10"/>
      <c r="G182" s="2" t="n">
        <f>910870</f>
        <v>910870.0</v>
      </c>
      <c r="H182" s="10"/>
      <c r="I182" s="2" t="str">
        <f>"－"</f>
        <v>－</v>
      </c>
      <c r="J182" s="10"/>
      <c r="K182" s="2" t="n">
        <f>106</f>
        <v>106.0</v>
      </c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106</f>
        <v>106.0</v>
      </c>
    </row>
    <row r="184">
      <c r="A184" s="8" t="s">
        <v>48</v>
      </c>
      <c r="B184" s="9" t="s">
        <v>58</v>
      </c>
      <c r="C184" s="9" t="s">
        <v>59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49</v>
      </c>
      <c r="B185" s="9" t="s">
        <v>58</v>
      </c>
      <c r="C185" s="9" t="s">
        <v>59</v>
      </c>
      <c r="D185" s="10"/>
      <c r="E185" s="2"/>
      <c r="F185" s="10"/>
      <c r="G185" s="2"/>
      <c r="H185" s="10"/>
      <c r="I185" s="2"/>
      <c r="J185" s="10"/>
      <c r="K185" s="2"/>
    </row>
    <row r="186">
      <c r="A186" s="8" t="s">
        <v>16</v>
      </c>
      <c r="B186" s="9" t="s">
        <v>61</v>
      </c>
      <c r="C186" s="9" t="s">
        <v>62</v>
      </c>
      <c r="D186" s="10" t="s">
        <v>23</v>
      </c>
      <c r="E186" s="2" t="str">
        <f>"－"</f>
        <v>－</v>
      </c>
      <c r="F186" s="10" t="s">
        <v>23</v>
      </c>
      <c r="G186" s="2" t="str">
        <f>"－"</f>
        <v>－</v>
      </c>
      <c r="H186" s="10" t="s">
        <v>23</v>
      </c>
      <c r="I186" s="2" t="str">
        <f>"－"</f>
        <v>－</v>
      </c>
      <c r="J186" s="10" t="s">
        <v>31</v>
      </c>
      <c r="K186" s="2" t="n">
        <f>36578</f>
        <v>36578.0</v>
      </c>
    </row>
    <row r="187">
      <c r="A187" s="8" t="s">
        <v>19</v>
      </c>
      <c r="B187" s="9" t="s">
        <v>61</v>
      </c>
      <c r="C187" s="9" t="s">
        <v>62</v>
      </c>
      <c r="D187" s="10"/>
      <c r="E187" s="2"/>
      <c r="F187" s="10"/>
      <c r="G187" s="2"/>
      <c r="H187" s="10"/>
      <c r="I187" s="2"/>
      <c r="J187" s="10"/>
      <c r="K187" s="2"/>
    </row>
    <row r="188">
      <c r="A188" s="8" t="s">
        <v>20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21</v>
      </c>
      <c r="B189" s="9" t="s">
        <v>61</v>
      </c>
      <c r="C189" s="9" t="s">
        <v>62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36578</f>
        <v>36578.0</v>
      </c>
    </row>
    <row r="190">
      <c r="A190" s="8" t="s">
        <v>22</v>
      </c>
      <c r="B190" s="9" t="s">
        <v>61</v>
      </c>
      <c r="C190" s="9" t="s">
        <v>62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36578</f>
        <v>36578.0</v>
      </c>
    </row>
    <row r="191">
      <c r="A191" s="8" t="s">
        <v>24</v>
      </c>
      <c r="B191" s="9" t="s">
        <v>61</v>
      </c>
      <c r="C191" s="9" t="s">
        <v>62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36578</f>
        <v>36578.0</v>
      </c>
    </row>
    <row r="192">
      <c r="A192" s="8" t="s">
        <v>25</v>
      </c>
      <c r="B192" s="9" t="s">
        <v>61</v>
      </c>
      <c r="C192" s="9" t="s">
        <v>62</v>
      </c>
      <c r="D192" s="10"/>
      <c r="E192" s="2" t="str">
        <f>"－"</f>
        <v>－</v>
      </c>
      <c r="F192" s="10"/>
      <c r="G192" s="2" t="str">
        <f>"－"</f>
        <v>－</v>
      </c>
      <c r="H192" s="10"/>
      <c r="I192" s="2" t="str">
        <f>"－"</f>
        <v>－</v>
      </c>
      <c r="J192" s="10"/>
      <c r="K192" s="2" t="n">
        <f>36578</f>
        <v>36578.0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36578</f>
        <v>36578.0</v>
      </c>
    </row>
    <row r="194">
      <c r="A194" s="8" t="s">
        <v>27</v>
      </c>
      <c r="B194" s="9" t="s">
        <v>61</v>
      </c>
      <c r="C194" s="9" t="s">
        <v>62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28</v>
      </c>
      <c r="B195" s="9" t="s">
        <v>61</v>
      </c>
      <c r="C195" s="9" t="s">
        <v>62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29</v>
      </c>
      <c r="B196" s="9" t="s">
        <v>61</v>
      </c>
      <c r="C196" s="9" t="s">
        <v>62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36578</f>
        <v>36578.0</v>
      </c>
    </row>
    <row r="197">
      <c r="A197" s="8" t="s">
        <v>30</v>
      </c>
      <c r="B197" s="9" t="s">
        <v>61</v>
      </c>
      <c r="C197" s="9" t="s">
        <v>62</v>
      </c>
      <c r="D197" s="10" t="s">
        <v>31</v>
      </c>
      <c r="E197" s="2" t="n">
        <f>140</f>
        <v>140.0</v>
      </c>
      <c r="F197" s="10" t="s">
        <v>31</v>
      </c>
      <c r="G197" s="2" t="n">
        <f>221942000</f>
        <v>2.21942E8</v>
      </c>
      <c r="H197" s="10" t="s">
        <v>31</v>
      </c>
      <c r="I197" s="2" t="n">
        <f>140</f>
        <v>140.0</v>
      </c>
      <c r="J197" s="10" t="s">
        <v>23</v>
      </c>
      <c r="K197" s="2" t="n">
        <f>36438</f>
        <v>36438.0</v>
      </c>
    </row>
    <row r="198">
      <c r="A198" s="8" t="s">
        <v>32</v>
      </c>
      <c r="B198" s="9" t="s">
        <v>61</v>
      </c>
      <c r="C198" s="9" t="s">
        <v>62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36438</f>
        <v>36438.0</v>
      </c>
    </row>
    <row r="199">
      <c r="A199" s="8" t="s">
        <v>33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36438</f>
        <v>36438.0</v>
      </c>
    </row>
    <row r="200">
      <c r="A200" s="8" t="s">
        <v>34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36438</f>
        <v>36438.0</v>
      </c>
    </row>
    <row r="201">
      <c r="A201" s="8" t="s">
        <v>35</v>
      </c>
      <c r="B201" s="9" t="s">
        <v>61</v>
      </c>
      <c r="C201" s="9" t="s">
        <v>62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36</v>
      </c>
      <c r="B202" s="9" t="s">
        <v>61</v>
      </c>
      <c r="C202" s="9" t="s">
        <v>62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37</v>
      </c>
      <c r="B203" s="9" t="s">
        <v>61</v>
      </c>
      <c r="C203" s="9" t="s">
        <v>62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36438</f>
        <v>36438.0</v>
      </c>
    </row>
    <row r="204">
      <c r="A204" s="8" t="s">
        <v>38</v>
      </c>
      <c r="B204" s="9" t="s">
        <v>61</v>
      </c>
      <c r="C204" s="9" t="s">
        <v>62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36438</f>
        <v>36438.0</v>
      </c>
    </row>
    <row r="205">
      <c r="A205" s="8" t="s">
        <v>39</v>
      </c>
      <c r="B205" s="9" t="s">
        <v>61</v>
      </c>
      <c r="C205" s="9" t="s">
        <v>62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36438</f>
        <v>36438.0</v>
      </c>
    </row>
    <row r="206">
      <c r="A206" s="8" t="s">
        <v>40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36438</f>
        <v>36438.0</v>
      </c>
    </row>
    <row r="207">
      <c r="A207" s="8" t="s">
        <v>41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36438</f>
        <v>36438.0</v>
      </c>
    </row>
    <row r="208">
      <c r="A208" s="8" t="s">
        <v>42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43</v>
      </c>
      <c r="B209" s="9" t="s">
        <v>61</v>
      </c>
      <c r="C209" s="9" t="s">
        <v>62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44</v>
      </c>
      <c r="B210" s="9" t="s">
        <v>61</v>
      </c>
      <c r="C210" s="9" t="s">
        <v>62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36438</f>
        <v>36438.0</v>
      </c>
    </row>
    <row r="211">
      <c r="A211" s="8" t="s">
        <v>45</v>
      </c>
      <c r="B211" s="9" t="s">
        <v>61</v>
      </c>
      <c r="C211" s="9" t="s">
        <v>62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36438</f>
        <v>36438.0</v>
      </c>
    </row>
    <row r="212">
      <c r="A212" s="8" t="s">
        <v>46</v>
      </c>
      <c r="B212" s="9" t="s">
        <v>61</v>
      </c>
      <c r="C212" s="9" t="s">
        <v>62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36438</f>
        <v>36438.0</v>
      </c>
    </row>
    <row r="213">
      <c r="A213" s="8" t="s">
        <v>47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36438</f>
        <v>36438.0</v>
      </c>
    </row>
    <row r="214">
      <c r="A214" s="8" t="s">
        <v>48</v>
      </c>
      <c r="B214" s="9" t="s">
        <v>61</v>
      </c>
      <c r="C214" s="9" t="s">
        <v>62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49</v>
      </c>
      <c r="B215" s="9" t="s">
        <v>61</v>
      </c>
      <c r="C215" s="9" t="s">
        <v>62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2333</f>
        <v>2333.0</v>
      </c>
      <c r="F216" s="10"/>
      <c r="G216" s="2" t="n">
        <f>4646699850</f>
        <v>4.64669985E9</v>
      </c>
      <c r="H216" s="10"/>
      <c r="I216" s="2" t="n">
        <f>71</f>
        <v>71.0</v>
      </c>
      <c r="J216" s="10" t="s">
        <v>31</v>
      </c>
      <c r="K216" s="2" t="n">
        <f>72916</f>
        <v>72916.0</v>
      </c>
    </row>
    <row r="217">
      <c r="A217" s="8" t="s">
        <v>19</v>
      </c>
      <c r="B217" s="9" t="s">
        <v>63</v>
      </c>
      <c r="C217" s="9" t="s">
        <v>64</v>
      </c>
      <c r="D217" s="10"/>
      <c r="E217" s="2"/>
      <c r="F217" s="10"/>
      <c r="G217" s="2"/>
      <c r="H217" s="10"/>
      <c r="I217" s="2"/>
      <c r="J217" s="10"/>
      <c r="K217" s="2"/>
    </row>
    <row r="218">
      <c r="A218" s="8" t="s">
        <v>20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21</v>
      </c>
      <c r="B219" s="9" t="s">
        <v>63</v>
      </c>
      <c r="C219" s="9" t="s">
        <v>64</v>
      </c>
      <c r="D219" s="10"/>
      <c r="E219" s="2" t="n">
        <f>2064</f>
        <v>2064.0</v>
      </c>
      <c r="F219" s="10"/>
      <c r="G219" s="2" t="n">
        <f>4172236820</f>
        <v>4.17223682E9</v>
      </c>
      <c r="H219" s="10" t="s">
        <v>31</v>
      </c>
      <c r="I219" s="2" t="n">
        <f>720</f>
        <v>720.0</v>
      </c>
      <c r="J219" s="10"/>
      <c r="K219" s="2" t="n">
        <f>72214</f>
        <v>72214.0</v>
      </c>
    </row>
    <row r="220">
      <c r="A220" s="8" t="s">
        <v>22</v>
      </c>
      <c r="B220" s="9" t="s">
        <v>63</v>
      </c>
      <c r="C220" s="9" t="s">
        <v>64</v>
      </c>
      <c r="D220" s="10"/>
      <c r="E220" s="2" t="n">
        <f>721</f>
        <v>721.0</v>
      </c>
      <c r="F220" s="10"/>
      <c r="G220" s="2" t="n">
        <f>1450311190</f>
        <v>1.45031119E9</v>
      </c>
      <c r="H220" s="10"/>
      <c r="I220" s="2" t="n">
        <f>40</f>
        <v>40.0</v>
      </c>
      <c r="J220" s="10"/>
      <c r="K220" s="2" t="n">
        <f>72254</f>
        <v>72254.0</v>
      </c>
    </row>
    <row r="221">
      <c r="A221" s="8" t="s">
        <v>24</v>
      </c>
      <c r="B221" s="9" t="s">
        <v>63</v>
      </c>
      <c r="C221" s="9" t="s">
        <v>64</v>
      </c>
      <c r="D221" s="10"/>
      <c r="E221" s="2" t="n">
        <f>1732</f>
        <v>1732.0</v>
      </c>
      <c r="F221" s="10"/>
      <c r="G221" s="2" t="n">
        <f>3479249350</f>
        <v>3.47924935E9</v>
      </c>
      <c r="H221" s="10"/>
      <c r="I221" s="2" t="n">
        <f>10</f>
        <v>10.0</v>
      </c>
      <c r="J221" s="10"/>
      <c r="K221" s="2" t="n">
        <f>72211</f>
        <v>72211.0</v>
      </c>
    </row>
    <row r="222">
      <c r="A222" s="8" t="s">
        <v>25</v>
      </c>
      <c r="B222" s="9" t="s">
        <v>63</v>
      </c>
      <c r="C222" s="9" t="s">
        <v>64</v>
      </c>
      <c r="D222" s="10"/>
      <c r="E222" s="2" t="n">
        <f>1147</f>
        <v>1147.0</v>
      </c>
      <c r="F222" s="10"/>
      <c r="G222" s="2" t="n">
        <f>2284820950</f>
        <v>2.28482095E9</v>
      </c>
      <c r="H222" s="10"/>
      <c r="I222" s="2" t="n">
        <f>10</f>
        <v>10.0</v>
      </c>
      <c r="J222" s="10"/>
      <c r="K222" s="2" t="n">
        <f>72440</f>
        <v>72440.0</v>
      </c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989</f>
        <v>989.0</v>
      </c>
      <c r="F223" s="10"/>
      <c r="G223" s="2" t="n">
        <f>1947405360</f>
        <v>1.94740536E9</v>
      </c>
      <c r="H223" s="10"/>
      <c r="I223" s="2" t="n">
        <f>30</f>
        <v>30.0</v>
      </c>
      <c r="J223" s="10"/>
      <c r="K223" s="2" t="n">
        <f>71866</f>
        <v>71866.0</v>
      </c>
    </row>
    <row r="224">
      <c r="A224" s="8" t="s">
        <v>27</v>
      </c>
      <c r="B224" s="9" t="s">
        <v>63</v>
      </c>
      <c r="C224" s="9" t="s">
        <v>64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28</v>
      </c>
      <c r="B225" s="9" t="s">
        <v>63</v>
      </c>
      <c r="C225" s="9" t="s">
        <v>64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29</v>
      </c>
      <c r="B226" s="9" t="s">
        <v>63</v>
      </c>
      <c r="C226" s="9" t="s">
        <v>64</v>
      </c>
      <c r="D226" s="10"/>
      <c r="E226" s="2" t="n">
        <f>422</f>
        <v>422.0</v>
      </c>
      <c r="F226" s="10"/>
      <c r="G226" s="2" t="n">
        <f>834855390</f>
        <v>8.3485539E8</v>
      </c>
      <c r="H226" s="10" t="s">
        <v>23</v>
      </c>
      <c r="I226" s="2" t="str">
        <f>"－"</f>
        <v>－</v>
      </c>
      <c r="J226" s="10"/>
      <c r="K226" s="2" t="n">
        <f>71548</f>
        <v>71548.0</v>
      </c>
    </row>
    <row r="227">
      <c r="A227" s="8" t="s">
        <v>30</v>
      </c>
      <c r="B227" s="9" t="s">
        <v>63</v>
      </c>
      <c r="C227" s="9" t="s">
        <v>64</v>
      </c>
      <c r="D227" s="10"/>
      <c r="E227" s="2" t="n">
        <f>379</f>
        <v>379.0</v>
      </c>
      <c r="F227" s="10"/>
      <c r="G227" s="2" t="n">
        <f>748745650</f>
        <v>7.4874565E8</v>
      </c>
      <c r="H227" s="10"/>
      <c r="I227" s="2" t="str">
        <f>"－"</f>
        <v>－</v>
      </c>
      <c r="J227" s="10"/>
      <c r="K227" s="2" t="n">
        <f>71432</f>
        <v>71432.0</v>
      </c>
    </row>
    <row r="228">
      <c r="A228" s="8" t="s">
        <v>32</v>
      </c>
      <c r="B228" s="9" t="s">
        <v>63</v>
      </c>
      <c r="C228" s="9" t="s">
        <v>64</v>
      </c>
      <c r="D228" s="10"/>
      <c r="E228" s="2" t="n">
        <f>1832</f>
        <v>1832.0</v>
      </c>
      <c r="F228" s="10"/>
      <c r="G228" s="2" t="n">
        <f>3620049400</f>
        <v>3.6200494E9</v>
      </c>
      <c r="H228" s="10"/>
      <c r="I228" s="2" t="str">
        <f>"－"</f>
        <v>－</v>
      </c>
      <c r="J228" s="10"/>
      <c r="K228" s="2" t="n">
        <f>71963</f>
        <v>71963.0</v>
      </c>
    </row>
    <row r="229">
      <c r="A229" s="8" t="s">
        <v>33</v>
      </c>
      <c r="B229" s="9" t="s">
        <v>63</v>
      </c>
      <c r="C229" s="9" t="s">
        <v>64</v>
      </c>
      <c r="D229" s="10"/>
      <c r="E229" s="2" t="n">
        <f>1577</f>
        <v>1577.0</v>
      </c>
      <c r="F229" s="10"/>
      <c r="G229" s="2" t="n">
        <f>3120066220</f>
        <v>3.12006622E9</v>
      </c>
      <c r="H229" s="10"/>
      <c r="I229" s="2" t="n">
        <f>670</f>
        <v>670.0</v>
      </c>
      <c r="J229" s="10"/>
      <c r="K229" s="2" t="n">
        <f>72323</f>
        <v>72323.0</v>
      </c>
    </row>
    <row r="230">
      <c r="A230" s="8" t="s">
        <v>34</v>
      </c>
      <c r="B230" s="9" t="s">
        <v>63</v>
      </c>
      <c r="C230" s="9" t="s">
        <v>64</v>
      </c>
      <c r="D230" s="10"/>
      <c r="E230" s="2" t="n">
        <f>1584</f>
        <v>1584.0</v>
      </c>
      <c r="F230" s="10"/>
      <c r="G230" s="2" t="n">
        <f>3142358300</f>
        <v>3.1423583E9</v>
      </c>
      <c r="H230" s="10"/>
      <c r="I230" s="2" t="str">
        <f>"－"</f>
        <v>－</v>
      </c>
      <c r="J230" s="10"/>
      <c r="K230" s="2" t="n">
        <f>71156</f>
        <v>71156.0</v>
      </c>
    </row>
    <row r="231">
      <c r="A231" s="8" t="s">
        <v>35</v>
      </c>
      <c r="B231" s="9" t="s">
        <v>63</v>
      </c>
      <c r="C231" s="9" t="s">
        <v>64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36</v>
      </c>
      <c r="B232" s="9" t="s">
        <v>63</v>
      </c>
      <c r="C232" s="9" t="s">
        <v>64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37</v>
      </c>
      <c r="B233" s="9" t="s">
        <v>63</v>
      </c>
      <c r="C233" s="9" t="s">
        <v>64</v>
      </c>
      <c r="D233" s="10"/>
      <c r="E233" s="2" t="n">
        <f>235</f>
        <v>235.0</v>
      </c>
      <c r="F233" s="10"/>
      <c r="G233" s="2" t="n">
        <f>465570100</f>
        <v>4.655701E8</v>
      </c>
      <c r="H233" s="10"/>
      <c r="I233" s="2" t="str">
        <f>"－"</f>
        <v>－</v>
      </c>
      <c r="J233" s="10"/>
      <c r="K233" s="2" t="n">
        <f>71032</f>
        <v>71032.0</v>
      </c>
    </row>
    <row r="234">
      <c r="A234" s="8" t="s">
        <v>38</v>
      </c>
      <c r="B234" s="9" t="s">
        <v>63</v>
      </c>
      <c r="C234" s="9" t="s">
        <v>64</v>
      </c>
      <c r="D234" s="10" t="s">
        <v>31</v>
      </c>
      <c r="E234" s="2" t="n">
        <f>3109</f>
        <v>3109.0</v>
      </c>
      <c r="F234" s="10" t="s">
        <v>31</v>
      </c>
      <c r="G234" s="2" t="n">
        <f>6122148460</f>
        <v>6.12214846E9</v>
      </c>
      <c r="H234" s="10"/>
      <c r="I234" s="2" t="str">
        <f>"－"</f>
        <v>－</v>
      </c>
      <c r="J234" s="10"/>
      <c r="K234" s="2" t="n">
        <f>71220</f>
        <v>71220.0</v>
      </c>
    </row>
    <row r="235">
      <c r="A235" s="8" t="s">
        <v>39</v>
      </c>
      <c r="B235" s="9" t="s">
        <v>63</v>
      </c>
      <c r="C235" s="9" t="s">
        <v>64</v>
      </c>
      <c r="D235" s="10"/>
      <c r="E235" s="2" t="n">
        <f>2983</f>
        <v>2983.0</v>
      </c>
      <c r="F235" s="10"/>
      <c r="G235" s="2" t="n">
        <f>5860244540</f>
        <v>5.86024454E9</v>
      </c>
      <c r="H235" s="10"/>
      <c r="I235" s="2" t="str">
        <f>"－"</f>
        <v>－</v>
      </c>
      <c r="J235" s="10" t="s">
        <v>23</v>
      </c>
      <c r="K235" s="2" t="n">
        <f>69442</f>
        <v>69442.0</v>
      </c>
    </row>
    <row r="236">
      <c r="A236" s="8" t="s">
        <v>40</v>
      </c>
      <c r="B236" s="9" t="s">
        <v>63</v>
      </c>
      <c r="C236" s="9" t="s">
        <v>64</v>
      </c>
      <c r="D236" s="10"/>
      <c r="E236" s="2" t="n">
        <f>901</f>
        <v>901.0</v>
      </c>
      <c r="F236" s="10"/>
      <c r="G236" s="2" t="n">
        <f>1785217220</f>
        <v>1.78521722E9</v>
      </c>
      <c r="H236" s="10"/>
      <c r="I236" s="2" t="str">
        <f>"－"</f>
        <v>－</v>
      </c>
      <c r="J236" s="10"/>
      <c r="K236" s="2" t="n">
        <f>69796</f>
        <v>69796.0</v>
      </c>
    </row>
    <row r="237">
      <c r="A237" s="8" t="s">
        <v>41</v>
      </c>
      <c r="B237" s="9" t="s">
        <v>63</v>
      </c>
      <c r="C237" s="9" t="s">
        <v>64</v>
      </c>
      <c r="D237" s="10" t="s">
        <v>23</v>
      </c>
      <c r="E237" s="2" t="n">
        <f>122</f>
        <v>122.0</v>
      </c>
      <c r="F237" s="10" t="s">
        <v>23</v>
      </c>
      <c r="G237" s="2" t="n">
        <f>241241610</f>
        <v>2.4124161E8</v>
      </c>
      <c r="H237" s="10"/>
      <c r="I237" s="2" t="str">
        <f>"－"</f>
        <v>－</v>
      </c>
      <c r="J237" s="10"/>
      <c r="K237" s="2" t="n">
        <f>69763</f>
        <v>69763.0</v>
      </c>
    </row>
    <row r="238">
      <c r="A238" s="8" t="s">
        <v>42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43</v>
      </c>
      <c r="B239" s="9" t="s">
        <v>63</v>
      </c>
      <c r="C239" s="9" t="s">
        <v>64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44</v>
      </c>
      <c r="B240" s="9" t="s">
        <v>63</v>
      </c>
      <c r="C240" s="9" t="s">
        <v>64</v>
      </c>
      <c r="D240" s="10"/>
      <c r="E240" s="2" t="n">
        <f>157</f>
        <v>157.0</v>
      </c>
      <c r="F240" s="10"/>
      <c r="G240" s="2" t="n">
        <f>309696500</f>
        <v>3.096965E8</v>
      </c>
      <c r="H240" s="10"/>
      <c r="I240" s="2" t="n">
        <f>10</f>
        <v>10.0</v>
      </c>
      <c r="J240" s="10"/>
      <c r="K240" s="2" t="n">
        <f>69744</f>
        <v>69744.0</v>
      </c>
    </row>
    <row r="241">
      <c r="A241" s="8" t="s">
        <v>45</v>
      </c>
      <c r="B241" s="9" t="s">
        <v>63</v>
      </c>
      <c r="C241" s="9" t="s">
        <v>64</v>
      </c>
      <c r="D241" s="10"/>
      <c r="E241" s="2" t="n">
        <f>428</f>
        <v>428.0</v>
      </c>
      <c r="F241" s="10"/>
      <c r="G241" s="2" t="n">
        <f>851711120</f>
        <v>8.5171112E8</v>
      </c>
      <c r="H241" s="10"/>
      <c r="I241" s="2" t="n">
        <f>55</f>
        <v>55.0</v>
      </c>
      <c r="J241" s="10"/>
      <c r="K241" s="2" t="n">
        <f>69707</f>
        <v>69707.0</v>
      </c>
    </row>
    <row r="242">
      <c r="A242" s="8" t="s">
        <v>46</v>
      </c>
      <c r="B242" s="9" t="s">
        <v>63</v>
      </c>
      <c r="C242" s="9" t="s">
        <v>64</v>
      </c>
      <c r="D242" s="10"/>
      <c r="E242" s="2" t="n">
        <f>1684</f>
        <v>1684.0</v>
      </c>
      <c r="F242" s="10"/>
      <c r="G242" s="2" t="n">
        <f>3349560080</f>
        <v>3.34956008E9</v>
      </c>
      <c r="H242" s="10"/>
      <c r="I242" s="2" t="n">
        <f>3</f>
        <v>3.0</v>
      </c>
      <c r="J242" s="10"/>
      <c r="K242" s="2" t="n">
        <f>70185</f>
        <v>70185.0</v>
      </c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465</f>
        <v>465.0</v>
      </c>
      <c r="F243" s="10"/>
      <c r="G243" s="2" t="n">
        <f>922323540</f>
        <v>9.2232354E8</v>
      </c>
      <c r="H243" s="10"/>
      <c r="I243" s="2" t="n">
        <f>24</f>
        <v>24.0</v>
      </c>
      <c r="J243" s="10"/>
      <c r="K243" s="2" t="n">
        <f>70159</f>
        <v>70159.0</v>
      </c>
    </row>
    <row r="244">
      <c r="A244" s="8" t="s">
        <v>48</v>
      </c>
      <c r="B244" s="9" t="s">
        <v>63</v>
      </c>
      <c r="C244" s="9" t="s">
        <v>64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49</v>
      </c>
      <c r="B245" s="9" t="s">
        <v>63</v>
      </c>
      <c r="C245" s="9" t="s">
        <v>64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19</v>
      </c>
      <c r="B247" s="9" t="s">
        <v>65</v>
      </c>
      <c r="C247" s="9" t="s">
        <v>66</v>
      </c>
      <c r="D247" s="10"/>
      <c r="E247" s="2"/>
      <c r="F247" s="10"/>
      <c r="G247" s="2"/>
      <c r="H247" s="10"/>
      <c r="I247" s="2"/>
      <c r="J247" s="10"/>
      <c r="K247" s="2"/>
    </row>
    <row r="248">
      <c r="A248" s="8" t="s">
        <v>20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21</v>
      </c>
      <c r="B249" s="9" t="s">
        <v>65</v>
      </c>
      <c r="C249" s="9" t="s">
        <v>66</v>
      </c>
      <c r="D249" s="10"/>
      <c r="E249" s="2" t="str">
        <f>"－"</f>
        <v>－</v>
      </c>
      <c r="F249" s="10"/>
      <c r="G249" s="2" t="str">
        <f>"－"</f>
        <v>－</v>
      </c>
      <c r="H249" s="10"/>
      <c r="I249" s="2" t="str">
        <f>"－"</f>
        <v>－</v>
      </c>
      <c r="J249" s="10"/>
      <c r="K249" s="2" t="str">
        <f>"－"</f>
        <v>－</v>
      </c>
    </row>
    <row r="250">
      <c r="A250" s="8" t="s">
        <v>22</v>
      </c>
      <c r="B250" s="9" t="s">
        <v>65</v>
      </c>
      <c r="C250" s="9" t="s">
        <v>66</v>
      </c>
      <c r="D250" s="10"/>
      <c r="E250" s="2" t="str">
        <f>"－"</f>
        <v>－</v>
      </c>
      <c r="F250" s="10"/>
      <c r="G250" s="2" t="str">
        <f>"－"</f>
        <v>－</v>
      </c>
      <c r="H250" s="10"/>
      <c r="I250" s="2" t="str">
        <f>"－"</f>
        <v>－</v>
      </c>
      <c r="J250" s="10"/>
      <c r="K250" s="2" t="str">
        <f>"－"</f>
        <v>－</v>
      </c>
    </row>
    <row r="251">
      <c r="A251" s="8" t="s">
        <v>24</v>
      </c>
      <c r="B251" s="9" t="s">
        <v>65</v>
      </c>
      <c r="C251" s="9" t="s">
        <v>66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25</v>
      </c>
      <c r="B252" s="9" t="s">
        <v>65</v>
      </c>
      <c r="C252" s="9" t="s">
        <v>66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65</v>
      </c>
      <c r="C254" s="9" t="s">
        <v>66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28</v>
      </c>
      <c r="B255" s="9" t="s">
        <v>65</v>
      </c>
      <c r="C255" s="9" t="s">
        <v>66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29</v>
      </c>
      <c r="B256" s="9" t="s">
        <v>65</v>
      </c>
      <c r="C256" s="9" t="s">
        <v>66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30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32</v>
      </c>
      <c r="B258" s="9" t="s">
        <v>65</v>
      </c>
      <c r="C258" s="9" t="s">
        <v>66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33</v>
      </c>
      <c r="B259" s="9" t="s">
        <v>65</v>
      </c>
      <c r="C259" s="9" t="s">
        <v>66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65</v>
      </c>
      <c r="C261" s="9" t="s">
        <v>66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36</v>
      </c>
      <c r="B262" s="9" t="s">
        <v>65</v>
      </c>
      <c r="C262" s="9" t="s">
        <v>66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37</v>
      </c>
      <c r="B263" s="9" t="s">
        <v>65</v>
      </c>
      <c r="C263" s="9" t="s">
        <v>66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38</v>
      </c>
      <c r="B264" s="9" t="s">
        <v>65</v>
      </c>
      <c r="C264" s="9" t="s">
        <v>66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39</v>
      </c>
      <c r="B265" s="9" t="s">
        <v>65</v>
      </c>
      <c r="C265" s="9" t="s">
        <v>66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40</v>
      </c>
      <c r="B266" s="9" t="s">
        <v>65</v>
      </c>
      <c r="C266" s="9" t="s">
        <v>66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43</v>
      </c>
      <c r="B269" s="9" t="s">
        <v>65</v>
      </c>
      <c r="C269" s="9" t="s">
        <v>66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44</v>
      </c>
      <c r="B270" s="9" t="s">
        <v>65</v>
      </c>
      <c r="C270" s="9" t="s">
        <v>66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45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46</v>
      </c>
      <c r="B272" s="9" t="s">
        <v>65</v>
      </c>
      <c r="C272" s="9" t="s">
        <v>66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47</v>
      </c>
      <c r="B273" s="9" t="s">
        <v>65</v>
      </c>
      <c r="C273" s="9" t="s">
        <v>66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65</v>
      </c>
      <c r="C274" s="9" t="s">
        <v>66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49</v>
      </c>
      <c r="B275" s="9" t="s">
        <v>65</v>
      </c>
      <c r="C275" s="9" t="s">
        <v>66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15500</f>
        <v>15500.0</v>
      </c>
      <c r="F276" s="10"/>
      <c r="G276" s="2" t="n">
        <f>12136147280</f>
        <v>1.213614728E10</v>
      </c>
      <c r="H276" s="10"/>
      <c r="I276" s="2" t="n">
        <f>736</f>
        <v>736.0</v>
      </c>
      <c r="J276" s="10"/>
      <c r="K276" s="2" t="n">
        <f>34315</f>
        <v>34315.0</v>
      </c>
    </row>
    <row r="277">
      <c r="A277" s="8" t="s">
        <v>19</v>
      </c>
      <c r="B277" s="9" t="s">
        <v>67</v>
      </c>
      <c r="C277" s="9" t="s">
        <v>68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20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21</v>
      </c>
      <c r="B279" s="9" t="s">
        <v>67</v>
      </c>
      <c r="C279" s="9" t="s">
        <v>68</v>
      </c>
      <c r="D279" s="10"/>
      <c r="E279" s="2" t="n">
        <f>15260</f>
        <v>15260.0</v>
      </c>
      <c r="F279" s="10"/>
      <c r="G279" s="2" t="n">
        <f>12294111240</f>
        <v>1.229411124E10</v>
      </c>
      <c r="H279" s="10"/>
      <c r="I279" s="2" t="n">
        <f>740</f>
        <v>740.0</v>
      </c>
      <c r="J279" s="10" t="s">
        <v>23</v>
      </c>
      <c r="K279" s="2" t="n">
        <f>34156</f>
        <v>34156.0</v>
      </c>
    </row>
    <row r="280">
      <c r="A280" s="8" t="s">
        <v>22</v>
      </c>
      <c r="B280" s="9" t="s">
        <v>67</v>
      </c>
      <c r="C280" s="9" t="s">
        <v>68</v>
      </c>
      <c r="D280" s="10"/>
      <c r="E280" s="2" t="n">
        <f>19470</f>
        <v>19470.0</v>
      </c>
      <c r="F280" s="10" t="s">
        <v>31</v>
      </c>
      <c r="G280" s="2" t="n">
        <f>16248383840</f>
        <v>1.624838384E10</v>
      </c>
      <c r="H280" s="10"/>
      <c r="I280" s="2" t="n">
        <f>725</f>
        <v>725.0</v>
      </c>
      <c r="J280" s="10"/>
      <c r="K280" s="2" t="n">
        <f>34332</f>
        <v>34332.0</v>
      </c>
    </row>
    <row r="281">
      <c r="A281" s="8" t="s">
        <v>24</v>
      </c>
      <c r="B281" s="9" t="s">
        <v>67</v>
      </c>
      <c r="C281" s="9" t="s">
        <v>68</v>
      </c>
      <c r="D281" s="10"/>
      <c r="E281" s="2" t="n">
        <f>19078</f>
        <v>19078.0</v>
      </c>
      <c r="F281" s="10"/>
      <c r="G281" s="2" t="n">
        <f>15754181360</f>
        <v>1.575418136E10</v>
      </c>
      <c r="H281" s="10"/>
      <c r="I281" s="2" t="n">
        <f>921</f>
        <v>921.0</v>
      </c>
      <c r="J281" s="10"/>
      <c r="K281" s="2" t="n">
        <f>34923</f>
        <v>34923.0</v>
      </c>
    </row>
    <row r="282">
      <c r="A282" s="8" t="s">
        <v>25</v>
      </c>
      <c r="B282" s="9" t="s">
        <v>67</v>
      </c>
      <c r="C282" s="9" t="s">
        <v>68</v>
      </c>
      <c r="D282" s="10"/>
      <c r="E282" s="2" t="n">
        <f>18895</f>
        <v>18895.0</v>
      </c>
      <c r="F282" s="10"/>
      <c r="G282" s="2" t="n">
        <f>15079890720</f>
        <v>1.507989072E10</v>
      </c>
      <c r="H282" s="10"/>
      <c r="I282" s="2" t="n">
        <f>728</f>
        <v>728.0</v>
      </c>
      <c r="J282" s="10"/>
      <c r="K282" s="2" t="n">
        <f>35835</f>
        <v>35835.0</v>
      </c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19839</f>
        <v>19839.0</v>
      </c>
      <c r="F283" s="10"/>
      <c r="G283" s="2" t="n">
        <f>15684091610</f>
        <v>1.568409161E10</v>
      </c>
      <c r="H283" s="10"/>
      <c r="I283" s="2" t="n">
        <f>1582</f>
        <v>1582.0</v>
      </c>
      <c r="J283" s="10"/>
      <c r="K283" s="2" t="n">
        <f>36021</f>
        <v>36021.0</v>
      </c>
    </row>
    <row r="284">
      <c r="A284" s="8" t="s">
        <v>27</v>
      </c>
      <c r="B284" s="9" t="s">
        <v>67</v>
      </c>
      <c r="C284" s="9" t="s">
        <v>68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28</v>
      </c>
      <c r="B285" s="9" t="s">
        <v>67</v>
      </c>
      <c r="C285" s="9" t="s">
        <v>68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29</v>
      </c>
      <c r="B286" s="9" t="s">
        <v>67</v>
      </c>
      <c r="C286" s="9" t="s">
        <v>68</v>
      </c>
      <c r="D286" s="10"/>
      <c r="E286" s="2" t="n">
        <f>17909</f>
        <v>17909.0</v>
      </c>
      <c r="F286" s="10"/>
      <c r="G286" s="2" t="n">
        <f>13790683520</f>
        <v>1.379068352E10</v>
      </c>
      <c r="H286" s="10"/>
      <c r="I286" s="2" t="n">
        <f>1444</f>
        <v>1444.0</v>
      </c>
      <c r="J286" s="10"/>
      <c r="K286" s="2" t="n">
        <f>36601</f>
        <v>36601.0</v>
      </c>
    </row>
    <row r="287">
      <c r="A287" s="8" t="s">
        <v>30</v>
      </c>
      <c r="B287" s="9" t="s">
        <v>67</v>
      </c>
      <c r="C287" s="9" t="s">
        <v>68</v>
      </c>
      <c r="D287" s="10"/>
      <c r="E287" s="2" t="n">
        <f>18938</f>
        <v>18938.0</v>
      </c>
      <c r="F287" s="10"/>
      <c r="G287" s="2" t="n">
        <f>14270141810</f>
        <v>1.427014181E10</v>
      </c>
      <c r="H287" s="10"/>
      <c r="I287" s="2" t="n">
        <f>688</f>
        <v>688.0</v>
      </c>
      <c r="J287" s="10"/>
      <c r="K287" s="2" t="n">
        <f>35306</f>
        <v>35306.0</v>
      </c>
    </row>
    <row r="288">
      <c r="A288" s="8" t="s">
        <v>32</v>
      </c>
      <c r="B288" s="9" t="s">
        <v>67</v>
      </c>
      <c r="C288" s="9" t="s">
        <v>68</v>
      </c>
      <c r="D288" s="10" t="s">
        <v>31</v>
      </c>
      <c r="E288" s="2" t="n">
        <f>20182</f>
        <v>20182.0</v>
      </c>
      <c r="F288" s="10"/>
      <c r="G288" s="2" t="n">
        <f>15539846080</f>
        <v>1.553984608E10</v>
      </c>
      <c r="H288" s="10"/>
      <c r="I288" s="2" t="n">
        <f>845</f>
        <v>845.0</v>
      </c>
      <c r="J288" s="10"/>
      <c r="K288" s="2" t="n">
        <f>35407</f>
        <v>35407.0</v>
      </c>
    </row>
    <row r="289">
      <c r="A289" s="8" t="s">
        <v>33</v>
      </c>
      <c r="B289" s="9" t="s">
        <v>67</v>
      </c>
      <c r="C289" s="9" t="s">
        <v>68</v>
      </c>
      <c r="D289" s="10"/>
      <c r="E289" s="2" t="n">
        <f>14628</f>
        <v>14628.0</v>
      </c>
      <c r="F289" s="10"/>
      <c r="G289" s="2" t="n">
        <f>11415330360</f>
        <v>1.141533036E10</v>
      </c>
      <c r="H289" s="10"/>
      <c r="I289" s="2" t="n">
        <f>694</f>
        <v>694.0</v>
      </c>
      <c r="J289" s="10"/>
      <c r="K289" s="2" t="n">
        <f>35650</f>
        <v>35650.0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11540</f>
        <v>11540.0</v>
      </c>
      <c r="F290" s="10"/>
      <c r="G290" s="2" t="n">
        <f>8785678300</f>
        <v>8.7856783E9</v>
      </c>
      <c r="H290" s="10"/>
      <c r="I290" s="2" t="n">
        <f>579</f>
        <v>579.0</v>
      </c>
      <c r="J290" s="10"/>
      <c r="K290" s="2" t="n">
        <f>35972</f>
        <v>35972.0</v>
      </c>
    </row>
    <row r="291">
      <c r="A291" s="8" t="s">
        <v>35</v>
      </c>
      <c r="B291" s="9" t="s">
        <v>67</v>
      </c>
      <c r="C291" s="9" t="s">
        <v>68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36</v>
      </c>
      <c r="B292" s="9" t="s">
        <v>67</v>
      </c>
      <c r="C292" s="9" t="s">
        <v>68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37</v>
      </c>
      <c r="B293" s="9" t="s">
        <v>67</v>
      </c>
      <c r="C293" s="9" t="s">
        <v>68</v>
      </c>
      <c r="D293" s="10"/>
      <c r="E293" s="2" t="n">
        <f>11360</f>
        <v>11360.0</v>
      </c>
      <c r="F293" s="10"/>
      <c r="G293" s="2" t="n">
        <f>8484626180</f>
        <v>8.48462618E9</v>
      </c>
      <c r="H293" s="10" t="s">
        <v>23</v>
      </c>
      <c r="I293" s="2" t="n">
        <f>426</f>
        <v>426.0</v>
      </c>
      <c r="J293" s="10"/>
      <c r="K293" s="2" t="n">
        <f>36245</f>
        <v>36245.0</v>
      </c>
    </row>
    <row r="294">
      <c r="A294" s="8" t="s">
        <v>38</v>
      </c>
      <c r="B294" s="9" t="s">
        <v>67</v>
      </c>
      <c r="C294" s="9" t="s">
        <v>68</v>
      </c>
      <c r="D294" s="10" t="s">
        <v>23</v>
      </c>
      <c r="E294" s="2" t="n">
        <f>8997</f>
        <v>8997.0</v>
      </c>
      <c r="F294" s="10" t="s">
        <v>23</v>
      </c>
      <c r="G294" s="2" t="n">
        <f>6727777080</f>
        <v>6.72777708E9</v>
      </c>
      <c r="H294" s="10"/>
      <c r="I294" s="2" t="n">
        <f>902</f>
        <v>902.0</v>
      </c>
      <c r="J294" s="10"/>
      <c r="K294" s="2" t="n">
        <f>36213</f>
        <v>36213.0</v>
      </c>
    </row>
    <row r="295">
      <c r="A295" s="8" t="s">
        <v>39</v>
      </c>
      <c r="B295" s="9" t="s">
        <v>67</v>
      </c>
      <c r="C295" s="9" t="s">
        <v>68</v>
      </c>
      <c r="D295" s="10"/>
      <c r="E295" s="2" t="n">
        <f>12606</f>
        <v>12606.0</v>
      </c>
      <c r="F295" s="10"/>
      <c r="G295" s="2" t="n">
        <f>9310712750</f>
        <v>9.31071275E9</v>
      </c>
      <c r="H295" s="10"/>
      <c r="I295" s="2" t="n">
        <f>1677</f>
        <v>1677.0</v>
      </c>
      <c r="J295" s="10"/>
      <c r="K295" s="2" t="n">
        <f>35849</f>
        <v>35849.0</v>
      </c>
    </row>
    <row r="296">
      <c r="A296" s="8" t="s">
        <v>40</v>
      </c>
      <c r="B296" s="9" t="s">
        <v>67</v>
      </c>
      <c r="C296" s="9" t="s">
        <v>68</v>
      </c>
      <c r="D296" s="10"/>
      <c r="E296" s="2" t="n">
        <f>11297</f>
        <v>11297.0</v>
      </c>
      <c r="F296" s="10"/>
      <c r="G296" s="2" t="n">
        <f>8157119880</f>
        <v>8.15711988E9</v>
      </c>
      <c r="H296" s="10"/>
      <c r="I296" s="2" t="n">
        <f>724</f>
        <v>724.0</v>
      </c>
      <c r="J296" s="10"/>
      <c r="K296" s="2" t="n">
        <f>36263</f>
        <v>36263.0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12055</f>
        <v>12055.0</v>
      </c>
      <c r="F297" s="10"/>
      <c r="G297" s="2" t="n">
        <f>8526867750</f>
        <v>8.52686775E9</v>
      </c>
      <c r="H297" s="10"/>
      <c r="I297" s="2" t="n">
        <f>749</f>
        <v>749.0</v>
      </c>
      <c r="J297" s="10"/>
      <c r="K297" s="2" t="n">
        <f>36748</f>
        <v>36748.0</v>
      </c>
    </row>
    <row r="298">
      <c r="A298" s="8" t="s">
        <v>42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43</v>
      </c>
      <c r="B299" s="9" t="s">
        <v>67</v>
      </c>
      <c r="C299" s="9" t="s">
        <v>68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44</v>
      </c>
      <c r="B300" s="9" t="s">
        <v>67</v>
      </c>
      <c r="C300" s="9" t="s">
        <v>68</v>
      </c>
      <c r="D300" s="10"/>
      <c r="E300" s="2" t="n">
        <f>15544</f>
        <v>15544.0</v>
      </c>
      <c r="F300" s="10"/>
      <c r="G300" s="2" t="n">
        <f>10778633640</f>
        <v>1.077863364E10</v>
      </c>
      <c r="H300" s="10" t="s">
        <v>31</v>
      </c>
      <c r="I300" s="2" t="n">
        <f>1745</f>
        <v>1745.0</v>
      </c>
      <c r="J300" s="10"/>
      <c r="K300" s="2" t="n">
        <f>36745</f>
        <v>36745.0</v>
      </c>
    </row>
    <row r="301">
      <c r="A301" s="8" t="s">
        <v>45</v>
      </c>
      <c r="B301" s="9" t="s">
        <v>67</v>
      </c>
      <c r="C301" s="9" t="s">
        <v>68</v>
      </c>
      <c r="D301" s="10"/>
      <c r="E301" s="2" t="n">
        <f>11840</f>
        <v>11840.0</v>
      </c>
      <c r="F301" s="10"/>
      <c r="G301" s="2" t="n">
        <f>8295696130</f>
        <v>8.29569613E9</v>
      </c>
      <c r="H301" s="10"/>
      <c r="I301" s="2" t="n">
        <f>600</f>
        <v>600.0</v>
      </c>
      <c r="J301" s="10"/>
      <c r="K301" s="2" t="n">
        <f>36781</f>
        <v>36781.0</v>
      </c>
    </row>
    <row r="302">
      <c r="A302" s="8" t="s">
        <v>46</v>
      </c>
      <c r="B302" s="9" t="s">
        <v>67</v>
      </c>
      <c r="C302" s="9" t="s">
        <v>68</v>
      </c>
      <c r="D302" s="10"/>
      <c r="E302" s="2" t="n">
        <f>12607</f>
        <v>12607.0</v>
      </c>
      <c r="F302" s="10"/>
      <c r="G302" s="2" t="n">
        <f>8731523850</f>
        <v>8.73152385E9</v>
      </c>
      <c r="H302" s="10"/>
      <c r="I302" s="2" t="n">
        <f>619</f>
        <v>619.0</v>
      </c>
      <c r="J302" s="10" t="s">
        <v>31</v>
      </c>
      <c r="K302" s="2" t="n">
        <f>37566</f>
        <v>37566.0</v>
      </c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11736</f>
        <v>11736.0</v>
      </c>
      <c r="F303" s="10"/>
      <c r="G303" s="2" t="n">
        <f>8184746640</f>
        <v>8.18474664E9</v>
      </c>
      <c r="H303" s="10"/>
      <c r="I303" s="2" t="n">
        <f>631</f>
        <v>631.0</v>
      </c>
      <c r="J303" s="10"/>
      <c r="K303" s="2" t="n">
        <f>37492</f>
        <v>37492.0</v>
      </c>
    </row>
    <row r="304">
      <c r="A304" s="8" t="s">
        <v>48</v>
      </c>
      <c r="B304" s="9" t="s">
        <v>67</v>
      </c>
      <c r="C304" s="9" t="s">
        <v>68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49</v>
      </c>
      <c r="B305" s="9" t="s">
        <v>67</v>
      </c>
      <c r="C305" s="9" t="s">
        <v>68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265</f>
        <v>265.0</v>
      </c>
      <c r="F306" s="10"/>
      <c r="G306" s="2" t="n">
        <f>922631800</f>
        <v>9.226318E8</v>
      </c>
      <c r="H306" s="10"/>
      <c r="I306" s="2" t="n">
        <f>113</f>
        <v>113.0</v>
      </c>
      <c r="J306" s="10"/>
      <c r="K306" s="2" t="n">
        <f>1187</f>
        <v>1187.0</v>
      </c>
    </row>
    <row r="307">
      <c r="A307" s="8" t="s">
        <v>19</v>
      </c>
      <c r="B307" s="9" t="s">
        <v>69</v>
      </c>
      <c r="C307" s="9" t="s">
        <v>70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20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21</v>
      </c>
      <c r="B309" s="9" t="s">
        <v>69</v>
      </c>
      <c r="C309" s="9" t="s">
        <v>70</v>
      </c>
      <c r="D309" s="10"/>
      <c r="E309" s="2" t="n">
        <f>395</f>
        <v>395.0</v>
      </c>
      <c r="F309" s="10"/>
      <c r="G309" s="2" t="n">
        <f>1366987200</f>
        <v>1.3669872E9</v>
      </c>
      <c r="H309" s="10"/>
      <c r="I309" s="2" t="n">
        <f>183</f>
        <v>183.0</v>
      </c>
      <c r="J309" s="10"/>
      <c r="K309" s="2" t="n">
        <f>1183</f>
        <v>1183.0</v>
      </c>
    </row>
    <row r="310">
      <c r="A310" s="8" t="s">
        <v>22</v>
      </c>
      <c r="B310" s="9" t="s">
        <v>69</v>
      </c>
      <c r="C310" s="9" t="s">
        <v>70</v>
      </c>
      <c r="D310" s="10"/>
      <c r="E310" s="2" t="n">
        <f>214</f>
        <v>214.0</v>
      </c>
      <c r="F310" s="10"/>
      <c r="G310" s="2" t="n">
        <f>742700000</f>
        <v>7.427E8</v>
      </c>
      <c r="H310" s="10"/>
      <c r="I310" s="2" t="n">
        <f>69</f>
        <v>69.0</v>
      </c>
      <c r="J310" s="10"/>
      <c r="K310" s="2" t="n">
        <f>1170</f>
        <v>1170.0</v>
      </c>
    </row>
    <row r="311">
      <c r="A311" s="8" t="s">
        <v>24</v>
      </c>
      <c r="B311" s="9" t="s">
        <v>69</v>
      </c>
      <c r="C311" s="9" t="s">
        <v>70</v>
      </c>
      <c r="D311" s="10"/>
      <c r="E311" s="2" t="n">
        <f>408</f>
        <v>408.0</v>
      </c>
      <c r="F311" s="10"/>
      <c r="G311" s="2" t="n">
        <f>1413401800</f>
        <v>1.4134018E9</v>
      </c>
      <c r="H311" s="10"/>
      <c r="I311" s="2" t="n">
        <f>192</f>
        <v>192.0</v>
      </c>
      <c r="J311" s="10"/>
      <c r="K311" s="2" t="n">
        <f>1205</f>
        <v>1205.0</v>
      </c>
    </row>
    <row r="312">
      <c r="A312" s="8" t="s">
        <v>25</v>
      </c>
      <c r="B312" s="9" t="s">
        <v>69</v>
      </c>
      <c r="C312" s="9" t="s">
        <v>70</v>
      </c>
      <c r="D312" s="10"/>
      <c r="E312" s="2" t="n">
        <f>654</f>
        <v>654.0</v>
      </c>
      <c r="F312" s="10"/>
      <c r="G312" s="2" t="n">
        <f>2243008200</f>
        <v>2.2430082E9</v>
      </c>
      <c r="H312" s="10"/>
      <c r="I312" s="2" t="n">
        <f>167</f>
        <v>167.0</v>
      </c>
      <c r="J312" s="10"/>
      <c r="K312" s="2" t="n">
        <f>1286</f>
        <v>1286.0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970</f>
        <v>970.0</v>
      </c>
      <c r="F313" s="10"/>
      <c r="G313" s="2" t="n">
        <f>3331819600</f>
        <v>3.3318196E9</v>
      </c>
      <c r="H313" s="10"/>
      <c r="I313" s="2" t="n">
        <f>228</f>
        <v>228.0</v>
      </c>
      <c r="J313" s="10"/>
      <c r="K313" s="2" t="n">
        <f>1226</f>
        <v>1226.0</v>
      </c>
    </row>
    <row r="314">
      <c r="A314" s="8" t="s">
        <v>27</v>
      </c>
      <c r="B314" s="9" t="s">
        <v>69</v>
      </c>
      <c r="C314" s="9" t="s">
        <v>70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28</v>
      </c>
      <c r="B315" s="9" t="s">
        <v>69</v>
      </c>
      <c r="C315" s="9" t="s">
        <v>70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29</v>
      </c>
      <c r="B316" s="9" t="s">
        <v>69</v>
      </c>
      <c r="C316" s="9" t="s">
        <v>70</v>
      </c>
      <c r="D316" s="10"/>
      <c r="E316" s="2" t="n">
        <f>956</f>
        <v>956.0</v>
      </c>
      <c r="F316" s="10"/>
      <c r="G316" s="2" t="n">
        <f>3305178000</f>
        <v>3.305178E9</v>
      </c>
      <c r="H316" s="10"/>
      <c r="I316" s="2" t="n">
        <f>230</f>
        <v>230.0</v>
      </c>
      <c r="J316" s="10"/>
      <c r="K316" s="2" t="n">
        <f>1197</f>
        <v>1197.0</v>
      </c>
    </row>
    <row r="317">
      <c r="A317" s="8" t="s">
        <v>30</v>
      </c>
      <c r="B317" s="9" t="s">
        <v>69</v>
      </c>
      <c r="C317" s="9" t="s">
        <v>70</v>
      </c>
      <c r="D317" s="10"/>
      <c r="E317" s="2" t="n">
        <f>1095</f>
        <v>1095.0</v>
      </c>
      <c r="F317" s="10"/>
      <c r="G317" s="2" t="n">
        <f>3759033900</f>
        <v>3.7590339E9</v>
      </c>
      <c r="H317" s="10"/>
      <c r="I317" s="2" t="n">
        <f>417</f>
        <v>417.0</v>
      </c>
      <c r="J317" s="10"/>
      <c r="K317" s="2" t="n">
        <f>1223</f>
        <v>1223.0</v>
      </c>
    </row>
    <row r="318">
      <c r="A318" s="8" t="s">
        <v>32</v>
      </c>
      <c r="B318" s="9" t="s">
        <v>69</v>
      </c>
      <c r="C318" s="9" t="s">
        <v>70</v>
      </c>
      <c r="D318" s="10"/>
      <c r="E318" s="2" t="n">
        <f>1622</f>
        <v>1622.0</v>
      </c>
      <c r="F318" s="10"/>
      <c r="G318" s="2" t="n">
        <f>5562175800</f>
        <v>5.5621758E9</v>
      </c>
      <c r="H318" s="10"/>
      <c r="I318" s="2" t="n">
        <f>187</f>
        <v>187.0</v>
      </c>
      <c r="J318" s="10"/>
      <c r="K318" s="2" t="n">
        <f>1811</f>
        <v>1811.0</v>
      </c>
    </row>
    <row r="319">
      <c r="A319" s="8" t="s">
        <v>33</v>
      </c>
      <c r="B319" s="9" t="s">
        <v>69</v>
      </c>
      <c r="C319" s="9" t="s">
        <v>70</v>
      </c>
      <c r="D319" s="10"/>
      <c r="E319" s="2" t="n">
        <f>1038</f>
        <v>1038.0</v>
      </c>
      <c r="F319" s="10"/>
      <c r="G319" s="2" t="n">
        <f>3555624500</f>
        <v>3.5556245E9</v>
      </c>
      <c r="H319" s="10"/>
      <c r="I319" s="2" t="n">
        <f>317</f>
        <v>317.0</v>
      </c>
      <c r="J319" s="10"/>
      <c r="K319" s="2" t="n">
        <f>1845</f>
        <v>1845.0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599</f>
        <v>599.0</v>
      </c>
      <c r="F320" s="10"/>
      <c r="G320" s="2" t="n">
        <f>2067875800</f>
        <v>2.0678758E9</v>
      </c>
      <c r="H320" s="10"/>
      <c r="I320" s="2" t="n">
        <f>118</f>
        <v>118.0</v>
      </c>
      <c r="J320" s="10"/>
      <c r="K320" s="2" t="n">
        <f>1807</f>
        <v>1807.0</v>
      </c>
    </row>
    <row r="321">
      <c r="A321" s="8" t="s">
        <v>35</v>
      </c>
      <c r="B321" s="9" t="s">
        <v>69</v>
      </c>
      <c r="C321" s="9" t="s">
        <v>70</v>
      </c>
      <c r="D321" s="10"/>
      <c r="E321" s="2"/>
      <c r="F321" s="10"/>
      <c r="G321" s="2"/>
      <c r="H321" s="10"/>
      <c r="I321" s="2"/>
      <c r="J321" s="10"/>
      <c r="K321" s="2"/>
    </row>
    <row r="322">
      <c r="A322" s="8" t="s">
        <v>36</v>
      </c>
      <c r="B322" s="9" t="s">
        <v>69</v>
      </c>
      <c r="C322" s="9" t="s">
        <v>70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37</v>
      </c>
      <c r="B323" s="9" t="s">
        <v>69</v>
      </c>
      <c r="C323" s="9" t="s">
        <v>70</v>
      </c>
      <c r="D323" s="10" t="s">
        <v>23</v>
      </c>
      <c r="E323" s="2" t="n">
        <f>133</f>
        <v>133.0</v>
      </c>
      <c r="F323" s="10" t="s">
        <v>23</v>
      </c>
      <c r="G323" s="2" t="n">
        <f>455063000</f>
        <v>4.55063E8</v>
      </c>
      <c r="H323" s="10" t="s">
        <v>23</v>
      </c>
      <c r="I323" s="2" t="n">
        <f>56</f>
        <v>56.0</v>
      </c>
      <c r="J323" s="10"/>
      <c r="K323" s="2" t="n">
        <f>1829</f>
        <v>1829.0</v>
      </c>
    </row>
    <row r="324">
      <c r="A324" s="8" t="s">
        <v>38</v>
      </c>
      <c r="B324" s="9" t="s">
        <v>69</v>
      </c>
      <c r="C324" s="9" t="s">
        <v>70</v>
      </c>
      <c r="D324" s="10"/>
      <c r="E324" s="2" t="n">
        <f>951</f>
        <v>951.0</v>
      </c>
      <c r="F324" s="10"/>
      <c r="G324" s="2" t="n">
        <f>3265960300</f>
        <v>3.2659603E9</v>
      </c>
      <c r="H324" s="10"/>
      <c r="I324" s="2" t="n">
        <f>193</f>
        <v>193.0</v>
      </c>
      <c r="J324" s="10"/>
      <c r="K324" s="2" t="n">
        <f>1860</f>
        <v>1860.0</v>
      </c>
    </row>
    <row r="325">
      <c r="A325" s="8" t="s">
        <v>39</v>
      </c>
      <c r="B325" s="9" t="s">
        <v>69</v>
      </c>
      <c r="C325" s="9" t="s">
        <v>70</v>
      </c>
      <c r="D325" s="10"/>
      <c r="E325" s="2" t="n">
        <f>2660</f>
        <v>2660.0</v>
      </c>
      <c r="F325" s="10"/>
      <c r="G325" s="2" t="n">
        <f>9217621700</f>
        <v>9.2176217E9</v>
      </c>
      <c r="H325" s="10"/>
      <c r="I325" s="2" t="n">
        <f>375</f>
        <v>375.0</v>
      </c>
      <c r="J325" s="10" t="s">
        <v>23</v>
      </c>
      <c r="K325" s="2" t="n">
        <f>1035</f>
        <v>1035.0</v>
      </c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1798</f>
        <v>1798.0</v>
      </c>
      <c r="F326" s="10"/>
      <c r="G326" s="2" t="n">
        <f>6302228700</f>
        <v>6.3022287E9</v>
      </c>
      <c r="H326" s="10"/>
      <c r="I326" s="2" t="n">
        <f>512</f>
        <v>512.0</v>
      </c>
      <c r="J326" s="10"/>
      <c r="K326" s="2" t="n">
        <f>1272</f>
        <v>1272.0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2784</f>
        <v>2784.0</v>
      </c>
      <c r="F327" s="10"/>
      <c r="G327" s="2" t="n">
        <f>9713568100</f>
        <v>9.7135681E9</v>
      </c>
      <c r="H327" s="10"/>
      <c r="I327" s="2" t="n">
        <f>483</f>
        <v>483.0</v>
      </c>
      <c r="J327" s="10"/>
      <c r="K327" s="2" t="n">
        <f>1666</f>
        <v>1666.0</v>
      </c>
    </row>
    <row r="328">
      <c r="A328" s="8" t="s">
        <v>42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43</v>
      </c>
      <c r="B329" s="9" t="s">
        <v>69</v>
      </c>
      <c r="C329" s="9" t="s">
        <v>70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44</v>
      </c>
      <c r="B330" s="9" t="s">
        <v>69</v>
      </c>
      <c r="C330" s="9" t="s">
        <v>70</v>
      </c>
      <c r="D330" s="10" t="s">
        <v>31</v>
      </c>
      <c r="E330" s="2" t="n">
        <f>4813</f>
        <v>4813.0</v>
      </c>
      <c r="F330" s="10" t="s">
        <v>31</v>
      </c>
      <c r="G330" s="2" t="n">
        <f>16237689000</f>
        <v>1.6237689E10</v>
      </c>
      <c r="H330" s="10" t="s">
        <v>31</v>
      </c>
      <c r="I330" s="2" t="n">
        <f>1054</f>
        <v>1054.0</v>
      </c>
      <c r="J330" s="10"/>
      <c r="K330" s="2" t="n">
        <f>3317</f>
        <v>3317.0</v>
      </c>
    </row>
    <row r="331">
      <c r="A331" s="8" t="s">
        <v>45</v>
      </c>
      <c r="B331" s="9" t="s">
        <v>69</v>
      </c>
      <c r="C331" s="9" t="s">
        <v>70</v>
      </c>
      <c r="D331" s="10"/>
      <c r="E331" s="2" t="n">
        <f>2923</f>
        <v>2923.0</v>
      </c>
      <c r="F331" s="10"/>
      <c r="G331" s="2" t="n">
        <f>9810934800</f>
        <v>9.8109348E9</v>
      </c>
      <c r="H331" s="10"/>
      <c r="I331" s="2" t="n">
        <f>766</f>
        <v>766.0</v>
      </c>
      <c r="J331" s="10"/>
      <c r="K331" s="2" t="n">
        <f>3949</f>
        <v>3949.0</v>
      </c>
    </row>
    <row r="332">
      <c r="A332" s="8" t="s">
        <v>46</v>
      </c>
      <c r="B332" s="9" t="s">
        <v>69</v>
      </c>
      <c r="C332" s="9" t="s">
        <v>70</v>
      </c>
      <c r="D332" s="10"/>
      <c r="E332" s="2" t="n">
        <f>2053</f>
        <v>2053.0</v>
      </c>
      <c r="F332" s="10"/>
      <c r="G332" s="2" t="n">
        <f>6866723600</f>
        <v>6.8667236E9</v>
      </c>
      <c r="H332" s="10"/>
      <c r="I332" s="2" t="n">
        <f>388</f>
        <v>388.0</v>
      </c>
      <c r="J332" s="10"/>
      <c r="K332" s="2" t="n">
        <f>3884</f>
        <v>3884.0</v>
      </c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4033</f>
        <v>4033.0</v>
      </c>
      <c r="F333" s="10"/>
      <c r="G333" s="2" t="n">
        <f>13446003700</f>
        <v>1.34460037E10</v>
      </c>
      <c r="H333" s="10"/>
      <c r="I333" s="2" t="n">
        <f>532</f>
        <v>532.0</v>
      </c>
      <c r="J333" s="10" t="s">
        <v>31</v>
      </c>
      <c r="K333" s="2" t="n">
        <f>4530</f>
        <v>4530.0</v>
      </c>
    </row>
    <row r="334">
      <c r="A334" s="8" t="s">
        <v>48</v>
      </c>
      <c r="B334" s="9" t="s">
        <v>69</v>
      </c>
      <c r="C334" s="9" t="s">
        <v>70</v>
      </c>
      <c r="D334" s="10"/>
      <c r="E334" s="2"/>
      <c r="F334" s="10"/>
      <c r="G334" s="2"/>
      <c r="H334" s="10"/>
      <c r="I334" s="2"/>
      <c r="J334" s="10"/>
      <c r="K334" s="2"/>
    </row>
    <row r="335">
      <c r="A335" s="8" t="s">
        <v>49</v>
      </c>
      <c r="B335" s="9" t="s">
        <v>69</v>
      </c>
      <c r="C335" s="9" t="s">
        <v>70</v>
      </c>
      <c r="D335" s="10"/>
      <c r="E335" s="2"/>
      <c r="F335" s="10"/>
      <c r="G335" s="2"/>
      <c r="H335" s="10"/>
      <c r="I335" s="2"/>
      <c r="J335" s="10"/>
      <c r="K335" s="2"/>
    </row>
    <row r="336">
      <c r="A336" s="8" t="s">
        <v>16</v>
      </c>
      <c r="B336" s="9" t="s">
        <v>71</v>
      </c>
      <c r="C336" s="9" t="s">
        <v>72</v>
      </c>
      <c r="D336" s="10" t="s">
        <v>60</v>
      </c>
      <c r="E336" s="2" t="str">
        <f>"－"</f>
        <v>－</v>
      </c>
      <c r="F336" s="10" t="s">
        <v>60</v>
      </c>
      <c r="G336" s="2" t="str">
        <f>"－"</f>
        <v>－</v>
      </c>
      <c r="H336" s="10" t="s">
        <v>60</v>
      </c>
      <c r="I336" s="2" t="str">
        <f>"－"</f>
        <v>－</v>
      </c>
      <c r="J336" s="10" t="s">
        <v>60</v>
      </c>
      <c r="K336" s="2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20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21</v>
      </c>
      <c r="B339" s="9" t="s">
        <v>71</v>
      </c>
      <c r="C339" s="9" t="s">
        <v>72</v>
      </c>
      <c r="D339" s="10"/>
      <c r="E339" s="2" t="str">
        <f>"－"</f>
        <v>－</v>
      </c>
      <c r="F339" s="10"/>
      <c r="G339" s="2" t="str">
        <f>"－"</f>
        <v>－</v>
      </c>
      <c r="H339" s="10"/>
      <c r="I339" s="2" t="str">
        <f>"－"</f>
        <v>－</v>
      </c>
      <c r="J339" s="10"/>
      <c r="K339" s="2" t="str">
        <f>"－"</f>
        <v>－</v>
      </c>
    </row>
    <row r="340">
      <c r="A340" s="8" t="s">
        <v>22</v>
      </c>
      <c r="B340" s="9" t="s">
        <v>71</v>
      </c>
      <c r="C340" s="9" t="s">
        <v>72</v>
      </c>
      <c r="D340" s="10"/>
      <c r="E340" s="2" t="str">
        <f>"－"</f>
        <v>－</v>
      </c>
      <c r="F340" s="10"/>
      <c r="G340" s="2" t="str">
        <f>"－"</f>
        <v>－</v>
      </c>
      <c r="H340" s="10"/>
      <c r="I340" s="2" t="str">
        <f>"－"</f>
        <v>－</v>
      </c>
      <c r="J340" s="10"/>
      <c r="K340" s="2" t="str">
        <f>"－"</f>
        <v>－</v>
      </c>
    </row>
    <row r="341">
      <c r="A341" s="8" t="s">
        <v>24</v>
      </c>
      <c r="B341" s="9" t="s">
        <v>71</v>
      </c>
      <c r="C341" s="9" t="s">
        <v>72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25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28</v>
      </c>
      <c r="B345" s="9" t="s">
        <v>71</v>
      </c>
      <c r="C345" s="9" t="s">
        <v>72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29</v>
      </c>
      <c r="B346" s="9" t="s">
        <v>71</v>
      </c>
      <c r="C346" s="9" t="s">
        <v>72</v>
      </c>
      <c r="D346" s="10"/>
      <c r="E346" s="2" t="str">
        <f>"－"</f>
        <v>－</v>
      </c>
      <c r="F346" s="10"/>
      <c r="G346" s="2" t="str">
        <f>"－"</f>
        <v>－</v>
      </c>
      <c r="H346" s="10"/>
      <c r="I346" s="2" t="str">
        <f>"－"</f>
        <v>－</v>
      </c>
      <c r="J346" s="10"/>
      <c r="K346" s="2" t="str">
        <f>"－"</f>
        <v>－</v>
      </c>
    </row>
    <row r="347">
      <c r="A347" s="8" t="s">
        <v>30</v>
      </c>
      <c r="B347" s="9" t="s">
        <v>71</v>
      </c>
      <c r="C347" s="9" t="s">
        <v>72</v>
      </c>
      <c r="D347" s="10"/>
      <c r="E347" s="2" t="str">
        <f>"－"</f>
        <v>－</v>
      </c>
      <c r="F347" s="10"/>
      <c r="G347" s="2" t="str">
        <f>"－"</f>
        <v>－</v>
      </c>
      <c r="H347" s="10"/>
      <c r="I347" s="2" t="str">
        <f>"－"</f>
        <v>－</v>
      </c>
      <c r="J347" s="10"/>
      <c r="K347" s="2" t="str">
        <f>"－"</f>
        <v>－</v>
      </c>
    </row>
    <row r="348">
      <c r="A348" s="8" t="s">
        <v>32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33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/>
      <c r="F351" s="10"/>
      <c r="G351" s="2"/>
      <c r="H351" s="10"/>
      <c r="I351" s="2"/>
      <c r="J351" s="10"/>
      <c r="K351" s="2"/>
    </row>
    <row r="352">
      <c r="A352" s="8" t="s">
        <v>36</v>
      </c>
      <c r="B352" s="9" t="s">
        <v>71</v>
      </c>
      <c r="C352" s="9" t="s">
        <v>72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37</v>
      </c>
      <c r="B353" s="9" t="s">
        <v>71</v>
      </c>
      <c r="C353" s="9" t="s">
        <v>72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38</v>
      </c>
      <c r="B354" s="9" t="s">
        <v>71</v>
      </c>
      <c r="C354" s="9" t="s">
        <v>72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39</v>
      </c>
      <c r="B355" s="9" t="s">
        <v>71</v>
      </c>
      <c r="C355" s="9" t="s">
        <v>72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43</v>
      </c>
      <c r="B359" s="9" t="s">
        <v>71</v>
      </c>
      <c r="C359" s="9" t="s">
        <v>72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44</v>
      </c>
      <c r="B360" s="9" t="s">
        <v>71</v>
      </c>
      <c r="C360" s="9" t="s">
        <v>72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45</v>
      </c>
      <c r="B361" s="9" t="s">
        <v>71</v>
      </c>
      <c r="C361" s="9" t="s">
        <v>72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46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49</v>
      </c>
      <c r="B365" s="9" t="s">
        <v>71</v>
      </c>
      <c r="C365" s="9" t="s">
        <v>72</v>
      </c>
      <c r="D365" s="10"/>
      <c r="E365" s="2"/>
      <c r="F365" s="10"/>
      <c r="G365" s="2"/>
      <c r="H365" s="10"/>
      <c r="I365" s="2"/>
      <c r="J365" s="10"/>
      <c r="K365" s="2"/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20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21</v>
      </c>
      <c r="B369" s="9" t="s">
        <v>73</v>
      </c>
      <c r="C369" s="9" t="s">
        <v>74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22</v>
      </c>
      <c r="B370" s="9" t="s">
        <v>73</v>
      </c>
      <c r="C370" s="9" t="s">
        <v>74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24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25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28</v>
      </c>
      <c r="B375" s="9" t="s">
        <v>73</v>
      </c>
      <c r="C375" s="9" t="s">
        <v>74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29</v>
      </c>
      <c r="B376" s="9" t="s">
        <v>73</v>
      </c>
      <c r="C376" s="9" t="s">
        <v>74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30</v>
      </c>
      <c r="B377" s="9" t="s">
        <v>73</v>
      </c>
      <c r="C377" s="9" t="s">
        <v>74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32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36</v>
      </c>
      <c r="B382" s="9" t="s">
        <v>73</v>
      </c>
      <c r="C382" s="9" t="s">
        <v>74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37</v>
      </c>
      <c r="B383" s="9" t="s">
        <v>73</v>
      </c>
      <c r="C383" s="9" t="s">
        <v>74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38</v>
      </c>
      <c r="B384" s="9" t="s">
        <v>73</v>
      </c>
      <c r="C384" s="9" t="s">
        <v>74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39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43</v>
      </c>
      <c r="B389" s="9" t="s">
        <v>73</v>
      </c>
      <c r="C389" s="9" t="s">
        <v>74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44</v>
      </c>
      <c r="B390" s="9" t="s">
        <v>73</v>
      </c>
      <c r="C390" s="9" t="s">
        <v>74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45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46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49</v>
      </c>
      <c r="B395" s="9" t="s">
        <v>73</v>
      </c>
      <c r="C395" s="9" t="s">
        <v>74</v>
      </c>
      <c r="D395" s="10"/>
      <c r="E395" s="2"/>
      <c r="F395" s="10"/>
      <c r="G395" s="2"/>
      <c r="H395" s="10"/>
      <c r="I395" s="2"/>
      <c r="J395" s="10"/>
      <c r="K395" s="2"/>
    </row>
    <row r="396">
      <c r="A396" s="8" t="s">
        <v>16</v>
      </c>
      <c r="B396" s="9" t="s">
        <v>75</v>
      </c>
      <c r="C396" s="9" t="s">
        <v>76</v>
      </c>
      <c r="D396" s="10" t="s">
        <v>60</v>
      </c>
      <c r="E396" s="2" t="str">
        <f>"－"</f>
        <v>－</v>
      </c>
      <c r="F396" s="10" t="s">
        <v>60</v>
      </c>
      <c r="G396" s="2" t="str">
        <f>"－"</f>
        <v>－</v>
      </c>
      <c r="H396" s="10" t="s">
        <v>60</v>
      </c>
      <c r="I396" s="2" t="str">
        <f>"－"</f>
        <v>－</v>
      </c>
      <c r="J396" s="10" t="s">
        <v>60</v>
      </c>
      <c r="K396" s="2" t="n">
        <f>7014</f>
        <v>7014.0</v>
      </c>
    </row>
    <row r="397">
      <c r="A397" s="8" t="s">
        <v>19</v>
      </c>
      <c r="B397" s="9" t="s">
        <v>75</v>
      </c>
      <c r="C397" s="9" t="s">
        <v>76</v>
      </c>
      <c r="D397" s="10"/>
      <c r="E397" s="2"/>
      <c r="F397" s="10"/>
      <c r="G397" s="2"/>
      <c r="H397" s="10"/>
      <c r="I397" s="2"/>
      <c r="J397" s="10"/>
      <c r="K397" s="2"/>
    </row>
    <row r="398">
      <c r="A398" s="8" t="s">
        <v>20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21</v>
      </c>
      <c r="B399" s="9" t="s">
        <v>75</v>
      </c>
      <c r="C399" s="9" t="s">
        <v>76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n">
        <f>7014</f>
        <v>7014.0</v>
      </c>
    </row>
    <row r="400">
      <c r="A400" s="8" t="s">
        <v>22</v>
      </c>
      <c r="B400" s="9" t="s">
        <v>75</v>
      </c>
      <c r="C400" s="9" t="s">
        <v>76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n">
        <f>7014</f>
        <v>7014.0</v>
      </c>
    </row>
    <row r="401">
      <c r="A401" s="8" t="s">
        <v>24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n">
        <f>7014</f>
        <v>7014.0</v>
      </c>
    </row>
    <row r="402">
      <c r="A402" s="8" t="s">
        <v>25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7014</f>
        <v>7014.0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7014</f>
        <v>7014.0</v>
      </c>
    </row>
    <row r="404">
      <c r="A404" s="8" t="s">
        <v>27</v>
      </c>
      <c r="B404" s="9" t="s">
        <v>75</v>
      </c>
      <c r="C404" s="9" t="s">
        <v>76</v>
      </c>
      <c r="D404" s="10"/>
      <c r="E404" s="2"/>
      <c r="F404" s="10"/>
      <c r="G404" s="2"/>
      <c r="H404" s="10"/>
      <c r="I404" s="2"/>
      <c r="J404" s="10"/>
      <c r="K404" s="2"/>
    </row>
    <row r="405">
      <c r="A405" s="8" t="s">
        <v>28</v>
      </c>
      <c r="B405" s="9" t="s">
        <v>75</v>
      </c>
      <c r="C405" s="9" t="s">
        <v>76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29</v>
      </c>
      <c r="B406" s="9" t="s">
        <v>75</v>
      </c>
      <c r="C406" s="9" t="s">
        <v>76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n">
        <f>7014</f>
        <v>7014.0</v>
      </c>
    </row>
    <row r="407">
      <c r="A407" s="8" t="s">
        <v>30</v>
      </c>
      <c r="B407" s="9" t="s">
        <v>75</v>
      </c>
      <c r="C407" s="9" t="s">
        <v>76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n">
        <f>7014</f>
        <v>7014.0</v>
      </c>
    </row>
    <row r="408">
      <c r="A408" s="8" t="s">
        <v>32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n">
        <f>7014</f>
        <v>7014.0</v>
      </c>
    </row>
    <row r="409">
      <c r="A409" s="8" t="s">
        <v>33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7014</f>
        <v>7014.0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7014</f>
        <v>7014.0</v>
      </c>
    </row>
    <row r="411">
      <c r="A411" s="8" t="s">
        <v>35</v>
      </c>
      <c r="B411" s="9" t="s">
        <v>75</v>
      </c>
      <c r="C411" s="9" t="s">
        <v>76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36</v>
      </c>
      <c r="B412" s="9" t="s">
        <v>75</v>
      </c>
      <c r="C412" s="9" t="s">
        <v>76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37</v>
      </c>
      <c r="B413" s="9" t="s">
        <v>75</v>
      </c>
      <c r="C413" s="9" t="s">
        <v>76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7014</f>
        <v>7014.0</v>
      </c>
    </row>
    <row r="414">
      <c r="A414" s="8" t="s">
        <v>38</v>
      </c>
      <c r="B414" s="9" t="s">
        <v>75</v>
      </c>
      <c r="C414" s="9" t="s">
        <v>76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7014</f>
        <v>7014.0</v>
      </c>
    </row>
    <row r="415">
      <c r="A415" s="8" t="s">
        <v>39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7014</f>
        <v>7014.0</v>
      </c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7014</f>
        <v>7014.0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7014</f>
        <v>7014.0</v>
      </c>
    </row>
    <row r="418">
      <c r="A418" s="8" t="s">
        <v>42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43</v>
      </c>
      <c r="B419" s="9" t="s">
        <v>75</v>
      </c>
      <c r="C419" s="9" t="s">
        <v>76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44</v>
      </c>
      <c r="B420" s="9" t="s">
        <v>75</v>
      </c>
      <c r="C420" s="9" t="s">
        <v>76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7014</f>
        <v>7014.0</v>
      </c>
    </row>
    <row r="421">
      <c r="A421" s="8" t="s">
        <v>45</v>
      </c>
      <c r="B421" s="9" t="s">
        <v>75</v>
      </c>
      <c r="C421" s="9" t="s">
        <v>76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7014</f>
        <v>7014.0</v>
      </c>
    </row>
    <row r="422">
      <c r="A422" s="8" t="s">
        <v>46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7014</f>
        <v>7014.0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7014</f>
        <v>7014.0</v>
      </c>
    </row>
    <row r="424">
      <c r="A424" s="8" t="s">
        <v>48</v>
      </c>
      <c r="B424" s="9" t="s">
        <v>75</v>
      </c>
      <c r="C424" s="9" t="s">
        <v>76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49</v>
      </c>
      <c r="B425" s="9" t="s">
        <v>75</v>
      </c>
      <c r="C425" s="9" t="s">
        <v>76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16</v>
      </c>
      <c r="B426" s="9" t="s">
        <v>77</v>
      </c>
      <c r="C426" s="9" t="s">
        <v>78</v>
      </c>
      <c r="D426" s="10"/>
      <c r="E426" s="2" t="n">
        <f>39</f>
        <v>39.0</v>
      </c>
      <c r="F426" s="10"/>
      <c r="G426" s="2" t="n">
        <f>8738000</f>
        <v>8738000.0</v>
      </c>
      <c r="H426" s="10" t="s">
        <v>60</v>
      </c>
      <c r="I426" s="2" t="str">
        <f>"－"</f>
        <v>－</v>
      </c>
      <c r="J426" s="10"/>
      <c r="K426" s="2" t="n">
        <f>258</f>
        <v>258.0</v>
      </c>
    </row>
    <row r="427">
      <c r="A427" s="8" t="s">
        <v>19</v>
      </c>
      <c r="B427" s="9" t="s">
        <v>77</v>
      </c>
      <c r="C427" s="9" t="s">
        <v>78</v>
      </c>
      <c r="D427" s="10"/>
      <c r="E427" s="2"/>
      <c r="F427" s="10"/>
      <c r="G427" s="2"/>
      <c r="H427" s="10"/>
      <c r="I427" s="2"/>
      <c r="J427" s="10"/>
      <c r="K427" s="2"/>
    </row>
    <row r="428">
      <c r="A428" s="8" t="s">
        <v>20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21</v>
      </c>
      <c r="B429" s="9" t="s">
        <v>77</v>
      </c>
      <c r="C429" s="9" t="s">
        <v>78</v>
      </c>
      <c r="D429" s="10"/>
      <c r="E429" s="2" t="n">
        <f>44</f>
        <v>44.0</v>
      </c>
      <c r="F429" s="10"/>
      <c r="G429" s="2" t="n">
        <f>9788000</f>
        <v>9788000.0</v>
      </c>
      <c r="H429" s="10"/>
      <c r="I429" s="2" t="str">
        <f>"－"</f>
        <v>－</v>
      </c>
      <c r="J429" s="10"/>
      <c r="K429" s="2" t="n">
        <f>268</f>
        <v>268.0</v>
      </c>
    </row>
    <row r="430">
      <c r="A430" s="8" t="s">
        <v>22</v>
      </c>
      <c r="B430" s="9" t="s">
        <v>77</v>
      </c>
      <c r="C430" s="9" t="s">
        <v>78</v>
      </c>
      <c r="D430" s="10"/>
      <c r="E430" s="2" t="n">
        <f>45</f>
        <v>45.0</v>
      </c>
      <c r="F430" s="10"/>
      <c r="G430" s="2" t="n">
        <f>9703500</f>
        <v>9703500.0</v>
      </c>
      <c r="H430" s="10"/>
      <c r="I430" s="2" t="str">
        <f>"－"</f>
        <v>－</v>
      </c>
      <c r="J430" s="10"/>
      <c r="K430" s="2" t="n">
        <f>294</f>
        <v>294.0</v>
      </c>
    </row>
    <row r="431">
      <c r="A431" s="8" t="s">
        <v>24</v>
      </c>
      <c r="B431" s="9" t="s">
        <v>77</v>
      </c>
      <c r="C431" s="9" t="s">
        <v>78</v>
      </c>
      <c r="D431" s="10" t="s">
        <v>31</v>
      </c>
      <c r="E431" s="2" t="n">
        <f>87</f>
        <v>87.0</v>
      </c>
      <c r="F431" s="10" t="s">
        <v>31</v>
      </c>
      <c r="G431" s="2" t="n">
        <f>19015500</f>
        <v>1.90155E7</v>
      </c>
      <c r="H431" s="10"/>
      <c r="I431" s="2" t="str">
        <f>"－"</f>
        <v>－</v>
      </c>
      <c r="J431" s="10"/>
      <c r="K431" s="2" t="n">
        <f>365</f>
        <v>365.0</v>
      </c>
    </row>
    <row r="432">
      <c r="A432" s="8" t="s">
        <v>25</v>
      </c>
      <c r="B432" s="9" t="s">
        <v>77</v>
      </c>
      <c r="C432" s="9" t="s">
        <v>78</v>
      </c>
      <c r="D432" s="10"/>
      <c r="E432" s="2" t="n">
        <f>33</f>
        <v>33.0</v>
      </c>
      <c r="F432" s="10"/>
      <c r="G432" s="2" t="n">
        <f>7477500</f>
        <v>7477500.0</v>
      </c>
      <c r="H432" s="10"/>
      <c r="I432" s="2" t="str">
        <f>"－"</f>
        <v>－</v>
      </c>
      <c r="J432" s="10"/>
      <c r="K432" s="2" t="n">
        <f>370</f>
        <v>370.0</v>
      </c>
    </row>
    <row r="433">
      <c r="A433" s="8" t="s">
        <v>26</v>
      </c>
      <c r="B433" s="9" t="s">
        <v>77</v>
      </c>
      <c r="C433" s="9" t="s">
        <v>78</v>
      </c>
      <c r="D433" s="10"/>
      <c r="E433" s="2" t="n">
        <f>19</f>
        <v>19.0</v>
      </c>
      <c r="F433" s="10"/>
      <c r="G433" s="2" t="n">
        <f>4331000</f>
        <v>4331000.0</v>
      </c>
      <c r="H433" s="10"/>
      <c r="I433" s="2" t="str">
        <f>"－"</f>
        <v>－</v>
      </c>
      <c r="J433" s="10"/>
      <c r="K433" s="2" t="n">
        <f>379</f>
        <v>379.0</v>
      </c>
    </row>
    <row r="434">
      <c r="A434" s="8" t="s">
        <v>27</v>
      </c>
      <c r="B434" s="9" t="s">
        <v>77</v>
      </c>
      <c r="C434" s="9" t="s">
        <v>78</v>
      </c>
      <c r="D434" s="10"/>
      <c r="E434" s="2"/>
      <c r="F434" s="10"/>
      <c r="G434" s="2"/>
      <c r="H434" s="10"/>
      <c r="I434" s="2"/>
      <c r="J434" s="10"/>
      <c r="K434" s="2"/>
    </row>
    <row r="435">
      <c r="A435" s="8" t="s">
        <v>28</v>
      </c>
      <c r="B435" s="9" t="s">
        <v>77</v>
      </c>
      <c r="C435" s="9" t="s">
        <v>78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29</v>
      </c>
      <c r="B436" s="9" t="s">
        <v>77</v>
      </c>
      <c r="C436" s="9" t="s">
        <v>78</v>
      </c>
      <c r="D436" s="10"/>
      <c r="E436" s="2" t="n">
        <f>51</f>
        <v>51.0</v>
      </c>
      <c r="F436" s="10"/>
      <c r="G436" s="2" t="n">
        <f>11616500</f>
        <v>1.16165E7</v>
      </c>
      <c r="H436" s="10"/>
      <c r="I436" s="2" t="str">
        <f>"－"</f>
        <v>－</v>
      </c>
      <c r="J436" s="10"/>
      <c r="K436" s="2" t="n">
        <f>417</f>
        <v>417.0</v>
      </c>
    </row>
    <row r="437">
      <c r="A437" s="8" t="s">
        <v>30</v>
      </c>
      <c r="B437" s="9" t="s">
        <v>77</v>
      </c>
      <c r="C437" s="9" t="s">
        <v>78</v>
      </c>
      <c r="D437" s="10"/>
      <c r="E437" s="2" t="n">
        <f>15</f>
        <v>15.0</v>
      </c>
      <c r="F437" s="10"/>
      <c r="G437" s="2" t="n">
        <f>3442000</f>
        <v>3442000.0</v>
      </c>
      <c r="H437" s="10"/>
      <c r="I437" s="2" t="str">
        <f>"－"</f>
        <v>－</v>
      </c>
      <c r="J437" s="10"/>
      <c r="K437" s="2" t="n">
        <f>419</f>
        <v>419.0</v>
      </c>
    </row>
    <row r="438">
      <c r="A438" s="8" t="s">
        <v>32</v>
      </c>
      <c r="B438" s="9" t="s">
        <v>77</v>
      </c>
      <c r="C438" s="9" t="s">
        <v>78</v>
      </c>
      <c r="D438" s="10"/>
      <c r="E438" s="2" t="n">
        <f>37</f>
        <v>37.0</v>
      </c>
      <c r="F438" s="10"/>
      <c r="G438" s="2" t="n">
        <f>8528500</f>
        <v>8528500.0</v>
      </c>
      <c r="H438" s="10"/>
      <c r="I438" s="2" t="str">
        <f>"－"</f>
        <v>－</v>
      </c>
      <c r="J438" s="10" t="s">
        <v>31</v>
      </c>
      <c r="K438" s="2" t="n">
        <f>427</f>
        <v>427.0</v>
      </c>
    </row>
    <row r="439">
      <c r="A439" s="8" t="s">
        <v>33</v>
      </c>
      <c r="B439" s="9" t="s">
        <v>77</v>
      </c>
      <c r="C439" s="9" t="s">
        <v>78</v>
      </c>
      <c r="D439" s="10"/>
      <c r="E439" s="2" t="n">
        <f>21</f>
        <v>21.0</v>
      </c>
      <c r="F439" s="10"/>
      <c r="G439" s="2" t="n">
        <f>4748500</f>
        <v>4748500.0</v>
      </c>
      <c r="H439" s="10"/>
      <c r="I439" s="2" t="str">
        <f>"－"</f>
        <v>－</v>
      </c>
      <c r="J439" s="10" t="s">
        <v>23</v>
      </c>
      <c r="K439" s="2" t="n">
        <f>221</f>
        <v>221.0</v>
      </c>
    </row>
    <row r="440">
      <c r="A440" s="8" t="s">
        <v>34</v>
      </c>
      <c r="B440" s="9" t="s">
        <v>77</v>
      </c>
      <c r="C440" s="9" t="s">
        <v>78</v>
      </c>
      <c r="D440" s="10"/>
      <c r="E440" s="2" t="n">
        <f>42</f>
        <v>42.0</v>
      </c>
      <c r="F440" s="10"/>
      <c r="G440" s="2" t="n">
        <f>9751000</f>
        <v>9751000.0</v>
      </c>
      <c r="H440" s="10"/>
      <c r="I440" s="2" t="str">
        <f>"－"</f>
        <v>－</v>
      </c>
      <c r="J440" s="10"/>
      <c r="K440" s="2" t="n">
        <f>228</f>
        <v>228.0</v>
      </c>
    </row>
    <row r="441">
      <c r="A441" s="8" t="s">
        <v>35</v>
      </c>
      <c r="B441" s="9" t="s">
        <v>77</v>
      </c>
      <c r="C441" s="9" t="s">
        <v>78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36</v>
      </c>
      <c r="B442" s="9" t="s">
        <v>77</v>
      </c>
      <c r="C442" s="9" t="s">
        <v>78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37</v>
      </c>
      <c r="B443" s="9" t="s">
        <v>77</v>
      </c>
      <c r="C443" s="9" t="s">
        <v>78</v>
      </c>
      <c r="D443" s="10"/>
      <c r="E443" s="2" t="n">
        <f>28</f>
        <v>28.0</v>
      </c>
      <c r="F443" s="10"/>
      <c r="G443" s="2" t="n">
        <f>6642500</f>
        <v>6642500.0</v>
      </c>
      <c r="H443" s="10"/>
      <c r="I443" s="2" t="str">
        <f>"－"</f>
        <v>－</v>
      </c>
      <c r="J443" s="10"/>
      <c r="K443" s="2" t="n">
        <f>236</f>
        <v>236.0</v>
      </c>
    </row>
    <row r="444">
      <c r="A444" s="8" t="s">
        <v>38</v>
      </c>
      <c r="B444" s="9" t="s">
        <v>77</v>
      </c>
      <c r="C444" s="9" t="s">
        <v>78</v>
      </c>
      <c r="D444" s="10"/>
      <c r="E444" s="2" t="n">
        <f>36</f>
        <v>36.0</v>
      </c>
      <c r="F444" s="10"/>
      <c r="G444" s="2" t="n">
        <f>8527500</f>
        <v>8527500.0</v>
      </c>
      <c r="H444" s="10"/>
      <c r="I444" s="2" t="str">
        <f>"－"</f>
        <v>－</v>
      </c>
      <c r="J444" s="10"/>
      <c r="K444" s="2" t="n">
        <f>251</f>
        <v>251.0</v>
      </c>
    </row>
    <row r="445">
      <c r="A445" s="8" t="s">
        <v>39</v>
      </c>
      <c r="B445" s="9" t="s">
        <v>77</v>
      </c>
      <c r="C445" s="9" t="s">
        <v>78</v>
      </c>
      <c r="D445" s="10"/>
      <c r="E445" s="2" t="n">
        <f>26</f>
        <v>26.0</v>
      </c>
      <c r="F445" s="10"/>
      <c r="G445" s="2" t="n">
        <f>5899000</f>
        <v>5899000.0</v>
      </c>
      <c r="H445" s="10"/>
      <c r="I445" s="2" t="str">
        <f>"－"</f>
        <v>－</v>
      </c>
      <c r="J445" s="10"/>
      <c r="K445" s="2" t="n">
        <f>246</f>
        <v>246.0</v>
      </c>
    </row>
    <row r="446">
      <c r="A446" s="8" t="s">
        <v>40</v>
      </c>
      <c r="B446" s="9" t="s">
        <v>77</v>
      </c>
      <c r="C446" s="9" t="s">
        <v>78</v>
      </c>
      <c r="D446" s="10"/>
      <c r="E446" s="2" t="n">
        <f>63</f>
        <v>63.0</v>
      </c>
      <c r="F446" s="10"/>
      <c r="G446" s="2" t="n">
        <f>14588500</f>
        <v>1.45885E7</v>
      </c>
      <c r="H446" s="10"/>
      <c r="I446" s="2" t="str">
        <f>"－"</f>
        <v>－</v>
      </c>
      <c r="J446" s="10"/>
      <c r="K446" s="2" t="n">
        <f>267</f>
        <v>267.0</v>
      </c>
    </row>
    <row r="447">
      <c r="A447" s="8" t="s">
        <v>41</v>
      </c>
      <c r="B447" s="9" t="s">
        <v>77</v>
      </c>
      <c r="C447" s="9" t="s">
        <v>78</v>
      </c>
      <c r="D447" s="10"/>
      <c r="E447" s="2" t="n">
        <f>33</f>
        <v>33.0</v>
      </c>
      <c r="F447" s="10"/>
      <c r="G447" s="2" t="n">
        <f>7864000</f>
        <v>7864000.0</v>
      </c>
      <c r="H447" s="10"/>
      <c r="I447" s="2" t="str">
        <f>"－"</f>
        <v>－</v>
      </c>
      <c r="J447" s="10"/>
      <c r="K447" s="2" t="n">
        <f>284</f>
        <v>284.0</v>
      </c>
    </row>
    <row r="448">
      <c r="A448" s="8" t="s">
        <v>42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43</v>
      </c>
      <c r="B449" s="9" t="s">
        <v>77</v>
      </c>
      <c r="C449" s="9" t="s">
        <v>78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44</v>
      </c>
      <c r="B450" s="9" t="s">
        <v>77</v>
      </c>
      <c r="C450" s="9" t="s">
        <v>78</v>
      </c>
      <c r="D450" s="10"/>
      <c r="E450" s="2" t="n">
        <f>57</f>
        <v>57.0</v>
      </c>
      <c r="F450" s="10"/>
      <c r="G450" s="2" t="n">
        <f>14451500</f>
        <v>1.44515E7</v>
      </c>
      <c r="H450" s="10"/>
      <c r="I450" s="2" t="str">
        <f>"－"</f>
        <v>－</v>
      </c>
      <c r="J450" s="10"/>
      <c r="K450" s="2" t="n">
        <f>307</f>
        <v>307.0</v>
      </c>
    </row>
    <row r="451">
      <c r="A451" s="8" t="s">
        <v>45</v>
      </c>
      <c r="B451" s="9" t="s">
        <v>77</v>
      </c>
      <c r="C451" s="9" t="s">
        <v>78</v>
      </c>
      <c r="D451" s="10" t="s">
        <v>23</v>
      </c>
      <c r="E451" s="2" t="n">
        <f>1</f>
        <v>1.0</v>
      </c>
      <c r="F451" s="10" t="s">
        <v>23</v>
      </c>
      <c r="G451" s="2" t="n">
        <f>246500</f>
        <v>246500.0</v>
      </c>
      <c r="H451" s="10"/>
      <c r="I451" s="2" t="str">
        <f>"－"</f>
        <v>－</v>
      </c>
      <c r="J451" s="10"/>
      <c r="K451" s="2" t="n">
        <f>307</f>
        <v>307.0</v>
      </c>
    </row>
    <row r="452">
      <c r="A452" s="8" t="s">
        <v>46</v>
      </c>
      <c r="B452" s="9" t="s">
        <v>77</v>
      </c>
      <c r="C452" s="9" t="s">
        <v>78</v>
      </c>
      <c r="D452" s="10"/>
      <c r="E452" s="2" t="n">
        <f>53</f>
        <v>53.0</v>
      </c>
      <c r="F452" s="10"/>
      <c r="G452" s="2" t="n">
        <f>14118000</f>
        <v>1.4118E7</v>
      </c>
      <c r="H452" s="10"/>
      <c r="I452" s="2" t="str">
        <f>"－"</f>
        <v>－</v>
      </c>
      <c r="J452" s="10"/>
      <c r="K452" s="2" t="n">
        <f>318</f>
        <v>318.0</v>
      </c>
    </row>
    <row r="453">
      <c r="A453" s="8" t="s">
        <v>47</v>
      </c>
      <c r="B453" s="9" t="s">
        <v>77</v>
      </c>
      <c r="C453" s="9" t="s">
        <v>78</v>
      </c>
      <c r="D453" s="10"/>
      <c r="E453" s="2" t="n">
        <f>69</f>
        <v>69.0</v>
      </c>
      <c r="F453" s="10"/>
      <c r="G453" s="2" t="n">
        <f>17768000</f>
        <v>1.7768E7</v>
      </c>
      <c r="H453" s="10"/>
      <c r="I453" s="2" t="str">
        <f>"－"</f>
        <v>－</v>
      </c>
      <c r="J453" s="10"/>
      <c r="K453" s="2" t="n">
        <f>315</f>
        <v>315.0</v>
      </c>
    </row>
    <row r="454">
      <c r="A454" s="8" t="s">
        <v>48</v>
      </c>
      <c r="B454" s="9" t="s">
        <v>77</v>
      </c>
      <c r="C454" s="9" t="s">
        <v>78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49</v>
      </c>
      <c r="B455" s="9" t="s">
        <v>77</v>
      </c>
      <c r="C455" s="9" t="s">
        <v>78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19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20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21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24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25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27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32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33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34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35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36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41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