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windowHeight="7515" windowWidth="14400" xWindow="-15" yWindow="0"/>
  </bookViews>
  <sheets>
    <sheet name="BO_DM0035" r:id="rId1" sheetId="9"/>
  </sheets>
  <definedNames>
    <definedName localSheetId="0" name="_xlnm.Print_Titles">BO_DM0035!$3:$5</definedName>
  </definedNames>
  <calcPr calcId="145621"/>
</workbook>
</file>

<file path=xl/sharedStrings.xml><?xml version="1.0" encoding="utf-8"?>
<sst xmlns="http://schemas.openxmlformats.org/spreadsheetml/2006/main" count="2430" uniqueCount="99">
  <si>
    <t>月日</t>
  </si>
  <si>
    <t>取　引　高</t>
  </si>
  <si>
    <t>Date</t>
  </si>
  <si>
    <t>取　引　金　額</t>
  </si>
  <si>
    <t>ギ　ブ　・　ア　ッ　プ　数　量</t>
  </si>
  <si>
    <t>建　玉　現　在　高</t>
  </si>
  <si>
    <t>Trading Volume</t>
  </si>
  <si>
    <t>Trading Value</t>
  </si>
  <si>
    <t>Give Up Volume</t>
  </si>
  <si>
    <t>Open Interest</t>
  </si>
  <si>
    <t>商品等</t>
    <rPh eb="2" sb="0">
      <t>ショウヒン</t>
    </rPh>
    <rPh eb="3" sb="2">
      <t>ナド</t>
    </rPh>
    <phoneticPr fontId="92"/>
  </si>
  <si>
    <t>（単位 units. 円 ￥.）</t>
    <phoneticPr fontId="5"/>
  </si>
  <si>
    <t>（注）  1．◎は最高、 ●は最低を示す。　2．ギブ･アップ数量は売と買の合計数量　　Note： 1．◎ indicates highest and ● indicates lowest.　2．Give-Up Volume means total amount of the buying and selling.</t>
  </si>
  <si>
    <t>商品先物取引取引状況（日別）</t>
    <rPh eb="2" sb="0">
      <t>ショウヒン</t>
    </rPh>
    <phoneticPr fontId="5"/>
  </si>
  <si>
    <t>Products</t>
    <phoneticPr fontId="92"/>
  </si>
  <si>
    <t>Trading of Commodity Futures (Daily)</t>
    <phoneticPr fontId="5"/>
  </si>
  <si>
    <t>6.1</t>
  </si>
  <si>
    <t>金標準先物</t>
  </si>
  <si>
    <t>Gold Standard Futures</t>
  </si>
  <si>
    <t>◎●</t>
  </si>
  <si>
    <t>◎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</si>
  <si>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</si>
  <si>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</si>
  <si>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</si>
  <si>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</si>
  <si>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</si>
  <si>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</si>
  <si>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</si>
  <si>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</si>
  <si>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</si>
  <si>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</si>
  <si>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</si>
  <si>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</si>
  <si>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</si>
  <si>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</si>
  <si>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</si>
  <si>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</si>
  <si>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</si>
  <si>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</si>
  <si>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</si>
  <si>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</si>
  <si>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●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</si>
  <si>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</si>
  <si>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</si>
  <si>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</si>
  <si>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</si>
  <si>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</si>
  <si>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</si>
  <si>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</si>
  <si>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</si>
  <si>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</si>
  <si>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金ミニ先物</t>
  </si>
  <si>
    <t>Gold Mini Futures</t>
  </si>
  <si>
    <t>金限日先物</t>
  </si>
  <si>
    <t>Gold Rolling-Spot Futures</t>
  </si>
  <si>
    <t>銀先物</t>
  </si>
  <si>
    <t>Silver Futures</t>
  </si>
  <si>
    <t>白金標準先物</t>
  </si>
  <si>
    <t>Platinum Standard Futures</t>
  </si>
  <si>
    <t>白金ミニ先物</t>
  </si>
  <si>
    <t>Platinum Mini Futures</t>
  </si>
  <si>
    <t>白金限日先物</t>
  </si>
  <si>
    <t>Platinum Rolling-Spot Futures</t>
  </si>
  <si>
    <t>パラジウム先物</t>
  </si>
  <si>
    <t>Palladium Futures</t>
  </si>
  <si>
    <t>CME原油等指数先物</t>
  </si>
  <si>
    <t>CME Petroleum Index Futures</t>
  </si>
  <si>
    <t>ゴム（RSS3）先物</t>
  </si>
  <si>
    <t>RSS3 Rubber Futures</t>
  </si>
  <si>
    <t>ゴム（TSR20）先物</t>
  </si>
  <si>
    <t>TSR20 Rubber Futures</t>
  </si>
  <si>
    <t>とうもろこし先物</t>
  </si>
  <si>
    <t>Corn Futures</t>
  </si>
  <si>
    <t>一般大豆先物</t>
  </si>
  <si>
    <t>Soybean Futures</t>
  </si>
  <si>
    <t>小豆先物</t>
  </si>
  <si>
    <t>Azuki (Red Bean) Futures</t>
  </si>
  <si>
    <t>バージガソリン先物</t>
  </si>
  <si>
    <t>Gasoline Futures</t>
  </si>
  <si>
    <t>バージ灯油先物</t>
  </si>
  <si>
    <t>Kerosene Futures</t>
  </si>
  <si>
    <t>バージ軽油先物</t>
  </si>
  <si>
    <t>Gas Oil Futures</t>
  </si>
  <si>
    <t>プラッツドバイ原油先物</t>
  </si>
  <si>
    <t>Platts Dubai Crude Oil Futures</t>
  </si>
  <si>
    <t>東エリア・ベースロード電力先物</t>
  </si>
  <si>
    <t>East Area Baseload Electricity Futures</t>
  </si>
  <si>
    <t>西エリア・ベースロード電力先物</t>
  </si>
  <si>
    <t>West Area Baseload Electricity Futures</t>
  </si>
  <si>
    <t>東エリア・日中ロード電力先物</t>
  </si>
  <si>
    <t>East Area Peakload Electricity Futures</t>
  </si>
  <si>
    <t>西エリア・日中ロード電力先物</t>
  </si>
  <si>
    <t>West Area Peakload Electricity Futures</t>
  </si>
  <si>
    <t>LNG（プラッツJKM）先物</t>
  </si>
  <si>
    <t>LNG（Platts JKM）Futures</t>
  </si>
  <si>
    <t>中京ローリーガソリン先物</t>
  </si>
  <si>
    <t>Chukyo Gasoline Futures</t>
  </si>
  <si>
    <t>中京ローリー灯油先物</t>
  </si>
  <si>
    <t>Chukyo Kerosene Futures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</si>
</sst>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  <numFmt numFmtId="189" formatCode="#,###"/>
  </numFmts>
  <fonts count="11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9"/>
      <name val="ＭＳ ゴシック"/>
      <family val="3"/>
      <charset val="128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20"/>
      <name val="ＭＳ ゴシック"/>
      <family val="3"/>
      <charset val="128"/>
    </font>
    <font>
      <sz val="11"/>
      <name val="ＭＳ Ｐゴシック"/>
      <family val="2"/>
      <scheme val="minor"/>
    </font>
  </fonts>
  <fills count="5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8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995">
    <xf borderId="0" fillId="0" fontId="0" numFmtId="0"/>
    <xf applyAlignment="0" applyBorder="0" applyFill="0" applyFont="0" applyProtection="0" borderId="0" fillId="0" fontId="4" numFmtId="38"/>
    <xf applyAlignment="0" applyBorder="0" applyFill="0" borderId="0" fillId="0" fontId="7" numFmtId="176"/>
    <xf applyAlignment="0" applyNumberFormat="0" applyProtection="0" borderId="1" fillId="0" fontId="8" numFmtId="0">
      <alignment horizontal="left" vertical="center"/>
    </xf>
    <xf borderId="2" fillId="0" fontId="8" numFmtId="0">
      <alignment horizontal="left" vertical="center"/>
    </xf>
    <xf borderId="0" fillId="0" fontId="9" numFmtId="177"/>
    <xf borderId="0" fillId="0" fontId="10" numFmtId="0"/>
    <xf borderId="0" fillId="0" fontId="11" numFmtId="0"/>
    <xf applyBorder="0" applyFill="0" applyNumberFormat="0" applyProtection="0" borderId="3" fillId="2" fontId="12" numFmtId="49"/>
    <xf borderId="0" fillId="0" fontId="6" numFmtId="0">
      <alignment vertical="center"/>
    </xf>
    <xf borderId="0" fillId="0" fontId="13" numFmtId="0"/>
    <xf borderId="0" fillId="0" fontId="13" numFmtId="0">
      <alignment vertical="center"/>
    </xf>
    <xf borderId="0" fillId="0" fontId="15" numFmtId="178"/>
    <xf borderId="0" fillId="0" fontId="4" numFmtId="0"/>
    <xf borderId="0" fillId="0" fontId="4" numFmtId="0"/>
    <xf borderId="0" fillId="0" fontId="1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19" numFmtId="9"/>
    <xf borderId="0" fillId="0" fontId="20" numFmtId="0"/>
    <xf borderId="0" fillId="0" fontId="4" numFmtId="0"/>
    <xf applyAlignment="0" applyBorder="0" applyNumberFormat="0" applyProtection="0" borderId="0" fillId="3" fontId="7" numFmtId="0"/>
    <xf applyAlignment="0" applyBorder="0" applyNumberFormat="0" applyProtection="0" borderId="0" fillId="4" fontId="7" numFmtId="0"/>
    <xf applyAlignment="0" applyBorder="0" applyNumberFormat="0" applyProtection="0" borderId="0" fillId="5" fontId="7" numFmtId="0"/>
    <xf applyAlignment="0" applyBorder="0" applyNumberFormat="0" applyProtection="0" borderId="0" fillId="6" fontId="7" numFmtId="0"/>
    <xf applyAlignment="0" applyBorder="0" applyNumberFormat="0" applyProtection="0" borderId="0" fillId="7" fontId="7" numFmtId="0"/>
    <xf applyAlignment="0" applyBorder="0" applyNumberFormat="0" applyProtection="0" borderId="0" fillId="8" fontId="7" numFmtId="0"/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9" fontId="7" numFmtId="0"/>
    <xf applyAlignment="0" applyBorder="0" applyNumberFormat="0" applyProtection="0" borderId="0" fillId="10" fontId="7" numFmtId="0"/>
    <xf applyAlignment="0" applyBorder="0" applyNumberFormat="0" applyProtection="0" borderId="0" fillId="11" fontId="7" numFmtId="0"/>
    <xf applyAlignment="0" applyBorder="0" applyNumberFormat="0" applyProtection="0" borderId="0" fillId="6" fontId="7" numFmtId="0"/>
    <xf applyAlignment="0" applyBorder="0" applyNumberFormat="0" applyProtection="0" borderId="0" fillId="9" fontId="7" numFmtId="0"/>
    <xf applyAlignment="0" applyBorder="0" applyNumberFormat="0" applyProtection="0" borderId="0" fillId="12" fontId="7" numFmtId="0"/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3" fontId="22" numFmtId="0"/>
    <xf applyAlignment="0" applyBorder="0" applyNumberFormat="0" applyProtection="0" borderId="0" fillId="10" fontId="22" numFmtId="0"/>
    <xf applyAlignment="0" applyBorder="0" applyNumberFormat="0" applyProtection="0" borderId="0" fillId="11" fontId="22" numFmtId="0"/>
    <xf applyAlignment="0" applyBorder="0" applyNumberFormat="0" applyProtection="0" borderId="0" fillId="14" fontId="22" numFmtId="0"/>
    <xf applyAlignment="0" applyBorder="0" applyNumberFormat="0" applyProtection="0" borderId="0" fillId="15" fontId="22" numFmtId="0"/>
    <xf applyAlignment="0" applyBorder="0" applyNumberFormat="0" applyProtection="0" borderId="0" fillId="16" fontId="22" numFmtId="0"/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7" fontId="22" numFmtId="0"/>
    <xf applyAlignment="0" applyBorder="0" applyNumberFormat="0" applyProtection="0" borderId="0" fillId="18" fontId="22" numFmtId="0"/>
    <xf applyAlignment="0" applyBorder="0" applyNumberFormat="0" applyProtection="0" borderId="0" fillId="19" fontId="22" numFmtId="0"/>
    <xf applyAlignment="0" applyBorder="0" applyNumberFormat="0" applyProtection="0" borderId="0" fillId="14" fontId="22" numFmtId="0"/>
    <xf applyAlignment="0" applyBorder="0" applyNumberFormat="0" applyProtection="0" borderId="0" fillId="15" fontId="22" numFmtId="0"/>
    <xf applyAlignment="0" applyBorder="0" applyNumberFormat="0" applyProtection="0" borderId="0" fillId="20" fontId="22" numFmtId="0"/>
    <xf borderId="0" fillId="0" fontId="24" numFmtId="0">
      <alignment horizontal="center" wrapText="1"/>
      <protection locked="0"/>
    </xf>
    <xf borderId="0" fillId="0" fontId="25" numFmtId="0"/>
    <xf applyAlignment="0" applyBorder="0" applyNumberFormat="0" applyProtection="0" borderId="0" fillId="4" fontId="26" numFmtId="0"/>
    <xf applyAlignment="0" applyBorder="0" applyFill="0" applyNumberFormat="0" applyProtection="0" borderId="0" fillId="0" fontId="27" numFmtId="0"/>
    <xf applyAlignment="0" applyBorder="0" applyFill="0" borderId="0" fillId="0" fontId="6" numFmtId="179"/>
    <xf applyAlignment="0" applyNumberFormat="0" applyProtection="0" borderId="5" fillId="21" fontId="28" numFmtId="0"/>
    <xf applyAlignment="0" applyNumberFormat="0" applyProtection="0" borderId="5" fillId="21" fontId="28" numFmtId="0"/>
    <xf applyAlignment="0" applyNumberFormat="0" applyProtection="0" borderId="5" fillId="21" fontId="28" numFmtId="0"/>
    <xf applyAlignment="0" applyNumberFormat="0" applyProtection="0" borderId="5" fillId="21" fontId="28" numFmtId="0"/>
    <xf applyAlignment="0" applyNumberFormat="0" applyProtection="0" borderId="5" fillId="21" fontId="28" numFmtId="0"/>
    <xf applyAlignment="0" applyNumberFormat="0" applyProtection="0" borderId="5" fillId="21" fontId="28" numFmtId="0"/>
    <xf applyAlignment="0" applyNumberFormat="0" applyProtection="0" borderId="5" fillId="21" fontId="28" numFmtId="0"/>
    <xf applyAlignment="0" applyNumberFormat="0" applyProtection="0" borderId="5" fillId="21" fontId="28" numFmtId="0"/>
    <xf applyAlignment="0" applyNumberFormat="0" applyProtection="0" borderId="5" fillId="21" fontId="28" numFmtId="0"/>
    <xf applyAlignment="0" applyNumberFormat="0" applyProtection="0" borderId="5" fillId="21" fontId="28" numFmtId="0"/>
    <xf applyAlignment="0" applyNumberFormat="0" applyProtection="0" borderId="5" fillId="21" fontId="28" numFmtId="0"/>
    <xf applyAlignment="0" applyNumberFormat="0" applyProtection="0" borderId="5" fillId="21" fontId="28" numFmtId="0"/>
    <xf applyAlignment="0" applyNumberFormat="0" applyProtection="0" borderId="5" fillId="21" fontId="28" numFmtId="0"/>
    <xf applyAlignment="0" applyNumberFormat="0" applyProtection="0" borderId="5" fillId="21" fontId="28" numFmtId="0"/>
    <xf applyAlignment="0" applyNumberFormat="0" applyProtection="0" borderId="5" fillId="21" fontId="28" numFmtId="0"/>
    <xf applyAlignment="0" applyNumberFormat="0" applyProtection="0" borderId="5" fillId="21" fontId="28" numFmtId="0"/>
    <xf applyAlignment="0" applyNumberFormat="0" applyProtection="0" borderId="6" fillId="22" fontId="29" numFmtId="0"/>
    <xf borderId="0" fillId="0" fontId="30" numFmtId="0">
      <alignment vertical="top" wrapText="1"/>
    </xf>
    <xf applyAlignment="0" applyBorder="0" applyFill="0" applyFont="0" applyProtection="0" borderId="0" fillId="0" fontId="10" numFmtId="41"/>
    <xf applyAlignment="0" applyBorder="0" applyFill="0" applyFont="0" applyProtection="0" borderId="0" fillId="0" fontId="10" numFmtId="43"/>
    <xf applyAlignment="0" applyBorder="0" applyFill="0" applyFont="0" applyProtection="0" borderId="0" fillId="0" fontId="10" numFmtId="180"/>
    <xf applyAlignment="0" applyBorder="0" applyFill="0" applyFont="0" applyProtection="0" borderId="0" fillId="0" fontId="10" numFmtId="181"/>
    <xf borderId="0" fillId="0" fontId="31" numFmtId="0">
      <alignment horizontal="left"/>
    </xf>
    <xf applyAlignment="0" applyBorder="0" applyFill="0" applyNumberFormat="0" applyProtection="0" borderId="0" fillId="0" fontId="32" numFmtId="0"/>
    <xf applyAlignment="0" applyBorder="0" applyNumberFormat="0" applyProtection="0" borderId="0" fillId="5" fontId="33" numFmtId="0"/>
    <xf applyAlignment="0" applyBorder="0" applyNumberFormat="0" applyProtection="0" borderId="0" fillId="23" fontId="34" numFmtId="38"/>
    <xf borderId="0" fillId="24" fontId="35" numFmtId="0"/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applyAlignment="0" applyFill="0" applyNumberFormat="0" applyProtection="0" borderId="7" fillId="0" fontId="36" numFmtId="0"/>
    <xf applyAlignment="0" applyFill="0" applyNumberFormat="0" applyProtection="0" borderId="8" fillId="0" fontId="37" numFmtId="0"/>
    <xf applyAlignment="0" applyFill="0" applyNumberFormat="0" applyProtection="0" borderId="9" fillId="0" fontId="38" numFmtId="0"/>
    <xf applyAlignment="0" applyBorder="0" applyFill="0" applyNumberFormat="0" applyProtection="0" borderId="0" fillId="0" fontId="38" numFmtId="0"/>
    <xf applyBorder="0" borderId="0" fillId="0" fontId="6" numFmtId="0"/>
    <xf applyAlignment="0" applyNumberFormat="0" applyProtection="0" borderId="5" fillId="8" fontId="39" numFmtId="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borderId="0" fillId="0" fontId="6" numFmtId="0"/>
    <xf applyAlignment="0" applyFill="0" applyNumberFormat="0" applyProtection="0" borderId="10" fillId="0" fontId="40" numFmtId="0"/>
    <xf applyAlignment="0" applyBorder="0" applyFill="0" applyFont="0" applyProtection="0" borderId="0" fillId="0" fontId="41" numFmtId="38"/>
    <xf applyAlignment="0" applyBorder="0" applyFill="0" applyFont="0" applyProtection="0" borderId="0" fillId="0" fontId="41" numFmtId="40"/>
    <xf applyAlignment="0" applyBorder="0" applyFill="0" applyFont="0" applyProtection="0" borderId="0" fillId="0" fontId="41" numFmtId="182"/>
    <xf applyAlignment="0" applyBorder="0" applyFill="0" applyFont="0" applyProtection="0" borderId="0" fillId="0" fontId="41" numFmtId="183"/>
    <xf applyAlignment="0" applyBorder="0" applyNumberFormat="0" applyProtection="0" borderId="0" fillId="26" fontId="42" numFmtId="0"/>
    <xf borderId="0" fillId="0" fontId="43" numFmtId="37"/>
    <xf borderId="0" fillId="0" fontId="6" numFmtId="184"/>
    <xf borderId="0" fillId="0" fontId="6" numFmtId="184"/>
    <xf borderId="0" fillId="0" fontId="9" numFmtId="177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NumberFormat="0" applyProtection="0" borderId="12" fillId="21" fontId="44" numFmtId="0"/>
    <xf applyAlignment="0" applyNumberFormat="0" applyProtection="0" borderId="12" fillId="21" fontId="44" numFmtId="0"/>
    <xf applyAlignment="0" applyNumberFormat="0" applyProtection="0" borderId="12" fillId="21" fontId="44" numFmtId="0"/>
    <xf applyAlignment="0" applyNumberFormat="0" applyProtection="0" borderId="12" fillId="21" fontId="44" numFmtId="0"/>
    <xf applyAlignment="0" applyNumberFormat="0" applyProtection="0" borderId="12" fillId="21" fontId="44" numFmtId="0"/>
    <xf applyAlignment="0" applyNumberFormat="0" applyProtection="0" borderId="12" fillId="21" fontId="44" numFmtId="0"/>
    <xf applyAlignment="0" applyNumberFormat="0" applyProtection="0" borderId="12" fillId="21" fontId="44" numFmtId="0"/>
    <xf applyAlignment="0" applyNumberFormat="0" applyProtection="0" borderId="12" fillId="21" fontId="44" numFmtId="0"/>
    <xf applyAlignment="0" applyNumberFormat="0" applyProtection="0" borderId="12" fillId="21" fontId="44" numFmtId="0"/>
    <xf applyAlignment="0" applyNumberFormat="0" applyProtection="0" borderId="12" fillId="21" fontId="44" numFmtId="0"/>
    <xf applyAlignment="0" applyNumberFormat="0" applyProtection="0" borderId="12" fillId="21" fontId="44" numFmtId="0"/>
    <xf applyAlignment="0" applyNumberFormat="0" applyProtection="0" borderId="12" fillId="21" fontId="44" numFmtId="0"/>
    <xf applyAlignment="0" applyNumberFormat="0" applyProtection="0" borderId="12" fillId="21" fontId="44" numFmtId="0"/>
    <xf applyAlignment="0" applyNumberFormat="0" applyProtection="0" borderId="12" fillId="21" fontId="44" numFmtId="0"/>
    <xf applyAlignment="0" applyNumberFormat="0" applyProtection="0" borderId="12" fillId="21" fontId="44" numFmtId="0"/>
    <xf borderId="0" fillId="0" fontId="24" numFmtId="14">
      <alignment horizontal="center" wrapText="1"/>
      <protection locked="0"/>
    </xf>
    <xf applyAlignment="0" applyBorder="0" applyFill="0" applyFont="0" applyProtection="0" borderId="0" fillId="0" fontId="10" numFmtId="10"/>
    <xf borderId="0" fillId="0" fontId="31" numFmtId="4">
      <alignment horizontal="right"/>
    </xf>
    <xf applyAlignment="0" applyBorder="0" applyFill="0" applyFont="0" applyNumberFormat="0" applyProtection="0" borderId="0" fillId="0" fontId="45" numFmtId="0">
      <alignment horizontal="left"/>
    </xf>
    <xf borderId="13" fillId="0" fontId="46" numFmtId="0">
      <alignment horizontal="center"/>
    </xf>
    <xf applyAlignment="0" applyBorder="0" applyFill="0" applyFont="0" applyNumberFormat="0" borderId="0" fillId="0" fontId="47" numFmtId="0"/>
    <xf borderId="0" fillId="0" fontId="48" numFmtId="4">
      <alignment horizontal="right"/>
    </xf>
    <xf borderId="0" fillId="0" fontId="49" numFmtId="0">
      <alignment horizontal="left"/>
    </xf>
    <xf borderId="0" fillId="0" fontId="50" numFmtId="0"/>
    <xf borderId="0" fillId="0" fontId="51" numFmtId="0">
      <alignment horizontal="center"/>
    </xf>
    <xf applyAlignment="0" applyFill="0" applyNumberFormat="0" applyProtection="0" borderId="14" fillId="0" fontId="52" numFmtId="0"/>
    <xf applyAlignment="0" applyFill="0" applyNumberFormat="0" applyProtection="0" borderId="14" fillId="0" fontId="52" numFmtId="0"/>
    <xf applyAlignment="0" applyFill="0" applyNumberFormat="0" applyProtection="0" borderId="14" fillId="0" fontId="52" numFmtId="0"/>
    <xf applyAlignment="0" applyFill="0" applyNumberFormat="0" applyProtection="0" borderId="14" fillId="0" fontId="52" numFmtId="0"/>
    <xf applyAlignment="0" applyFill="0" applyNumberFormat="0" applyProtection="0" borderId="14" fillId="0" fontId="52" numFmtId="0"/>
    <xf applyAlignment="0" applyFill="0" applyNumberFormat="0" applyProtection="0" borderId="14" fillId="0" fontId="52" numFmtId="0"/>
    <xf applyAlignment="0" applyFill="0" applyNumberFormat="0" applyProtection="0" borderId="14" fillId="0" fontId="52" numFmtId="0"/>
    <xf applyAlignment="0" applyFill="0" applyNumberFormat="0" applyProtection="0" borderId="14" fillId="0" fontId="52" numFmtId="0"/>
    <xf applyAlignment="0" applyFill="0" applyNumberFormat="0" applyProtection="0" borderId="14" fillId="0" fontId="52" numFmtId="0"/>
    <xf applyAlignment="0" applyFill="0" applyNumberFormat="0" applyProtection="0" borderId="14" fillId="0" fontId="52" numFmtId="0"/>
    <xf applyAlignment="0" applyFill="0" applyNumberFormat="0" applyProtection="0" borderId="14" fillId="0" fontId="52" numFmtId="0"/>
    <xf applyAlignment="0" applyFill="0" applyNumberFormat="0" applyProtection="0" borderId="14" fillId="0" fontId="52" numFmtId="0"/>
    <xf applyAlignment="0" applyFill="0" applyNumberFormat="0" applyProtection="0" borderId="14" fillId="0" fontId="52" numFmtId="0"/>
    <xf applyAlignment="0" applyFill="0" applyNumberFormat="0" applyProtection="0" borderId="14" fillId="0" fontId="52" numFmtId="0"/>
    <xf applyAlignment="0" applyFill="0" applyNumberFormat="0" applyProtection="0" borderId="14" fillId="0" fontId="52" numFmtId="0"/>
    <xf applyAlignment="0" applyBorder="0" applyFill="0" applyNumberFormat="0" applyProtection="0" borderId="0" fillId="0" fontId="53" numFmtId="0"/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borderId="0" fillId="0" fontId="54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NumberFormat="0" applyProtection="0" borderId="6" fillId="22" fontId="56" numFmtId="0">
      <alignment vertical="center"/>
    </xf>
    <xf applyAlignment="0" applyNumberFormat="0" applyProtection="0" borderId="6" fillId="22" fontId="56" numFmtId="0">
      <alignment vertical="center"/>
    </xf>
    <xf applyAlignment="0" applyNumberFormat="0" applyProtection="0" borderId="6" fillId="22" fontId="56" numFmtId="0">
      <alignment vertical="center"/>
    </xf>
    <xf applyAlignment="0" applyNumberFormat="0" applyProtection="0" borderId="6" fillId="22" fontId="56" numFmtId="0">
      <alignment vertical="center"/>
    </xf>
    <xf applyAlignment="0" applyNumberFormat="0" applyProtection="0" borderId="6" fillId="22" fontId="56" numFmtId="0">
      <alignment vertical="center"/>
    </xf>
    <xf applyAlignment="0" applyNumberFormat="0" applyProtection="0" borderId="6" fillId="22" fontId="56" numFmtId="0">
      <alignment vertical="center"/>
    </xf>
    <xf applyAlignment="0" applyNumberFormat="0" applyProtection="0" borderId="6" fillId="22" fontId="56" numFmtId="0">
      <alignment vertical="center"/>
    </xf>
    <xf applyAlignment="0" applyNumberFormat="0" applyProtection="0" borderId="6" fillId="22" fontId="56" numFmtId="0">
      <alignment vertical="center"/>
    </xf>
    <xf borderId="0" fillId="0" fontId="57" numFmtId="0"/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Fill="0" applyFont="0" applyProtection="0" borderId="0" fillId="0" fontId="4" numFmtId="9"/>
    <xf applyAlignment="0" applyBorder="0" applyFill="0" applyFont="0" applyProtection="0" borderId="0" fillId="0" fontId="4" numFmtId="9">
      <alignment vertical="center"/>
    </xf>
    <xf applyAlignment="0" applyBorder="0" applyFill="0" applyFont="0" applyProtection="0" borderId="0" fillId="0" fontId="4" numFmtId="9"/>
    <xf applyAlignment="0" applyBorder="0" applyFill="0" applyNumberFormat="0" applyProtection="0" borderId="0" fillId="0" fontId="59" numFmtId="0">
      <alignment vertical="top"/>
      <protection locked="0"/>
    </xf>
    <xf applyAlignment="0" applyBorder="0" applyFill="0" applyNumberFormat="0" applyProtection="0" borderId="0" fillId="0" fontId="60" numFmtId="0">
      <alignment vertical="top"/>
      <protection locked="0"/>
    </xf>
    <xf applyAlignment="0" applyBorder="0" applyFill="0" applyNumberFormat="0" applyProtection="0" borderId="0" fillId="0" fontId="59" numFmtId="0">
      <alignment vertical="top"/>
      <protection locked="0"/>
    </xf>
    <xf applyAlignment="0" applyBorder="0" applyFill="0" applyNumberFormat="0" applyProtection="0" borderId="0" fillId="0" fontId="61" numFmtId="0">
      <alignment vertical="top"/>
      <protection locked="0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6" numFmtId="0">
      <alignment vertical="center"/>
    </xf>
    <xf applyAlignment="0" applyFont="0" applyNumberFormat="0" applyProtection="0" borderId="11" fillId="27" fontId="6" numFmtId="0">
      <alignment vertical="center"/>
    </xf>
    <xf applyAlignment="0" applyFont="0" applyNumberFormat="0" applyProtection="0" borderId="11" fillId="27" fontId="6" numFmtId="0">
      <alignment vertical="center"/>
    </xf>
    <xf applyAlignment="0" applyFont="0" applyNumberFormat="0" applyProtection="0" borderId="11" fillId="27" fontId="6" numFmtId="0">
      <alignment vertical="center"/>
    </xf>
    <xf applyAlignment="0" applyFont="0" applyNumberFormat="0" applyProtection="0" borderId="11" fillId="27" fontId="6" numFmtId="0">
      <alignment vertical="center"/>
    </xf>
    <xf applyAlignment="0" applyFont="0" applyNumberFormat="0" applyProtection="0" borderId="11" fillId="27" fontId="6" numFmtId="0">
      <alignment vertical="center"/>
    </xf>
    <xf applyAlignment="0" applyFont="0" applyNumberFormat="0" applyProtection="0" borderId="11" fillId="27" fontId="6" numFmtId="0">
      <alignment vertical="center"/>
    </xf>
    <xf applyAlignment="0" applyFont="0" applyNumberFormat="0" applyProtection="0" borderId="11" fillId="27" fontId="6" numFmtId="0">
      <alignment vertical="center"/>
    </xf>
    <xf applyAlignment="0" applyFont="0" applyNumberFormat="0" applyProtection="0" borderId="11" fillId="27" fontId="6" numFmtId="0">
      <alignment vertical="center"/>
    </xf>
    <xf applyAlignment="0" applyFont="0" applyNumberFormat="0" applyProtection="0" borderId="11" fillId="27" fontId="6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6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ill="0" applyNumberFormat="0" applyProtection="0" borderId="10" fillId="0" fontId="62" numFmtId="0">
      <alignment vertical="center"/>
    </xf>
    <xf applyAlignment="0" applyFill="0" applyNumberFormat="0" applyProtection="0" borderId="10" fillId="0" fontId="62" numFmtId="0">
      <alignment vertical="center"/>
    </xf>
    <xf applyAlignment="0" applyFill="0" applyNumberFormat="0" applyProtection="0" borderId="10" fillId="0" fontId="62" numFmtId="0">
      <alignment vertical="center"/>
    </xf>
    <xf applyAlignment="0" applyFill="0" applyNumberFormat="0" applyProtection="0" borderId="10" fillId="0" fontId="62" numFmtId="0">
      <alignment vertical="center"/>
    </xf>
    <xf applyAlignment="0" applyFill="0" applyNumberFormat="0" applyProtection="0" borderId="10" fillId="0" fontId="62" numFmtId="0">
      <alignment vertical="center"/>
    </xf>
    <xf applyAlignment="0" applyFill="0" applyNumberFormat="0" applyProtection="0" borderId="10" fillId="0" fontId="62" numFmtId="0">
      <alignment vertical="center"/>
    </xf>
    <xf applyAlignment="0" applyFill="0" applyNumberFormat="0" applyProtection="0" borderId="10" fillId="0" fontId="62" numFmtId="0">
      <alignment vertical="center"/>
    </xf>
    <xf applyAlignment="0" applyFill="0" applyNumberFormat="0" applyProtection="0" borderId="10" fillId="0" fontId="62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Font="0" applyProtection="0" borderId="0" fillId="0" fontId="10" numFmtId="43"/>
    <xf applyAlignment="0" applyBorder="0" applyFill="0" applyFont="0" applyProtection="0" borderId="0" fillId="0" fontId="66" numFmtId="38"/>
    <xf applyAlignment="0" applyBorder="0" applyFill="0" applyFont="0" applyProtection="0" borderId="0" fillId="0" fontId="17" numFmtId="38">
      <alignment vertical="center"/>
    </xf>
    <xf applyAlignment="0" applyBorder="0" applyFill="0" applyFont="0" applyProtection="0" borderId="0" fillId="0" fontId="67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67" numFmtId="38"/>
    <xf applyAlignment="0" applyBorder="0" applyFill="0" applyFont="0" applyProtection="0" borderId="0" fillId="0" fontId="4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10" numFmtId="185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21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21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21" numFmtId="38">
      <alignment vertical="center"/>
    </xf>
    <xf applyAlignment="0" applyBorder="0" applyFill="0" applyFont="0" applyProtection="0" borderId="0" fillId="0" fontId="21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Fill="0" applyNumberFormat="0" applyProtection="0" borderId="7" fillId="0" fontId="68" numFmtId="0">
      <alignment vertical="center"/>
    </xf>
    <xf applyAlignment="0" applyFill="0" applyNumberFormat="0" applyProtection="0" borderId="7" fillId="0" fontId="68" numFmtId="0">
      <alignment vertical="center"/>
    </xf>
    <xf applyAlignment="0" applyFill="0" applyNumberFormat="0" applyProtection="0" borderId="7" fillId="0" fontId="68" numFmtId="0">
      <alignment vertical="center"/>
    </xf>
    <xf applyAlignment="0" applyFill="0" applyNumberFormat="0" applyProtection="0" borderId="7" fillId="0" fontId="68" numFmtId="0">
      <alignment vertical="center"/>
    </xf>
    <xf applyAlignment="0" applyFill="0" applyNumberFormat="0" applyProtection="0" borderId="7" fillId="0" fontId="68" numFmtId="0">
      <alignment vertical="center"/>
    </xf>
    <xf applyAlignment="0" applyFill="0" applyNumberFormat="0" applyProtection="0" borderId="7" fillId="0" fontId="68" numFmtId="0">
      <alignment vertical="center"/>
    </xf>
    <xf applyAlignment="0" applyFill="0" applyNumberFormat="0" applyProtection="0" borderId="7" fillId="0" fontId="68" numFmtId="0">
      <alignment vertical="center"/>
    </xf>
    <xf applyAlignment="0" applyFill="0" applyNumberFormat="0" applyProtection="0" borderId="7" fillId="0" fontId="68" numFmtId="0">
      <alignment vertical="center"/>
    </xf>
    <xf applyAlignment="0" applyFill="0" applyNumberFormat="0" applyProtection="0" borderId="8" fillId="0" fontId="69" numFmtId="0">
      <alignment vertical="center"/>
    </xf>
    <xf applyAlignment="0" applyFill="0" applyNumberFormat="0" applyProtection="0" borderId="8" fillId="0" fontId="69" numFmtId="0">
      <alignment vertical="center"/>
    </xf>
    <xf applyAlignment="0" applyFill="0" applyNumberFormat="0" applyProtection="0" borderId="8" fillId="0" fontId="69" numFmtId="0">
      <alignment vertical="center"/>
    </xf>
    <xf applyAlignment="0" applyFill="0" applyNumberFormat="0" applyProtection="0" borderId="8" fillId="0" fontId="69" numFmtId="0">
      <alignment vertical="center"/>
    </xf>
    <xf applyAlignment="0" applyFill="0" applyNumberFormat="0" applyProtection="0" borderId="8" fillId="0" fontId="69" numFmtId="0">
      <alignment vertical="center"/>
    </xf>
    <xf applyAlignment="0" applyFill="0" applyNumberFormat="0" applyProtection="0" borderId="8" fillId="0" fontId="69" numFmtId="0">
      <alignment vertical="center"/>
    </xf>
    <xf applyAlignment="0" applyFill="0" applyNumberFormat="0" applyProtection="0" borderId="8" fillId="0" fontId="69" numFmtId="0">
      <alignment vertical="center"/>
    </xf>
    <xf applyAlignment="0" applyFill="0" applyNumberFormat="0" applyProtection="0" borderId="8" fillId="0" fontId="69" numFmtId="0">
      <alignment vertical="center"/>
    </xf>
    <xf applyAlignment="0" applyFill="0" applyNumberFormat="0" applyProtection="0" borderId="9" fillId="0" fontId="70" numFmtId="0">
      <alignment vertical="center"/>
    </xf>
    <xf applyAlignment="0" applyFill="0" applyNumberFormat="0" applyProtection="0" borderId="9" fillId="0" fontId="70" numFmtId="0">
      <alignment vertical="center"/>
    </xf>
    <xf applyAlignment="0" applyFill="0" applyNumberFormat="0" applyProtection="0" borderId="9" fillId="0" fontId="70" numFmtId="0">
      <alignment vertical="center"/>
    </xf>
    <xf applyAlignment="0" applyFill="0" applyNumberFormat="0" applyProtection="0" borderId="9" fillId="0" fontId="70" numFmtId="0">
      <alignment vertical="center"/>
    </xf>
    <xf applyAlignment="0" applyFill="0" applyNumberFormat="0" applyProtection="0" borderId="9" fillId="0" fontId="70" numFmtId="0">
      <alignment vertical="center"/>
    </xf>
    <xf applyAlignment="0" applyFill="0" applyNumberFormat="0" applyProtection="0" borderId="9" fillId="0" fontId="70" numFmtId="0">
      <alignment vertical="center"/>
    </xf>
    <xf applyAlignment="0" applyFill="0" applyNumberFormat="0" applyProtection="0" borderId="9" fillId="0" fontId="70" numFmtId="0">
      <alignment vertical="center"/>
    </xf>
    <xf applyAlignment="0" applyFill="0" applyNumberFormat="0" applyProtection="0" borderId="9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borderId="0" fillId="0" fontId="71" numFmtId="0"/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borderId="0" fillId="0" fontId="11" numFmtId="186"/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Font="0" applyProtection="0" borderId="0" fillId="0" fontId="10" numFmtId="187"/>
    <xf applyAlignment="0" applyBorder="0" applyFill="0" applyFont="0" applyProtection="0" borderId="0" fillId="0" fontId="10" numFmtId="18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4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75" numFmtId="6">
      <alignment vertical="center"/>
    </xf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4" numFmtId="6"/>
    <xf applyAlignment="0" applyBorder="0" applyFill="0" applyFont="0" applyProtection="0" borderId="0" fillId="0" fontId="6" numFmtId="6">
      <alignment vertical="center"/>
    </xf>
    <xf applyAlignment="0" applyBorder="0" applyFill="0" applyFont="0" applyProtection="0" borderId="0" fillId="0" fontId="4" numFmtId="6"/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6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77" numFmtId="0">
      <alignment vertical="center"/>
    </xf>
    <xf borderId="0" fillId="0" fontId="77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7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19" numFmtId="0"/>
    <xf borderId="0" fillId="0" fontId="17" numFmtId="0">
      <alignment vertical="center"/>
    </xf>
    <xf borderId="0" fillId="0" fontId="19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/>
    <xf borderId="0" fillId="0" fontId="78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4" numFmtId="0"/>
    <xf borderId="0" fillId="0" fontId="18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/>
    <xf borderId="0" fillId="0" fontId="13" numFmtId="0"/>
    <xf borderId="0" fillId="0" fontId="13" numFmtId="0">
      <alignment vertical="center"/>
    </xf>
    <xf borderId="0" fillId="0" fontId="79" numFmtId="0">
      <alignment vertical="center"/>
    </xf>
    <xf borderId="0" fillId="0" fontId="13" numFmtId="0"/>
    <xf borderId="0" fillId="0" fontId="79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4" numFmtId="0">
      <alignment vertical="center"/>
    </xf>
    <xf borderId="0" fillId="0" fontId="4" numFmtId="0"/>
    <xf borderId="0" fillId="0" fontId="80" numFmtId="0">
      <alignment vertical="center"/>
    </xf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9" numFmtId="0"/>
    <xf borderId="0" fillId="0" fontId="13" numFmtId="0">
      <alignment vertical="center"/>
    </xf>
    <xf borderId="0" fillId="0" fontId="13" numFmtId="0">
      <alignment vertical="center"/>
    </xf>
    <xf borderId="0" fillId="0" fontId="19" numFmtId="0"/>
    <xf borderId="0" fillId="0" fontId="17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/>
    <xf borderId="0" fillId="0" fontId="81" numFmtId="0"/>
    <xf borderId="0" fillId="0" fontId="13" numFmtId="0"/>
    <xf borderId="0" fillId="0" fontId="6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6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1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9" numFmtId="0"/>
    <xf borderId="0" fillId="0" fontId="78" numFmtId="0">
      <alignment vertical="center"/>
    </xf>
    <xf borderId="0" fillId="0" fontId="19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4" numFmtId="0"/>
    <xf borderId="0" fillId="0" fontId="4" numFmtId="0"/>
    <xf borderId="0" fillId="0" fontId="21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/>
    <xf borderId="0" fillId="0" fontId="13" numFmtId="0"/>
    <xf borderId="0" fillId="0" fontId="4" numFmtId="0"/>
    <xf borderId="0" fillId="0" fontId="4" numFmtId="0">
      <alignment vertical="center"/>
    </xf>
    <xf borderId="0" fillId="0" fontId="17" numFmtId="0">
      <alignment vertical="center"/>
    </xf>
    <xf borderId="0" fillId="0" fontId="81" numFmtId="0"/>
    <xf borderId="0" fillId="0" fontId="17" numFmtId="0">
      <alignment vertical="center"/>
    </xf>
    <xf borderId="0" fillId="0" fontId="4" numFmtId="0"/>
    <xf borderId="0" fillId="0" fontId="4" numFmtId="0">
      <alignment vertical="center"/>
    </xf>
    <xf borderId="0" fillId="0" fontId="81" numFmtId="0"/>
    <xf borderId="0" fillId="0" fontId="4" numFmtId="0"/>
    <xf borderId="0" fillId="0" fontId="4" numFmtId="0"/>
    <xf borderId="0" fillId="0" fontId="81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81" numFmtId="0"/>
    <xf borderId="0" fillId="0" fontId="81" numFmtId="0"/>
    <xf borderId="0" fillId="0" fontId="4" numFmtId="0"/>
    <xf borderId="0" fillId="0" fontId="81" numFmtId="0"/>
    <xf borderId="0" fillId="0" fontId="21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82" numFmtId="0">
      <alignment vertical="center"/>
    </xf>
    <xf borderId="0" fillId="0" fontId="4" numFmtId="0"/>
    <xf borderId="0" fillId="0" fontId="4" numFmtId="0"/>
    <xf borderId="0" fillId="0" fontId="13" numFmtId="0"/>
    <xf borderId="0" fillId="0" fontId="13" numFmtId="0"/>
    <xf borderId="0" fillId="0" fontId="4" numFmtId="0"/>
    <xf borderId="0" fillId="0" fontId="4" numFmtId="0"/>
    <xf borderId="0" fillId="0" fontId="6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13" numFmtId="0">
      <alignment vertical="center"/>
    </xf>
    <xf borderId="0" fillId="0" fontId="17" numFmtId="0"/>
    <xf borderId="0" fillId="0" fontId="4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83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84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80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85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85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85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80" numFmtId="0">
      <alignment vertical="center"/>
    </xf>
    <xf borderId="0" fillId="0" fontId="4" numFmtId="0"/>
    <xf borderId="0" fillId="0" fontId="4" numFmtId="0">
      <alignment vertical="center"/>
    </xf>
    <xf borderId="0" fillId="0" fontId="80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85" numFmtId="0">
      <alignment vertical="center"/>
    </xf>
    <xf borderId="0" fillId="0" fontId="85" numFmtId="0">
      <alignment vertical="center"/>
    </xf>
    <xf borderId="0" fillId="0" fontId="4" numFmtId="0">
      <alignment vertical="center"/>
    </xf>
    <xf borderId="0" fillId="0" fontId="85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19" numFmtId="0"/>
    <xf borderId="0" fillId="0" fontId="85" numFmtId="0">
      <alignment vertical="center"/>
    </xf>
    <xf borderId="0" fillId="0" fontId="19" numFmtId="0"/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21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86" numFmtId="0"/>
    <xf borderId="0" fillId="0" fontId="87" numFmtId="0"/>
    <xf borderId="0" fillId="0" fontId="57" numFmtId="0"/>
    <xf applyBorder="0" applyFill="0" borderId="0" fillId="0" fontId="14" numFmtId="49"/>
    <xf borderId="0" fillId="0" fontId="88" numFmtId="0"/>
    <xf borderId="0" fillId="0" fontId="89" numFmtId="0"/>
    <xf borderId="0" fillId="0" fontId="88" numFmtId="0"/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borderId="0" fillId="0" fontId="4" numFmtId="0"/>
    <xf borderId="0" fillId="0" fontId="91" numFmtId="0">
      <alignment vertical="center"/>
    </xf>
    <xf applyAlignment="0" applyBorder="0" applyFill="0" applyNumberFormat="0" applyProtection="0" borderId="0" fillId="0" fontId="93" numFmtId="0">
      <alignment vertical="center"/>
    </xf>
    <xf applyAlignment="0" applyFill="0" applyNumberFormat="0" applyProtection="0" borderId="17" fillId="0" fontId="94" numFmtId="0">
      <alignment vertical="center"/>
    </xf>
    <xf applyAlignment="0" applyFill="0" applyNumberFormat="0" applyProtection="0" borderId="18" fillId="0" fontId="95" numFmtId="0">
      <alignment vertical="center"/>
    </xf>
    <xf applyAlignment="0" applyFill="0" applyNumberFormat="0" applyProtection="0" borderId="19" fillId="0" fontId="96" numFmtId="0">
      <alignment vertical="center"/>
    </xf>
    <xf applyAlignment="0" applyBorder="0" applyFill="0" applyNumberFormat="0" applyProtection="0" borderId="0" fillId="0" fontId="96" numFmtId="0">
      <alignment vertical="center"/>
    </xf>
    <xf applyAlignment="0" applyBorder="0" applyNumberFormat="0" applyProtection="0" borderId="0" fillId="28" fontId="97" numFmtId="0">
      <alignment vertical="center"/>
    </xf>
    <xf applyAlignment="0" applyBorder="0" applyNumberFormat="0" applyProtection="0" borderId="0" fillId="29" fontId="98" numFmtId="0">
      <alignment vertical="center"/>
    </xf>
    <xf applyAlignment="0" applyBorder="0" applyNumberFormat="0" applyProtection="0" borderId="0" fillId="30" fontId="99" numFmtId="0">
      <alignment vertical="center"/>
    </xf>
    <xf applyAlignment="0" applyNumberFormat="0" applyProtection="0" borderId="20" fillId="31" fontId="100" numFmtId="0">
      <alignment vertical="center"/>
    </xf>
    <xf applyAlignment="0" applyNumberFormat="0" applyProtection="0" borderId="21" fillId="32" fontId="101" numFmtId="0">
      <alignment vertical="center"/>
    </xf>
    <xf applyAlignment="0" applyNumberFormat="0" applyProtection="0" borderId="20" fillId="32" fontId="102" numFmtId="0">
      <alignment vertical="center"/>
    </xf>
    <xf applyAlignment="0" applyFill="0" applyNumberFormat="0" applyProtection="0" borderId="22" fillId="0" fontId="103" numFmtId="0">
      <alignment vertical="center"/>
    </xf>
    <xf applyAlignment="0" applyNumberFormat="0" applyProtection="0" borderId="23" fillId="33" fontId="104" numFmtId="0">
      <alignment vertical="center"/>
    </xf>
    <xf applyAlignment="0" applyBorder="0" applyFill="0" applyNumberFormat="0" applyProtection="0" borderId="0" fillId="0" fontId="105" numFmtId="0">
      <alignment vertical="center"/>
    </xf>
    <xf applyAlignment="0" applyBorder="0" applyFill="0" applyNumberFormat="0" applyProtection="0" borderId="0" fillId="0" fontId="106" numFmtId="0">
      <alignment vertical="center"/>
    </xf>
    <xf applyAlignment="0" applyFill="0" applyNumberFormat="0" applyProtection="0" borderId="25" fillId="0" fontId="107" numFmtId="0">
      <alignment vertical="center"/>
    </xf>
    <xf applyAlignment="0" applyBorder="0" applyNumberFormat="0" applyProtection="0" borderId="0" fillId="35" fontId="108" numFmtId="0">
      <alignment vertical="center"/>
    </xf>
    <xf applyAlignment="0" applyBorder="0" applyNumberFormat="0" applyProtection="0" borderId="0" fillId="36" fontId="2" numFmtId="0">
      <alignment vertical="center"/>
    </xf>
    <xf applyAlignment="0" applyBorder="0" applyNumberFormat="0" applyProtection="0" borderId="0" fillId="37" fontId="2" numFmtId="0">
      <alignment vertical="center"/>
    </xf>
    <xf applyAlignment="0" applyBorder="0" applyNumberFormat="0" applyProtection="0" borderId="0" fillId="38" fontId="108" numFmtId="0">
      <alignment vertical="center"/>
    </xf>
    <xf applyAlignment="0" applyBorder="0" applyNumberFormat="0" applyProtection="0" borderId="0" fillId="39" fontId="108" numFmtId="0">
      <alignment vertical="center"/>
    </xf>
    <xf applyAlignment="0" applyBorder="0" applyNumberFormat="0" applyProtection="0" borderId="0" fillId="40" fontId="2" numFmtId="0">
      <alignment vertical="center"/>
    </xf>
    <xf applyAlignment="0" applyBorder="0" applyNumberFormat="0" applyProtection="0" borderId="0" fillId="41" fontId="2" numFmtId="0">
      <alignment vertical="center"/>
    </xf>
    <xf applyAlignment="0" applyBorder="0" applyNumberFormat="0" applyProtection="0" borderId="0" fillId="42" fontId="108" numFmtId="0">
      <alignment vertical="center"/>
    </xf>
    <xf applyAlignment="0" applyBorder="0" applyNumberFormat="0" applyProtection="0" borderId="0" fillId="43" fontId="108" numFmtId="0">
      <alignment vertical="center"/>
    </xf>
    <xf applyAlignment="0" applyBorder="0" applyNumberFormat="0" applyProtection="0" borderId="0" fillId="44" fontId="2" numFmtId="0">
      <alignment vertical="center"/>
    </xf>
    <xf applyAlignment="0" applyBorder="0" applyNumberFormat="0" applyProtection="0" borderId="0" fillId="45" fontId="2" numFmtId="0">
      <alignment vertical="center"/>
    </xf>
    <xf applyAlignment="0" applyBorder="0" applyNumberFormat="0" applyProtection="0" borderId="0" fillId="46" fontId="108" numFmtId="0">
      <alignment vertical="center"/>
    </xf>
    <xf applyAlignment="0" applyBorder="0" applyNumberFormat="0" applyProtection="0" borderId="0" fillId="47" fontId="108" numFmtId="0">
      <alignment vertical="center"/>
    </xf>
    <xf applyAlignment="0" applyBorder="0" applyNumberFormat="0" applyProtection="0" borderId="0" fillId="48" fontId="2" numFmtId="0">
      <alignment vertical="center"/>
    </xf>
    <xf applyAlignment="0" applyBorder="0" applyNumberFormat="0" applyProtection="0" borderId="0" fillId="49" fontId="2" numFmtId="0">
      <alignment vertical="center"/>
    </xf>
    <xf applyAlignment="0" applyBorder="0" applyNumberFormat="0" applyProtection="0" borderId="0" fillId="50" fontId="108" numFmtId="0">
      <alignment vertical="center"/>
    </xf>
    <xf applyAlignment="0" applyBorder="0" applyNumberFormat="0" applyProtection="0" borderId="0" fillId="51" fontId="108" numFmtId="0">
      <alignment vertical="center"/>
    </xf>
    <xf applyAlignment="0" applyBorder="0" applyNumberFormat="0" applyProtection="0" borderId="0" fillId="52" fontId="2" numFmtId="0">
      <alignment vertical="center"/>
    </xf>
    <xf applyAlignment="0" applyBorder="0" applyNumberFormat="0" applyProtection="0" borderId="0" fillId="53" fontId="2" numFmtId="0">
      <alignment vertical="center"/>
    </xf>
    <xf applyAlignment="0" applyBorder="0" applyNumberFormat="0" applyProtection="0" borderId="0" fillId="54" fontId="108" numFmtId="0">
      <alignment vertical="center"/>
    </xf>
    <xf applyAlignment="0" applyBorder="0" applyNumberFormat="0" applyProtection="0" borderId="0" fillId="55" fontId="108" numFmtId="0">
      <alignment vertical="center"/>
    </xf>
    <xf applyAlignment="0" applyBorder="0" applyNumberFormat="0" applyProtection="0" borderId="0" fillId="56" fontId="2" numFmtId="0">
      <alignment vertical="center"/>
    </xf>
    <xf applyAlignment="0" applyBorder="0" applyNumberFormat="0" applyProtection="0" borderId="0" fillId="57" fontId="2" numFmtId="0">
      <alignment vertical="center"/>
    </xf>
    <xf applyAlignment="0" applyBorder="0" applyNumberFormat="0" applyProtection="0" borderId="0" fillId="58" fontId="108" numFmtId="0">
      <alignment vertical="center"/>
    </xf>
    <xf borderId="0" fillId="0" fontId="2" numFmtId="0">
      <alignment vertical="center"/>
    </xf>
    <xf applyAlignment="0" applyFont="0" applyNumberFormat="0" applyProtection="0" borderId="24" fillId="34" fontId="2" numFmtId="0">
      <alignment vertical="center"/>
    </xf>
    <xf borderId="0" fillId="0" fontId="1" numFmtId="0">
      <alignment vertical="center"/>
    </xf>
    <xf applyAlignment="0" applyBorder="0" applyNumberFormat="0" applyProtection="0" borderId="0" fillId="36" fontId="1" numFmtId="0">
      <alignment vertical="center"/>
    </xf>
    <xf applyAlignment="0" applyBorder="0" applyNumberFormat="0" applyProtection="0" borderId="0" fillId="37" fontId="1" numFmtId="0">
      <alignment vertical="center"/>
    </xf>
    <xf applyAlignment="0" applyBorder="0" applyNumberFormat="0" applyProtection="0" borderId="0" fillId="40" fontId="1" numFmtId="0">
      <alignment vertical="center"/>
    </xf>
    <xf applyAlignment="0" applyBorder="0" applyNumberFormat="0" applyProtection="0" borderId="0" fillId="41" fontId="1" numFmtId="0">
      <alignment vertical="center"/>
    </xf>
    <xf applyAlignment="0" applyBorder="0" applyNumberFormat="0" applyProtection="0" borderId="0" fillId="44" fontId="1" numFmtId="0">
      <alignment vertical="center"/>
    </xf>
    <xf applyAlignment="0" applyBorder="0" applyNumberFormat="0" applyProtection="0" borderId="0" fillId="45" fontId="1" numFmtId="0">
      <alignment vertical="center"/>
    </xf>
    <xf applyAlignment="0" applyBorder="0" applyNumberFormat="0" applyProtection="0" borderId="0" fillId="48" fontId="1" numFmtId="0">
      <alignment vertical="center"/>
    </xf>
    <xf applyAlignment="0" applyBorder="0" applyNumberFormat="0" applyProtection="0" borderId="0" fillId="49" fontId="1" numFmtId="0">
      <alignment vertical="center"/>
    </xf>
    <xf applyAlignment="0" applyBorder="0" applyNumberFormat="0" applyProtection="0" borderId="0" fillId="52" fontId="1" numFmtId="0">
      <alignment vertical="center"/>
    </xf>
    <xf applyAlignment="0" applyBorder="0" applyNumberFormat="0" applyProtection="0" borderId="0" fillId="53" fontId="1" numFmtId="0">
      <alignment vertical="center"/>
    </xf>
    <xf applyAlignment="0" applyBorder="0" applyNumberFormat="0" applyProtection="0" borderId="0" fillId="56" fontId="1" numFmtId="0">
      <alignment vertical="center"/>
    </xf>
    <xf applyAlignment="0" applyBorder="0" applyNumberFormat="0" applyProtection="0" borderId="0" fillId="57" fontId="1" numFmtId="0">
      <alignment vertical="center"/>
    </xf>
    <xf borderId="0" fillId="0" fontId="1" numFmtId="0">
      <alignment vertical="center"/>
    </xf>
    <xf applyAlignment="0" applyFont="0" applyNumberFormat="0" applyProtection="0" borderId="24" fillId="34" fontId="1" numFmtId="0">
      <alignment vertical="center"/>
    </xf>
  </cellStyleXfs>
  <cellXfs count="15">
    <xf borderId="0" fillId="0" fontId="0" numFmtId="0" xfId="0"/>
    <xf applyFill="1" applyFont="1" borderId="0" fillId="0" fontId="19" numFmtId="0" xfId="1937">
      <alignment vertical="center"/>
    </xf>
    <xf applyFill="1" applyFont="1" borderId="0" fillId="0" fontId="110" numFmtId="0" xfId="1937">
      <alignment vertical="center"/>
    </xf>
    <xf applyAlignment="1" applyBorder="1" applyFill="1" applyFont="1" applyNumberFormat="1" borderId="15" fillId="0" fontId="16" numFmtId="0" xfId="0">
      <alignment vertical="center"/>
    </xf>
    <xf applyAlignment="1" applyBorder="1" applyFill="1" applyFont="1" applyNumberFormat="1" borderId="15" fillId="0" fontId="6" numFmtId="0" xfId="1937">
      <alignment vertical="center" wrapText="1"/>
    </xf>
    <xf applyBorder="1" applyFill="1" applyFont="1" borderId="15" fillId="0" fontId="19" numFmtId="0" xfId="1937">
      <alignment vertical="center"/>
    </xf>
    <xf applyAlignment="1" applyBorder="1" applyFill="1" applyFont="1" borderId="15" fillId="0" fontId="6" numFmtId="0" xfId="1937">
      <alignment horizontal="right" vertical="center"/>
    </xf>
    <xf applyAlignment="1" applyBorder="1" applyFill="1" applyFont="1" applyNumberFormat="1" borderId="16" fillId="0" fontId="6" numFmtId="0" xfId="1937">
      <alignment horizontal="center" vertical="center" wrapText="1"/>
    </xf>
    <xf applyAlignment="1" applyBorder="1" applyFont="1" applyNumberFormat="1" borderId="16" fillId="0" fontId="6" numFmtId="49" xfId="1937">
      <alignment horizontal="right" vertical="top" wrapText="1"/>
    </xf>
    <xf applyAlignment="1" applyBorder="1" applyFont="1" applyNumberFormat="1" borderId="16" fillId="0" fontId="6" numFmtId="49" xfId="1937">
      <alignment horizontal="left" vertical="top" wrapText="1"/>
    </xf>
    <xf applyAlignment="1" applyBorder="1" applyFont="1" applyNumberFormat="1" borderId="26" fillId="0" fontId="6" numFmtId="49" xfId="1937">
      <alignment horizontal="center" vertical="top" wrapText="1"/>
    </xf>
    <xf applyAlignment="1" applyBorder="1" applyFont="1" applyNumberFormat="1" borderId="27" fillId="0" fontId="6" numFmtId="189" quotePrefix="1" xfId="1937">
      <alignment horizontal="right" vertical="top" wrapText="1"/>
    </xf>
    <xf applyFont="1" borderId="0" fillId="0" fontId="110" numFmtId="0" xfId="1937">
      <alignment vertical="center"/>
    </xf>
    <xf applyAlignment="1" applyFill="1" applyFont="1" applyNumberFormat="1" borderId="0" fillId="0" fontId="109" numFmtId="0" xfId="1937">
      <alignment horizontal="left" vertical="center" wrapText="1"/>
    </xf>
    <xf applyAlignment="1" applyBorder="1" applyFill="1" applyFont="1" applyNumberFormat="1" borderId="16" fillId="0" fontId="6" numFmtId="0" xfId="1937">
      <alignment horizontal="center" vertical="center" wrapText="1"/>
    </xf>
  </cellXfs>
  <cellStyles count="1995">
    <cellStyle name="_x000c_ーセン_x000c_" xfId="17"/>
    <cellStyle name="_x000d__x000a_JournalTemplate=C:\COMFO\CTALK\JOURSTD.TPL_x000d__x000a_LbStateAddress=3 3 0 251 1 89 2 311_x000d__x000a_LbStateJou" xfId="18"/>
    <cellStyle name="0,0_x000d__x000a_NA_x000d__x000a_" xfId="19"/>
    <cellStyle name="20% - Accent1" xfId="20"/>
    <cellStyle name="20% - Accent2" xfId="21"/>
    <cellStyle name="20% - Accent3" xfId="22"/>
    <cellStyle name="20% - Accent4" xfId="23"/>
    <cellStyle name="20% - Accent5" xfId="24"/>
    <cellStyle name="20% - Accent6" xfId="25"/>
    <cellStyle builtinId="30" customBuiltin="1" name="20% - アクセント 1" xfId="1955"/>
    <cellStyle name="20% - アクセント 1 10" xfId="1981"/>
    <cellStyle name="20% - アクセント 1 2" xfId="26"/>
    <cellStyle name="20% - アクセント 1 3" xfId="27"/>
    <cellStyle name="20% - アクセント 1 4" xfId="28"/>
    <cellStyle name="20% - アクセント 1 5" xfId="29"/>
    <cellStyle name="20% - アクセント 1 6" xfId="30"/>
    <cellStyle name="20% - アクセント 1 7" xfId="31"/>
    <cellStyle name="20% - アクセント 1 8" xfId="32"/>
    <cellStyle name="20% - アクセント 1 9" xfId="33"/>
    <cellStyle builtinId="34" customBuiltin="1" name="20% - アクセント 2" xfId="1959"/>
    <cellStyle name="20% - アクセント 2 10" xfId="1983"/>
    <cellStyle name="20% - アクセント 2 2" xfId="34"/>
    <cellStyle name="20% - アクセント 2 3" xfId="35"/>
    <cellStyle name="20% - アクセント 2 4" xfId="36"/>
    <cellStyle name="20% - アクセント 2 5" xfId="37"/>
    <cellStyle name="20% - アクセント 2 6" xfId="38"/>
    <cellStyle name="20% - アクセント 2 7" xfId="39"/>
    <cellStyle name="20% - アクセント 2 8" xfId="40"/>
    <cellStyle name="20% - アクセント 2 9" xfId="41"/>
    <cellStyle builtinId="38" customBuiltin="1" name="20% - アクセント 3" xfId="1963"/>
    <cellStyle name="20% - アクセント 3 10" xfId="1985"/>
    <cellStyle name="20% - アクセント 3 2" xfId="42"/>
    <cellStyle name="20% - アクセント 3 3" xfId="43"/>
    <cellStyle name="20% - アクセント 3 4" xfId="44"/>
    <cellStyle name="20% - アクセント 3 5" xfId="45"/>
    <cellStyle name="20% - アクセント 3 6" xfId="46"/>
    <cellStyle name="20% - アクセント 3 7" xfId="47"/>
    <cellStyle name="20% - アクセント 3 8" xfId="48"/>
    <cellStyle name="20% - アクセント 3 9" xfId="49"/>
    <cellStyle builtinId="42" customBuiltin="1" name="20% - アクセント 4" xfId="1967"/>
    <cellStyle name="20% - アクセント 4 10" xfId="1987"/>
    <cellStyle name="20% - アクセント 4 2" xfId="50"/>
    <cellStyle name="20% - アクセント 4 3" xfId="51"/>
    <cellStyle name="20% - アクセント 4 4" xfId="52"/>
    <cellStyle name="20% - アクセント 4 5" xfId="53"/>
    <cellStyle name="20% - アクセント 4 6" xfId="54"/>
    <cellStyle name="20% - アクセント 4 7" xfId="55"/>
    <cellStyle name="20% - アクセント 4 8" xfId="56"/>
    <cellStyle name="20% - アクセント 4 9" xfId="57"/>
    <cellStyle builtinId="46" customBuiltin="1" name="20% - アクセント 5" xfId="1971"/>
    <cellStyle name="20% - アクセント 5 10" xfId="1989"/>
    <cellStyle name="20% - アクセント 5 2" xfId="58"/>
    <cellStyle name="20% - アクセント 5 3" xfId="59"/>
    <cellStyle name="20% - アクセント 5 4" xfId="60"/>
    <cellStyle name="20% - アクセント 5 5" xfId="61"/>
    <cellStyle name="20% - アクセント 5 6" xfId="62"/>
    <cellStyle name="20% - アクセント 5 7" xfId="63"/>
    <cellStyle name="20% - アクセント 5 8" xfId="64"/>
    <cellStyle name="20% - アクセント 5 9" xfId="65"/>
    <cellStyle builtinId="50" customBuiltin="1" name="20% - アクセント 6" xfId="1975"/>
    <cellStyle name="20% - アクセント 6 10" xfId="1991"/>
    <cellStyle name="20% - アクセント 6 2" xfId="66"/>
    <cellStyle name="20% - アクセント 6 3" xfId="67"/>
    <cellStyle name="20% - アクセント 6 4" xfId="68"/>
    <cellStyle name="20% - アクセント 6 5" xfId="69"/>
    <cellStyle name="20% - アクセント 6 6" xfId="70"/>
    <cellStyle name="20% - アクセント 6 7" xfId="71"/>
    <cellStyle name="20% - アクセント 6 8" xfId="72"/>
    <cellStyle name="20% - アクセント 6 9" xfId="73"/>
    <cellStyle name="40% - Accent1" xfId="74"/>
    <cellStyle name="40% - Accent2" xfId="75"/>
    <cellStyle name="40% - Accent3" xfId="76"/>
    <cellStyle name="40% - Accent4" xfId="77"/>
    <cellStyle name="40% - Accent5" xfId="78"/>
    <cellStyle name="40% - Accent6" xfId="79"/>
    <cellStyle builtinId="31" customBuiltin="1" name="40% - アクセント 1" xfId="1956"/>
    <cellStyle name="40% - アクセント 1 10" xfId="1982"/>
    <cellStyle name="40% - アクセント 1 2" xfId="80"/>
    <cellStyle name="40% - アクセント 1 3" xfId="81"/>
    <cellStyle name="40% - アクセント 1 4" xfId="82"/>
    <cellStyle name="40% - アクセント 1 5" xfId="83"/>
    <cellStyle name="40% - アクセント 1 6" xfId="84"/>
    <cellStyle name="40% - アクセント 1 7" xfId="85"/>
    <cellStyle name="40% - アクセント 1 8" xfId="86"/>
    <cellStyle name="40% - アクセント 1 9" xfId="87"/>
    <cellStyle builtinId="35" customBuiltin="1" name="40% - アクセント 2" xfId="1960"/>
    <cellStyle name="40% - アクセント 2 10" xfId="1984"/>
    <cellStyle name="40% - アクセント 2 2" xfId="88"/>
    <cellStyle name="40% - アクセント 2 3" xfId="89"/>
    <cellStyle name="40% - アクセント 2 4" xfId="90"/>
    <cellStyle name="40% - アクセント 2 5" xfId="91"/>
    <cellStyle name="40% - アクセント 2 6" xfId="92"/>
    <cellStyle name="40% - アクセント 2 7" xfId="93"/>
    <cellStyle name="40% - アクセント 2 8" xfId="94"/>
    <cellStyle name="40% - アクセント 2 9" xfId="95"/>
    <cellStyle builtinId="39" customBuiltin="1" name="40% - アクセント 3" xfId="1964"/>
    <cellStyle name="40% - アクセント 3 10" xfId="1986"/>
    <cellStyle name="40% - アクセント 3 2" xfId="96"/>
    <cellStyle name="40% - アクセント 3 3" xfId="97"/>
    <cellStyle name="40% - アクセント 3 4" xfId="98"/>
    <cellStyle name="40% - アクセント 3 5" xfId="99"/>
    <cellStyle name="40% - アクセント 3 6" xfId="100"/>
    <cellStyle name="40% - アクセント 3 7" xfId="101"/>
    <cellStyle name="40% - アクセント 3 8" xfId="102"/>
    <cellStyle name="40% - アクセント 3 9" xfId="103"/>
    <cellStyle builtinId="43" customBuiltin="1" name="40% - アクセント 4" xfId="1968"/>
    <cellStyle name="40% - アクセント 4 10" xfId="1988"/>
    <cellStyle name="40% - アクセント 4 2" xfId="104"/>
    <cellStyle name="40% - アクセント 4 3" xfId="105"/>
    <cellStyle name="40% - アクセント 4 4" xfId="106"/>
    <cellStyle name="40% - アクセント 4 5" xfId="107"/>
    <cellStyle name="40% - アクセント 4 6" xfId="108"/>
    <cellStyle name="40% - アクセント 4 7" xfId="109"/>
    <cellStyle name="40% - アクセント 4 8" xfId="110"/>
    <cellStyle name="40% - アクセント 4 9" xfId="111"/>
    <cellStyle builtinId="47" customBuiltin="1" name="40% - アクセント 5" xfId="1972"/>
    <cellStyle name="40% - アクセント 5 10" xfId="1990"/>
    <cellStyle name="40% - アクセント 5 2" xfId="112"/>
    <cellStyle name="40% - アクセント 5 3" xfId="113"/>
    <cellStyle name="40% - アクセント 5 4" xfId="114"/>
    <cellStyle name="40% - アクセント 5 5" xfId="115"/>
    <cellStyle name="40% - アクセント 5 6" xfId="116"/>
    <cellStyle name="40% - アクセント 5 7" xfId="117"/>
    <cellStyle name="40% - アクセント 5 8" xfId="118"/>
    <cellStyle name="40% - アクセント 5 9" xfId="119"/>
    <cellStyle builtinId="51" customBuiltin="1" name="40% - アクセント 6" xfId="1976"/>
    <cellStyle name="40% - アクセント 6 10" xfId="1992"/>
    <cellStyle name="40% - アクセント 6 2" xfId="120"/>
    <cellStyle name="40% - アクセント 6 3" xfId="121"/>
    <cellStyle name="40% - アクセント 6 4" xfId="122"/>
    <cellStyle name="40% - アクセント 6 5" xfId="123"/>
    <cellStyle name="40% - アクセント 6 6" xfId="124"/>
    <cellStyle name="40% - アクセント 6 7" xfId="125"/>
    <cellStyle name="40% - アクセント 6 8" xfId="126"/>
    <cellStyle name="40% - アクセント 6 9" xfId="127"/>
    <cellStyle name="60% - Accent1" xfId="128"/>
    <cellStyle name="60% - Accent2" xfId="129"/>
    <cellStyle name="60% - Accent3" xfId="130"/>
    <cellStyle name="60% - Accent4" xfId="131"/>
    <cellStyle name="60% - Accent5" xfId="132"/>
    <cellStyle name="60% - Accent6" xfId="133"/>
    <cellStyle builtinId="32" customBuiltin="1" name="60% - アクセント 1" xfId="1957"/>
    <cellStyle name="60% - アクセント 1 2" xfId="134"/>
    <cellStyle name="60% - アクセント 1 3" xfId="135"/>
    <cellStyle name="60% - アクセント 1 4" xfId="136"/>
    <cellStyle name="60% - アクセント 1 5" xfId="137"/>
    <cellStyle name="60% - アクセント 1 6" xfId="138"/>
    <cellStyle name="60% - アクセント 1 7" xfId="139"/>
    <cellStyle name="60% - アクセント 1 8" xfId="140"/>
    <cellStyle name="60% - アクセント 1 9" xfId="141"/>
    <cellStyle builtinId="36" customBuiltin="1" name="60% - アクセント 2" xfId="1961"/>
    <cellStyle name="60% - アクセント 2 2" xfId="142"/>
    <cellStyle name="60% - アクセント 2 3" xfId="143"/>
    <cellStyle name="60% - アクセント 2 4" xfId="144"/>
    <cellStyle name="60% - アクセント 2 5" xfId="145"/>
    <cellStyle name="60% - アクセント 2 6" xfId="146"/>
    <cellStyle name="60% - アクセント 2 7" xfId="147"/>
    <cellStyle name="60% - アクセント 2 8" xfId="148"/>
    <cellStyle name="60% - アクセント 2 9" xfId="149"/>
    <cellStyle builtinId="40" customBuiltin="1" name="60% - アクセント 3" xfId="1965"/>
    <cellStyle name="60% - アクセント 3 2" xfId="150"/>
    <cellStyle name="60% - アクセント 3 3" xfId="151"/>
    <cellStyle name="60% - アクセント 3 4" xfId="152"/>
    <cellStyle name="60% - アクセント 3 5" xfId="153"/>
    <cellStyle name="60% - アクセント 3 6" xfId="154"/>
    <cellStyle name="60% - アクセント 3 7" xfId="155"/>
    <cellStyle name="60% - アクセント 3 8" xfId="156"/>
    <cellStyle name="60% - アクセント 3 9" xfId="157"/>
    <cellStyle builtinId="44" customBuiltin="1" name="60% - アクセント 4" xfId="1969"/>
    <cellStyle name="60% - アクセント 4 2" xfId="158"/>
    <cellStyle name="60% - アクセント 4 3" xfId="159"/>
    <cellStyle name="60% - アクセント 4 4" xfId="160"/>
    <cellStyle name="60% - アクセント 4 5" xfId="161"/>
    <cellStyle name="60% - アクセント 4 6" xfId="162"/>
    <cellStyle name="60% - アクセント 4 7" xfId="163"/>
    <cellStyle name="60% - アクセント 4 8" xfId="164"/>
    <cellStyle name="60% - アクセント 4 9" xfId="165"/>
    <cellStyle builtinId="48" customBuiltin="1" name="60% - アクセント 5" xfId="1973"/>
    <cellStyle name="60% - アクセント 5 2" xfId="166"/>
    <cellStyle name="60% - アクセント 5 3" xfId="167"/>
    <cellStyle name="60% - アクセント 5 4" xfId="168"/>
    <cellStyle name="60% - アクセント 5 5" xfId="169"/>
    <cellStyle name="60% - アクセント 5 6" xfId="170"/>
    <cellStyle name="60% - アクセント 5 7" xfId="171"/>
    <cellStyle name="60% - アクセント 5 8" xfId="172"/>
    <cellStyle name="60% - アクセント 5 9" xfId="173"/>
    <cellStyle builtinId="52" customBuiltin="1" name="60% - アクセント 6" xfId="1977"/>
    <cellStyle name="60% - アクセント 6 2" xfId="174"/>
    <cellStyle name="60% - アクセント 6 3" xfId="175"/>
    <cellStyle name="60% - アクセント 6 4" xfId="176"/>
    <cellStyle name="60% - アクセント 6 5" xfId="177"/>
    <cellStyle name="60% - アクセント 6 6" xfId="178"/>
    <cellStyle name="60% - アクセント 6 7" xfId="179"/>
    <cellStyle name="60% - アクセント 6 8" xfId="180"/>
    <cellStyle name="60% - アクセント 6 9" xfId="181"/>
    <cellStyle name="Accent1" xfId="182"/>
    <cellStyle name="Accent2" xfId="183"/>
    <cellStyle name="Accent3" xfId="184"/>
    <cellStyle name="Accent4" xfId="185"/>
    <cellStyle name="Accent5" xfId="186"/>
    <cellStyle name="Accent6" xfId="187"/>
    <cellStyle name="args.style" xfId="188"/>
    <cellStyle name="B10" xfId="189"/>
    <cellStyle name="Bad" xfId="190"/>
    <cellStyle name="Body" xfId="191"/>
    <cellStyle name="Calc Currency (0)" xfId="2"/>
    <cellStyle name="Calc Currency (0) 2" xfId="192"/>
    <cellStyle name="Calculation" xfId="193"/>
    <cellStyle name="Calculation 2" xfId="194"/>
    <cellStyle name="Calculation 2 2" xfId="195"/>
    <cellStyle name="Calculation 2 2 2" xfId="196"/>
    <cellStyle name="Calculation 2 3" xfId="197"/>
    <cellStyle name="Calculation 2 3 2" xfId="198"/>
    <cellStyle name="Calculation 2 4" xfId="199"/>
    <cellStyle name="Calculation 2 4 2" xfId="200"/>
    <cellStyle name="Calculation 2 5" xfId="201"/>
    <cellStyle name="Calculation 2 5 2" xfId="202"/>
    <cellStyle name="Calculation 2 6" xfId="203"/>
    <cellStyle name="Calculation 2 6 2" xfId="204"/>
    <cellStyle name="Calculation 2 7" xfId="205"/>
    <cellStyle name="Calculation 3" xfId="206"/>
    <cellStyle name="Calculation 3 2" xfId="207"/>
    <cellStyle name="Calculation 4" xfId="208"/>
    <cellStyle name="Check Cell" xfId="209"/>
    <cellStyle name="Column Heading" xfId="210"/>
    <cellStyle name="Comma [0]_laroux" xfId="211"/>
    <cellStyle name="Comma_laroux" xfId="212"/>
    <cellStyle name="Currency [0]_laroux" xfId="213"/>
    <cellStyle name="Currency_laroux" xfId="214"/>
    <cellStyle name="entry" xfId="215"/>
    <cellStyle name="Explanatory Text" xfId="216"/>
    <cellStyle name="Good" xfId="217"/>
    <cellStyle name="Grey" xfId="218"/>
    <cellStyle name="Head 1" xfId="219"/>
    <cellStyle name="Header1" xfId="3"/>
    <cellStyle name="Header2" xfId="4"/>
    <cellStyle name="Header2 2" xfId="220"/>
    <cellStyle name="Header2 2 2" xfId="221"/>
    <cellStyle name="Header2 2 2 2" xfId="222"/>
    <cellStyle name="Header2 2 2 3" xfId="223"/>
    <cellStyle name="Header2 2 2 4" xfId="224"/>
    <cellStyle name="Header2 2 2 5" xfId="225"/>
    <cellStyle name="Header2 2 2 6" xfId="226"/>
    <cellStyle name="Header2 2 2 7" xfId="227"/>
    <cellStyle name="Header2 2 2 7 2" xfId="228"/>
    <cellStyle name="Header2 2 3" xfId="229"/>
    <cellStyle name="Header2 2 3 2" xfId="230"/>
    <cellStyle name="Header2 2 3 3" xfId="231"/>
    <cellStyle name="Header2 3" xfId="232"/>
    <cellStyle name="Header2 3 2" xfId="233"/>
    <cellStyle name="Header2 3 2 2" xfId="234"/>
    <cellStyle name="Header2 3 2 3" xfId="235"/>
    <cellStyle name="Header2 3 2 4" xfId="236"/>
    <cellStyle name="Header2 3 2 5" xfId="237"/>
    <cellStyle name="Header2 3 2 6" xfId="238"/>
    <cellStyle name="Header2 3 2 7" xfId="239"/>
    <cellStyle name="Header2 3 2 7 2" xfId="240"/>
    <cellStyle name="Header2 3 3" xfId="241"/>
    <cellStyle name="Header2 3 4" xfId="242"/>
    <cellStyle name="Header2 3 5" xfId="243"/>
    <cellStyle name="Header2 3 6" xfId="244"/>
    <cellStyle name="Header2 3 7" xfId="245"/>
    <cellStyle name="Header2 3 8" xfId="246"/>
    <cellStyle name="Header2 3 9" xfId="247"/>
    <cellStyle name="Header2 3 9 2" xfId="248"/>
    <cellStyle name="Header2 3 9 3" xfId="249"/>
    <cellStyle name="Header2 4" xfId="250"/>
    <cellStyle name="Header2 4 2" xfId="251"/>
    <cellStyle name="Header2 4 3" xfId="252"/>
    <cellStyle name="Header2 4 4" xfId="253"/>
    <cellStyle name="Header2 4 5" xfId="254"/>
    <cellStyle name="Header2 4 6" xfId="255"/>
    <cellStyle name="Header2 4 7" xfId="256"/>
    <cellStyle name="Header2 4 7 2" xfId="257"/>
    <cellStyle name="Header2 5" xfId="258"/>
    <cellStyle name="Header2 6" xfId="259"/>
    <cellStyle name="Header2 7" xfId="260"/>
    <cellStyle name="Header2 7 2" xfId="261"/>
    <cellStyle name="Header2 7 3" xfId="262"/>
    <cellStyle name="Heading 1" xfId="263"/>
    <cellStyle name="Heading 2" xfId="264"/>
    <cellStyle name="Heading 3" xfId="265"/>
    <cellStyle name="Heading 4" xfId="266"/>
    <cellStyle name="IBM(401K)" xfId="267"/>
    <cellStyle name="Input" xfId="268"/>
    <cellStyle name="Input [yellow]" xfId="269"/>
    <cellStyle name="Input [yellow] 2" xfId="270"/>
    <cellStyle name="Input [yellow] 2 2" xfId="271"/>
    <cellStyle name="Input [yellow] 2 2 2" xfId="272"/>
    <cellStyle name="Input [yellow] 2 2 3" xfId="273"/>
    <cellStyle name="Input [yellow] 2 2 4" xfId="274"/>
    <cellStyle name="Input [yellow] 2 2 5" xfId="275"/>
    <cellStyle name="Input [yellow] 2 2 6" xfId="276"/>
    <cellStyle name="Input [yellow] 2 2 7" xfId="277"/>
    <cellStyle name="Input [yellow] 2 2 8" xfId="278"/>
    <cellStyle name="Input [yellow] 2 2 9" xfId="279"/>
    <cellStyle name="Input [yellow] 2 3" xfId="280"/>
    <cellStyle name="Input [yellow] 2 3 2" xfId="281"/>
    <cellStyle name="Input [yellow] 2 3 3" xfId="282"/>
    <cellStyle name="Input [yellow] 3" xfId="283"/>
    <cellStyle name="Input [yellow] 3 2" xfId="284"/>
    <cellStyle name="Input [yellow] 3 2 2" xfId="285"/>
    <cellStyle name="Input [yellow] 3 2 3" xfId="286"/>
    <cellStyle name="Input [yellow] 3 2 4" xfId="287"/>
    <cellStyle name="Input [yellow] 3 2 5" xfId="288"/>
    <cellStyle name="Input [yellow] 3 2 6" xfId="289"/>
    <cellStyle name="Input [yellow] 3 2 7" xfId="290"/>
    <cellStyle name="Input [yellow] 3 2 8" xfId="291"/>
    <cellStyle name="Input [yellow] 3 2 9" xfId="292"/>
    <cellStyle name="Input [yellow] 3 3" xfId="293"/>
    <cellStyle name="Input [yellow] 3 4" xfId="294"/>
    <cellStyle name="Input [yellow] 3 5" xfId="295"/>
    <cellStyle name="Input [yellow] 3 6" xfId="296"/>
    <cellStyle name="Input [yellow] 3 7" xfId="297"/>
    <cellStyle name="Input [yellow] 3 8" xfId="298"/>
    <cellStyle name="Input [yellow] 3 9" xfId="299"/>
    <cellStyle name="Input [yellow] 3 9 2" xfId="300"/>
    <cellStyle name="Input [yellow] 3 9 3" xfId="301"/>
    <cellStyle name="Input [yellow] 4" xfId="302"/>
    <cellStyle name="Input [yellow] 4 2" xfId="303"/>
    <cellStyle name="Input [yellow] 4 3" xfId="304"/>
    <cellStyle name="Input [yellow] 4 4" xfId="305"/>
    <cellStyle name="Input [yellow] 4 5" xfId="306"/>
    <cellStyle name="Input [yellow] 4 6" xfId="307"/>
    <cellStyle name="Input [yellow] 4 7" xfId="308"/>
    <cellStyle name="Input [yellow] 4 8" xfId="309"/>
    <cellStyle name="Input [yellow] 4 8 2" xfId="310"/>
    <cellStyle name="Input [yellow] 4 8 3" xfId="311"/>
    <cellStyle name="Input [yellow] 5" xfId="312"/>
    <cellStyle name="Input [yellow] 6" xfId="313"/>
    <cellStyle name="Input [yellow] 7" xfId="314"/>
    <cellStyle name="Input [yellow] 7 2" xfId="315"/>
    <cellStyle name="Input [yellow] 7 3" xfId="316"/>
    <cellStyle name="Input 10" xfId="317"/>
    <cellStyle name="Input 10 2" xfId="318"/>
    <cellStyle name="Input 11" xfId="319"/>
    <cellStyle name="Input 11 2" xfId="320"/>
    <cellStyle name="Input 12" xfId="321"/>
    <cellStyle name="Input 12 2" xfId="322"/>
    <cellStyle name="Input 13" xfId="323"/>
    <cellStyle name="Input 13 2" xfId="324"/>
    <cellStyle name="Input 14" xfId="325"/>
    <cellStyle name="Input 14 2" xfId="326"/>
    <cellStyle name="Input 15" xfId="327"/>
    <cellStyle name="Input 15 2" xfId="328"/>
    <cellStyle name="Input 16" xfId="329"/>
    <cellStyle name="Input 16 2" xfId="330"/>
    <cellStyle name="Input 17" xfId="331"/>
    <cellStyle name="Input 17 2" xfId="332"/>
    <cellStyle name="Input 18" xfId="333"/>
    <cellStyle name="Input 19" xfId="334"/>
    <cellStyle name="Input 2" xfId="335"/>
    <cellStyle name="Input 2 2" xfId="336"/>
    <cellStyle name="Input 2 2 2" xfId="337"/>
    <cellStyle name="Input 2 3" xfId="338"/>
    <cellStyle name="Input 2 3 2" xfId="339"/>
    <cellStyle name="Input 2 4" xfId="340"/>
    <cellStyle name="Input 2 4 2" xfId="341"/>
    <cellStyle name="Input 2 5" xfId="342"/>
    <cellStyle name="Input 2 5 2" xfId="343"/>
    <cellStyle name="Input 2 6" xfId="344"/>
    <cellStyle name="Input 2 6 2" xfId="345"/>
    <cellStyle name="Input 2 7" xfId="346"/>
    <cellStyle name="Input 20" xfId="347"/>
    <cellStyle name="Input 21" xfId="348"/>
    <cellStyle name="Input 22" xfId="349"/>
    <cellStyle name="Input 23" xfId="350"/>
    <cellStyle name="Input 24" xfId="351"/>
    <cellStyle name="Input 25" xfId="352"/>
    <cellStyle name="Input 26" xfId="353"/>
    <cellStyle name="Input 3" xfId="354"/>
    <cellStyle name="Input 3 2" xfId="355"/>
    <cellStyle name="Input 4" xfId="356"/>
    <cellStyle name="Input 4 2" xfId="357"/>
    <cellStyle name="Input 5" xfId="358"/>
    <cellStyle name="Input 5 2" xfId="359"/>
    <cellStyle name="Input 6" xfId="360"/>
    <cellStyle name="Input 6 2" xfId="361"/>
    <cellStyle name="Input 7" xfId="362"/>
    <cellStyle name="Input 7 2" xfId="363"/>
    <cellStyle name="Input 8" xfId="364"/>
    <cellStyle name="Input 8 2" xfId="365"/>
    <cellStyle name="Input 9" xfId="366"/>
    <cellStyle name="Input 9 2" xfId="367"/>
    <cellStyle name="J401K" xfId="368"/>
    <cellStyle name="Linked Cell" xfId="369"/>
    <cellStyle name="Millares [0]_Compra" xfId="370"/>
    <cellStyle name="Millares_Compra" xfId="371"/>
    <cellStyle name="Moneda [0]_Compra" xfId="372"/>
    <cellStyle name="Moneda_Compra" xfId="373"/>
    <cellStyle name="Neutral" xfId="374"/>
    <cellStyle name="no dec" xfId="375"/>
    <cellStyle name="Normal - Style1" xfId="5"/>
    <cellStyle name="Normal - Style1 2" xfId="376"/>
    <cellStyle name="Normal - Style1 2 2" xfId="377"/>
    <cellStyle name="Normal - Style1 2 3" xfId="378"/>
    <cellStyle name="Normal_#18-Internet" xfId="6"/>
    <cellStyle name="Note" xfId="379"/>
    <cellStyle name="Note 2" xfId="380"/>
    <cellStyle name="Note 2 2" xfId="381"/>
    <cellStyle name="Note 2 2 2" xfId="382"/>
    <cellStyle name="Note 2 2 2 2" xfId="383"/>
    <cellStyle name="Note 2 2 3" xfId="384"/>
    <cellStyle name="Note 2 2 3 2" xfId="385"/>
    <cellStyle name="Note 2 2 4" xfId="386"/>
    <cellStyle name="Note 2 2 4 2" xfId="387"/>
    <cellStyle name="Note 2 2 5" xfId="388"/>
    <cellStyle name="Note 2 2 5 2" xfId="389"/>
    <cellStyle name="Note 2 2 6" xfId="390"/>
    <cellStyle name="Note 2 2 6 2" xfId="391"/>
    <cellStyle name="Note 2 2 7" xfId="392"/>
    <cellStyle name="Note 2 3" xfId="393"/>
    <cellStyle name="Note 2 3 2" xfId="394"/>
    <cellStyle name="Note 2 4" xfId="395"/>
    <cellStyle name="Note 3" xfId="396"/>
    <cellStyle name="Note 3 2" xfId="397"/>
    <cellStyle name="Note 3 2 2" xfId="398"/>
    <cellStyle name="Note 3 2 2 2" xfId="399"/>
    <cellStyle name="Note 3 2 3" xfId="400"/>
    <cellStyle name="Note 3 2 3 2" xfId="401"/>
    <cellStyle name="Note 3 2 4" xfId="402"/>
    <cellStyle name="Note 3 2 4 2" xfId="403"/>
    <cellStyle name="Note 3 2 5" xfId="404"/>
    <cellStyle name="Note 3 2 5 2" xfId="405"/>
    <cellStyle name="Note 3 2 6" xfId="406"/>
    <cellStyle name="Note 3 2 6 2" xfId="407"/>
    <cellStyle name="Note 3 2 7" xfId="408"/>
    <cellStyle name="Note 3 3" xfId="409"/>
    <cellStyle name="Note 3 3 2" xfId="410"/>
    <cellStyle name="Note 3 4" xfId="411"/>
    <cellStyle name="Note 3 4 2" xfId="412"/>
    <cellStyle name="Note 3 5" xfId="413"/>
    <cellStyle name="Note 3 5 2" xfId="414"/>
    <cellStyle name="Note 3 6" xfId="415"/>
    <cellStyle name="Note 3 6 2" xfId="416"/>
    <cellStyle name="Note 3 7" xfId="417"/>
    <cellStyle name="Note 3 7 2" xfId="418"/>
    <cellStyle name="Note 3 8" xfId="419"/>
    <cellStyle name="Note 4" xfId="420"/>
    <cellStyle name="Note 4 2" xfId="421"/>
    <cellStyle name="Note 4 2 2" xfId="422"/>
    <cellStyle name="Note 4 3" xfId="423"/>
    <cellStyle name="Note 4 3 2" xfId="424"/>
    <cellStyle name="Note 4 4" xfId="425"/>
    <cellStyle name="Note 4 4 2" xfId="426"/>
    <cellStyle name="Note 4 5" xfId="427"/>
    <cellStyle name="Note 4 5 2" xfId="428"/>
    <cellStyle name="Note 4 6" xfId="429"/>
    <cellStyle name="Note 4 6 2" xfId="430"/>
    <cellStyle name="Note 4 7" xfId="431"/>
    <cellStyle name="Note 5" xfId="432"/>
    <cellStyle name="Note 5 2" xfId="433"/>
    <cellStyle name="Output" xfId="434"/>
    <cellStyle name="Output 2" xfId="435"/>
    <cellStyle name="Output 2 2" xfId="436"/>
    <cellStyle name="Output 2 2 2" xfId="437"/>
    <cellStyle name="Output 2 3" xfId="438"/>
    <cellStyle name="Output 2 3 2" xfId="439"/>
    <cellStyle name="Output 2 4" xfId="440"/>
    <cellStyle name="Output 2 4 2" xfId="441"/>
    <cellStyle name="Output 2 5" xfId="442"/>
    <cellStyle name="Output 2 5 2" xfId="443"/>
    <cellStyle name="Output 2 6" xfId="444"/>
    <cellStyle name="Output 2 6 2" xfId="445"/>
    <cellStyle name="Output 2 7" xfId="446"/>
    <cellStyle name="Output 3" xfId="447"/>
    <cellStyle name="Output 3 2" xfId="448"/>
    <cellStyle name="per.style" xfId="449"/>
    <cellStyle name="Percent [2]" xfId="450"/>
    <cellStyle name="price" xfId="451"/>
    <cellStyle name="PSChar" xfId="452"/>
    <cellStyle name="PSHeading" xfId="453"/>
    <cellStyle name="QDF" xfId="454"/>
    <cellStyle name="revised" xfId="455"/>
    <cellStyle name="section" xfId="456"/>
    <cellStyle name="subhead" xfId="457"/>
    <cellStyle name="title" xfId="458"/>
    <cellStyle name="Total" xfId="459"/>
    <cellStyle name="Total 2" xfId="460"/>
    <cellStyle name="Total 2 2" xfId="461"/>
    <cellStyle name="Total 2 2 2" xfId="462"/>
    <cellStyle name="Total 2 3" xfId="463"/>
    <cellStyle name="Total 2 3 2" xfId="464"/>
    <cellStyle name="Total 2 4" xfId="465"/>
    <cellStyle name="Total 2 4 2" xfId="466"/>
    <cellStyle name="Total 2 5" xfId="467"/>
    <cellStyle name="Total 2 5 2" xfId="468"/>
    <cellStyle name="Total 2 6" xfId="469"/>
    <cellStyle name="Total 2 6 2" xfId="470"/>
    <cellStyle name="Total 2 7" xfId="471"/>
    <cellStyle name="Total 3" xfId="472"/>
    <cellStyle name="Total 3 2" xfId="473"/>
    <cellStyle name="Warning Text" xfId="474"/>
    <cellStyle builtinId="29" customBuiltin="1" name="アクセント 1" xfId="1954"/>
    <cellStyle name="アクセント 1 2" xfId="475"/>
    <cellStyle name="アクセント 1 3" xfId="476"/>
    <cellStyle name="アクセント 1 4" xfId="477"/>
    <cellStyle name="アクセント 1 5" xfId="478"/>
    <cellStyle name="アクセント 1 6" xfId="479"/>
    <cellStyle name="アクセント 1 7" xfId="480"/>
    <cellStyle name="アクセント 1 8" xfId="481"/>
    <cellStyle name="アクセント 1 9" xfId="482"/>
    <cellStyle builtinId="33" customBuiltin="1" name="アクセント 2" xfId="1958"/>
    <cellStyle name="アクセント 2 2" xfId="483"/>
    <cellStyle name="アクセント 2 3" xfId="484"/>
    <cellStyle name="アクセント 2 4" xfId="485"/>
    <cellStyle name="アクセント 2 5" xfId="486"/>
    <cellStyle name="アクセント 2 6" xfId="487"/>
    <cellStyle name="アクセント 2 7" xfId="488"/>
    <cellStyle name="アクセント 2 8" xfId="489"/>
    <cellStyle name="アクセント 2 9" xfId="490"/>
    <cellStyle builtinId="37" customBuiltin="1" name="アクセント 3" xfId="1962"/>
    <cellStyle name="アクセント 3 2" xfId="491"/>
    <cellStyle name="アクセント 3 3" xfId="492"/>
    <cellStyle name="アクセント 3 4" xfId="493"/>
    <cellStyle name="アクセント 3 5" xfId="494"/>
    <cellStyle name="アクセント 3 6" xfId="495"/>
    <cellStyle name="アクセント 3 7" xfId="496"/>
    <cellStyle name="アクセント 3 8" xfId="497"/>
    <cellStyle name="アクセント 3 9" xfId="498"/>
    <cellStyle builtinId="41" customBuiltin="1" name="アクセント 4" xfId="1966"/>
    <cellStyle name="アクセント 4 2" xfId="499"/>
    <cellStyle name="アクセント 4 3" xfId="500"/>
    <cellStyle name="アクセント 4 4" xfId="501"/>
    <cellStyle name="アクセント 4 5" xfId="502"/>
    <cellStyle name="アクセント 4 6" xfId="503"/>
    <cellStyle name="アクセント 4 7" xfId="504"/>
    <cellStyle name="アクセント 4 8" xfId="505"/>
    <cellStyle name="アクセント 4 9" xfId="506"/>
    <cellStyle builtinId="45" customBuiltin="1" name="アクセント 5" xfId="1970"/>
    <cellStyle name="アクセント 5 2" xfId="507"/>
    <cellStyle name="アクセント 5 3" xfId="508"/>
    <cellStyle name="アクセント 5 4" xfId="509"/>
    <cellStyle name="アクセント 5 5" xfId="510"/>
    <cellStyle name="アクセント 5 6" xfId="511"/>
    <cellStyle name="アクセント 5 7" xfId="512"/>
    <cellStyle name="アクセント 5 8" xfId="513"/>
    <cellStyle name="アクセント 5 9" xfId="514"/>
    <cellStyle builtinId="49" customBuiltin="1" name="アクセント 6" xfId="1974"/>
    <cellStyle name="アクセント 6 2" xfId="515"/>
    <cellStyle name="アクセント 6 3" xfId="516"/>
    <cellStyle name="アクセント 6 4" xfId="517"/>
    <cellStyle name="アクセント 6 5" xfId="518"/>
    <cellStyle name="アクセント 6 6" xfId="519"/>
    <cellStyle name="アクセント 6 7" xfId="520"/>
    <cellStyle name="アクセント 6 8" xfId="521"/>
    <cellStyle name="アクセント 6 9" xfId="522"/>
    <cellStyle name="センター" xfId="523"/>
    <cellStyle builtinId="15" customBuiltin="1" name="タイトル" xfId="1938"/>
    <cellStyle name="タイトル 2" xfId="524"/>
    <cellStyle name="タイトル 3" xfId="525"/>
    <cellStyle name="タイトル 4" xfId="526"/>
    <cellStyle name="タイトル 5" xfId="527"/>
    <cellStyle name="タイトル 6" xfId="528"/>
    <cellStyle name="タイトル 7" xfId="529"/>
    <cellStyle name="タイトル 8" xfId="530"/>
    <cellStyle name="タイトル 9" xfId="531"/>
    <cellStyle builtinId="23" customBuiltin="1" name="チェック セル" xfId="1950"/>
    <cellStyle name="チェック セル 2" xfId="532"/>
    <cellStyle name="チェック セル 3" xfId="533"/>
    <cellStyle name="チェック セル 4" xfId="534"/>
    <cellStyle name="チェック セル 5" xfId="535"/>
    <cellStyle name="チェック セル 6" xfId="536"/>
    <cellStyle name="チェック セル 7" xfId="537"/>
    <cellStyle name="チェック セル 8" xfId="538"/>
    <cellStyle name="チェック セル 9" xfId="539"/>
    <cellStyle name="チャート" xfId="540"/>
    <cellStyle builtinId="28" customBuiltin="1" name="どちらでもない" xfId="1945"/>
    <cellStyle name="どちらでもない 2" xfId="541"/>
    <cellStyle name="どちらでもない 3" xfId="542"/>
    <cellStyle name="どちらでもない 4" xfId="543"/>
    <cellStyle name="どちらでもない 5" xfId="544"/>
    <cellStyle name="どちらでもない 6" xfId="545"/>
    <cellStyle name="どちらでもない 7" xfId="546"/>
    <cellStyle name="どちらでもない 8" xfId="547"/>
    <cellStyle name="どちらでもない 9" xfId="548"/>
    <cellStyle name="パーセント 2" xfId="549"/>
    <cellStyle name="パーセント 2 2" xfId="550"/>
    <cellStyle name="パーセント 3" xfId="551"/>
    <cellStyle name="ハイパーリンク 2" xfId="552"/>
    <cellStyle name="ハイパーリンク 2 2" xfId="553"/>
    <cellStyle name="ハイパーリンク 2 3" xfId="554"/>
    <cellStyle name="ハイパーリンク 3" xfId="555"/>
    <cellStyle name="メモ 10" xfId="1979"/>
    <cellStyle name="メモ 10 2" xfId="1994"/>
    <cellStyle name="メモ 2" xfId="556"/>
    <cellStyle name="メモ 2 2" xfId="557"/>
    <cellStyle name="メモ 2 2 2" xfId="558"/>
    <cellStyle name="メモ 2 2 2 2" xfId="559"/>
    <cellStyle name="メモ 2 2 2 2 2" xfId="560"/>
    <cellStyle name="メモ 2 2 2 3" xfId="561"/>
    <cellStyle name="メモ 2 2 2 3 2" xfId="562"/>
    <cellStyle name="メモ 2 2 2 4" xfId="563"/>
    <cellStyle name="メモ 2 2 2 4 2" xfId="564"/>
    <cellStyle name="メモ 2 2 2 5" xfId="565"/>
    <cellStyle name="メモ 2 2 2 5 2" xfId="566"/>
    <cellStyle name="メモ 2 2 2 6" xfId="567"/>
    <cellStyle name="メモ 2 2 2 6 2" xfId="568"/>
    <cellStyle name="メモ 2 2 2 7" xfId="569"/>
    <cellStyle name="メモ 2 2 3" xfId="570"/>
    <cellStyle name="メモ 2 2 3 2" xfId="571"/>
    <cellStyle name="メモ 2 2 4" xfId="572"/>
    <cellStyle name="メモ 2 3" xfId="573"/>
    <cellStyle name="メモ 2 3 2" xfId="574"/>
    <cellStyle name="メモ 2 3 2 2" xfId="575"/>
    <cellStyle name="メモ 2 3 2 2 2" xfId="576"/>
    <cellStyle name="メモ 2 3 2 3" xfId="577"/>
    <cellStyle name="メモ 2 3 2 3 2" xfId="578"/>
    <cellStyle name="メモ 2 3 2 4" xfId="579"/>
    <cellStyle name="メモ 2 3 2 4 2" xfId="580"/>
    <cellStyle name="メモ 2 3 2 5" xfId="581"/>
    <cellStyle name="メモ 2 3 2 5 2" xfId="582"/>
    <cellStyle name="メモ 2 3 2 6" xfId="583"/>
    <cellStyle name="メモ 2 3 2 6 2" xfId="584"/>
    <cellStyle name="メモ 2 3 2 7" xfId="585"/>
    <cellStyle name="メモ 2 3 3" xfId="586"/>
    <cellStyle name="メモ 2 3 3 2" xfId="587"/>
    <cellStyle name="メモ 2 4" xfId="588"/>
    <cellStyle name="メモ 2 4 2" xfId="589"/>
    <cellStyle name="メモ 2 4 2 2" xfId="590"/>
    <cellStyle name="メモ 2 4 2 2 2" xfId="591"/>
    <cellStyle name="メモ 2 4 2 3" xfId="592"/>
    <cellStyle name="メモ 2 4 2 3 2" xfId="593"/>
    <cellStyle name="メモ 2 4 2 4" xfId="594"/>
    <cellStyle name="メモ 2 4 2 4 2" xfId="595"/>
    <cellStyle name="メモ 2 4 2 5" xfId="596"/>
    <cellStyle name="メモ 2 4 2 5 2" xfId="597"/>
    <cellStyle name="メモ 2 4 2 6" xfId="598"/>
    <cellStyle name="メモ 2 4 2 6 2" xfId="599"/>
    <cellStyle name="メモ 2 4 2 7" xfId="600"/>
    <cellStyle name="メモ 2 4 3" xfId="601"/>
    <cellStyle name="メモ 2 4 3 2" xfId="602"/>
    <cellStyle name="メモ 2 4 4" xfId="603"/>
    <cellStyle name="メモ 2 4 4 2" xfId="604"/>
    <cellStyle name="メモ 2 4 5" xfId="605"/>
    <cellStyle name="メモ 2 4 5 2" xfId="606"/>
    <cellStyle name="メモ 2 4 6" xfId="607"/>
    <cellStyle name="メモ 2 4 6 2" xfId="608"/>
    <cellStyle name="メモ 2 4 7" xfId="609"/>
    <cellStyle name="メモ 2 4 7 2" xfId="610"/>
    <cellStyle name="メモ 2 4 8" xfId="611"/>
    <cellStyle name="メモ 2 5" xfId="612"/>
    <cellStyle name="メモ 2 5 2" xfId="613"/>
    <cellStyle name="メモ 2 5 2 2" xfId="614"/>
    <cellStyle name="メモ 2 5 2 2 2" xfId="615"/>
    <cellStyle name="メモ 2 5 2 3" xfId="616"/>
    <cellStyle name="メモ 2 5 2 3 2" xfId="617"/>
    <cellStyle name="メモ 2 5 2 4" xfId="618"/>
    <cellStyle name="メモ 2 5 2 4 2" xfId="619"/>
    <cellStyle name="メモ 2 5 2 5" xfId="620"/>
    <cellStyle name="メモ 2 5 2 5 2" xfId="621"/>
    <cellStyle name="メモ 2 5 2 6" xfId="622"/>
    <cellStyle name="メモ 2 5 2 6 2" xfId="623"/>
    <cellStyle name="メモ 2 5 2 7" xfId="624"/>
    <cellStyle name="メモ 2 5 3" xfId="625"/>
    <cellStyle name="メモ 2 5 3 2" xfId="626"/>
    <cellStyle name="メモ 2 5 4" xfId="627"/>
    <cellStyle name="メモ 2 5 4 2" xfId="628"/>
    <cellStyle name="メモ 2 5 5" xfId="629"/>
    <cellStyle name="メモ 2 5 5 2" xfId="630"/>
    <cellStyle name="メモ 2 5 6" xfId="631"/>
    <cellStyle name="メモ 2 5 6 2" xfId="632"/>
    <cellStyle name="メモ 2 5 7" xfId="633"/>
    <cellStyle name="メモ 2 5 7 2" xfId="634"/>
    <cellStyle name="メモ 2 5 8" xfId="635"/>
    <cellStyle name="メモ 2 6" xfId="636"/>
    <cellStyle name="メモ 2 6 2" xfId="637"/>
    <cellStyle name="メモ 2 6 2 2" xfId="638"/>
    <cellStyle name="メモ 2 6 2 2 2" xfId="639"/>
    <cellStyle name="メモ 2 6 2 3" xfId="640"/>
    <cellStyle name="メモ 2 6 2 3 2" xfId="641"/>
    <cellStyle name="メモ 2 6 2 4" xfId="642"/>
    <cellStyle name="メモ 2 6 2 4 2" xfId="643"/>
    <cellStyle name="メモ 2 6 2 5" xfId="644"/>
    <cellStyle name="メモ 2 6 2 5 2" xfId="645"/>
    <cellStyle name="メモ 2 6 2 6" xfId="646"/>
    <cellStyle name="メモ 2 6 2 6 2" xfId="647"/>
    <cellStyle name="メモ 2 6 2 7" xfId="648"/>
    <cellStyle name="メモ 2 6 3" xfId="649"/>
    <cellStyle name="メモ 2 6 3 2" xfId="650"/>
    <cellStyle name="メモ 2 6 4" xfId="651"/>
    <cellStyle name="メモ 2 6 4 2" xfId="652"/>
    <cellStyle name="メモ 2 6 5" xfId="653"/>
    <cellStyle name="メモ 2 6 5 2" xfId="654"/>
    <cellStyle name="メモ 2 6 6" xfId="655"/>
    <cellStyle name="メモ 2 6 6 2" xfId="656"/>
    <cellStyle name="メモ 2 6 7" xfId="657"/>
    <cellStyle name="メモ 2 6 7 2" xfId="658"/>
    <cellStyle name="メモ 2 6 8" xfId="659"/>
    <cellStyle name="メモ 2 7" xfId="660"/>
    <cellStyle name="メモ 2 7 2" xfId="661"/>
    <cellStyle name="メモ 2 7 2 2" xfId="662"/>
    <cellStyle name="メモ 2 7 3" xfId="663"/>
    <cellStyle name="メモ 2 7 3 2" xfId="664"/>
    <cellStyle name="メモ 2 7 4" xfId="665"/>
    <cellStyle name="メモ 2 7 4 2" xfId="666"/>
    <cellStyle name="メモ 2 7 5" xfId="667"/>
    <cellStyle name="メモ 2 7 5 2" xfId="668"/>
    <cellStyle name="メモ 2 7 6" xfId="669"/>
    <cellStyle name="メモ 2 7 6 2" xfId="670"/>
    <cellStyle name="メモ 2 7 7" xfId="671"/>
    <cellStyle name="メモ 2 8" xfId="672"/>
    <cellStyle name="メモ 2 8 2" xfId="673"/>
    <cellStyle name="メモ 3" xfId="674"/>
    <cellStyle name="メモ 3 2" xfId="675"/>
    <cellStyle name="メモ 3 2 2" xfId="676"/>
    <cellStyle name="メモ 3 2 2 2" xfId="677"/>
    <cellStyle name="メモ 3 2 3" xfId="678"/>
    <cellStyle name="メモ 3 2 3 2" xfId="679"/>
    <cellStyle name="メモ 3 2 4" xfId="680"/>
    <cellStyle name="メモ 3 2 4 2" xfId="681"/>
    <cellStyle name="メモ 3 2 5" xfId="682"/>
    <cellStyle name="メモ 3 2 5 2" xfId="683"/>
    <cellStyle name="メモ 3 2 6" xfId="684"/>
    <cellStyle name="メモ 3 2 6 2" xfId="685"/>
    <cellStyle name="メモ 3 2 7" xfId="686"/>
    <cellStyle name="メモ 3 3" xfId="687"/>
    <cellStyle name="メモ 3 3 2" xfId="688"/>
    <cellStyle name="メモ 3 4" xfId="689"/>
    <cellStyle name="メモ 3 5" xfId="690"/>
    <cellStyle name="メモ 4" xfId="691"/>
    <cellStyle name="メモ 4 2" xfId="692"/>
    <cellStyle name="メモ 4 2 2" xfId="693"/>
    <cellStyle name="メモ 4 2 2 2" xfId="694"/>
    <cellStyle name="メモ 4 2 3" xfId="695"/>
    <cellStyle name="メモ 4 2 3 2" xfId="696"/>
    <cellStyle name="メモ 4 2 4" xfId="697"/>
    <cellStyle name="メモ 4 2 4 2" xfId="698"/>
    <cellStyle name="メモ 4 2 5" xfId="699"/>
    <cellStyle name="メモ 4 2 5 2" xfId="700"/>
    <cellStyle name="メモ 4 2 6" xfId="701"/>
    <cellStyle name="メモ 4 2 6 2" xfId="702"/>
    <cellStyle name="メモ 4 2 7" xfId="703"/>
    <cellStyle name="メモ 4 3" xfId="704"/>
    <cellStyle name="メモ 4 3 2" xfId="705"/>
    <cellStyle name="メモ 4 4" xfId="706"/>
    <cellStyle name="メモ 5" xfId="707"/>
    <cellStyle name="メモ 5 2" xfId="708"/>
    <cellStyle name="メモ 5 2 2" xfId="709"/>
    <cellStyle name="メモ 5 3" xfId="710"/>
    <cellStyle name="メモ 5 3 2" xfId="711"/>
    <cellStyle name="メモ 5 4" xfId="712"/>
    <cellStyle name="メモ 5 4 2" xfId="713"/>
    <cellStyle name="メモ 5 5" xfId="714"/>
    <cellStyle name="メモ 5 5 2" xfId="715"/>
    <cellStyle name="メモ 5 6" xfId="716"/>
    <cellStyle name="メモ 5 6 2" xfId="717"/>
    <cellStyle name="メモ 5 7" xfId="718"/>
    <cellStyle name="メモ 5 7 2" xfId="719"/>
    <cellStyle name="メモ 6" xfId="720"/>
    <cellStyle name="メモ 7" xfId="721"/>
    <cellStyle name="メモ 8" xfId="722"/>
    <cellStyle name="メモ 9" xfId="723"/>
    <cellStyle builtinId="24" customBuiltin="1" name="リンク セル" xfId="1949"/>
    <cellStyle name="リンク セル 2" xfId="724"/>
    <cellStyle name="リンク セル 3" xfId="725"/>
    <cellStyle name="リンク セル 4" xfId="726"/>
    <cellStyle name="リンク セル 5" xfId="727"/>
    <cellStyle name="リンク セル 6" xfId="728"/>
    <cellStyle name="リンク セル 7" xfId="729"/>
    <cellStyle name="リンク セル 8" xfId="730"/>
    <cellStyle name="リンク セル 9" xfId="731"/>
    <cellStyle name="_x001d_・_x000c_ﾏ・_x000d_ﾂ・_x0001__x0016__x0011_F5_x0007__x0001__x0001_" xfId="7"/>
    <cellStyle name="_x001d_・_x000c_ﾏ・_x000d_ﾂ・_x0001__x0016__x0011_F5_x0007__x0001__x0001_ 2" xfId="732"/>
    <cellStyle name="_x001d_・_x000c_ﾏ・_x000d_ﾂ・_x0001__x0016__x0011_F5_x0007__x0001__x0001_ 2 2" xfId="733"/>
    <cellStyle name="_x001d_・_x000c_ﾏ・_x000d_ﾂ・_x0001__x0016__x0011_F5_x0007__x0001__x0001_ 2 2 2" xfId="734"/>
    <cellStyle name="_x001d_・_x000c_ﾏ・_x000d_ﾂ・_x0001__x0016__x0011_F5_x0007__x0001__x0001_ 2 3" xfId="735"/>
    <cellStyle name="_x001d_・_x000c_ﾏ・_x000d_ﾂ・_x0001__x0016__x0011_F5_x0007__x0001__x0001_ 3" xfId="736"/>
    <cellStyle name="_x001d_・_x000c_ﾏ・_x000d_ﾂ・_x0001__x0016__x0011_F5_x0007__x0001__x0001_ 3 2" xfId="737"/>
    <cellStyle builtinId="27" customBuiltin="1" name="悪い" xfId="1944"/>
    <cellStyle name="悪い 2" xfId="738"/>
    <cellStyle name="悪い 3" xfId="739"/>
    <cellStyle name="悪い 4" xfId="740"/>
    <cellStyle name="悪い 5" xfId="741"/>
    <cellStyle name="悪い 6" xfId="742"/>
    <cellStyle name="悪い 7" xfId="743"/>
    <cellStyle name="悪い 8" xfId="744"/>
    <cellStyle name="悪い 9" xfId="745"/>
    <cellStyle builtinId="22" customBuiltin="1" name="計算" xfId="1948"/>
    <cellStyle name="計算 2" xfId="746"/>
    <cellStyle name="計算 2 2" xfId="747"/>
    <cellStyle name="計算 2 2 2" xfId="748"/>
    <cellStyle name="計算 2 2 2 2" xfId="749"/>
    <cellStyle name="計算 2 2 2 2 2" xfId="750"/>
    <cellStyle name="計算 2 2 2 3" xfId="751"/>
    <cellStyle name="計算 2 2 2 3 2" xfId="752"/>
    <cellStyle name="計算 2 2 2 4" xfId="753"/>
    <cellStyle name="計算 2 2 2 4 2" xfId="754"/>
    <cellStyle name="計算 2 2 2 5" xfId="755"/>
    <cellStyle name="計算 2 2 2 5 2" xfId="756"/>
    <cellStyle name="計算 2 2 2 6" xfId="757"/>
    <cellStyle name="計算 2 2 2 6 2" xfId="758"/>
    <cellStyle name="計算 2 2 2 7" xfId="759"/>
    <cellStyle name="計算 2 2 3" xfId="760"/>
    <cellStyle name="計算 2 2 3 2" xfId="761"/>
    <cellStyle name="計算 2 2 4" xfId="762"/>
    <cellStyle name="計算 2 3" xfId="763"/>
    <cellStyle name="計算 2 3 2" xfId="764"/>
    <cellStyle name="計算 2 3 2 2" xfId="765"/>
    <cellStyle name="計算 2 3 3" xfId="766"/>
    <cellStyle name="計算 2 3 3 2" xfId="767"/>
    <cellStyle name="計算 2 3 4" xfId="768"/>
    <cellStyle name="計算 2 3 4 2" xfId="769"/>
    <cellStyle name="計算 2 3 5" xfId="770"/>
    <cellStyle name="計算 2 3 5 2" xfId="771"/>
    <cellStyle name="計算 2 3 6" xfId="772"/>
    <cellStyle name="計算 2 3 6 2" xfId="773"/>
    <cellStyle name="計算 2 3 7" xfId="774"/>
    <cellStyle name="計算 2 4" xfId="775"/>
    <cellStyle name="計算 2 4 2" xfId="776"/>
    <cellStyle name="計算 2 5" xfId="777"/>
    <cellStyle name="計算 3" xfId="778"/>
    <cellStyle name="計算 3 2" xfId="779"/>
    <cellStyle name="計算 3 2 2" xfId="780"/>
    <cellStyle name="計算 3 2 2 2" xfId="781"/>
    <cellStyle name="計算 3 2 3" xfId="782"/>
    <cellStyle name="計算 3 2 3 2" xfId="783"/>
    <cellStyle name="計算 3 2 4" xfId="784"/>
    <cellStyle name="計算 3 2 4 2" xfId="785"/>
    <cellStyle name="計算 3 2 5" xfId="786"/>
    <cellStyle name="計算 3 2 5 2" xfId="787"/>
    <cellStyle name="計算 3 2 6" xfId="788"/>
    <cellStyle name="計算 3 2 6 2" xfId="789"/>
    <cellStyle name="計算 3 2 7" xfId="790"/>
    <cellStyle name="計算 3 3" xfId="791"/>
    <cellStyle name="計算 3 3 2" xfId="792"/>
    <cellStyle name="計算 3 4" xfId="793"/>
    <cellStyle name="計算 4" xfId="794"/>
    <cellStyle name="計算 4 2" xfId="795"/>
    <cellStyle name="計算 4 2 2" xfId="796"/>
    <cellStyle name="計算 4 3" xfId="797"/>
    <cellStyle name="計算 4 3 2" xfId="798"/>
    <cellStyle name="計算 4 4" xfId="799"/>
    <cellStyle name="計算 4 4 2" xfId="800"/>
    <cellStyle name="計算 4 5" xfId="801"/>
    <cellStyle name="計算 4 5 2" xfId="802"/>
    <cellStyle name="計算 4 6" xfId="803"/>
    <cellStyle name="計算 4 6 2" xfId="804"/>
    <cellStyle name="計算 4 7" xfId="805"/>
    <cellStyle name="計算 5" xfId="806"/>
    <cellStyle name="計算 6" xfId="807"/>
    <cellStyle name="計算 7" xfId="808"/>
    <cellStyle name="計算 8" xfId="809"/>
    <cellStyle name="計算 9" xfId="810"/>
    <cellStyle builtinId="11" customBuiltin="1" name="警告文" xfId="1951"/>
    <cellStyle name="警告文 2" xfId="811"/>
    <cellStyle name="警告文 3" xfId="812"/>
    <cellStyle name="警告文 4" xfId="813"/>
    <cellStyle name="警告文 5" xfId="814"/>
    <cellStyle name="警告文 6" xfId="815"/>
    <cellStyle name="警告文 7" xfId="816"/>
    <cellStyle name="警告文 8" xfId="817"/>
    <cellStyle name="警告文 9" xfId="818"/>
    <cellStyle name="桁蟻唇Ｆ [0.00]_laroux" xfId="819"/>
    <cellStyle name="桁蟻唇Ｆ_A°DAU±ATIsA" xfId="820"/>
    <cellStyle name="桁区切り 2" xfId="1"/>
    <cellStyle name="桁区切り 2 2" xfId="821"/>
    <cellStyle name="桁区切り 2 2 2" xfId="822"/>
    <cellStyle name="桁区切り 2 3" xfId="823"/>
    <cellStyle name="桁区切り 2 4" xfId="824"/>
    <cellStyle name="桁区切り 2 4 2" xfId="825"/>
    <cellStyle name="桁区切り 2 4 3" xfId="826"/>
    <cellStyle name="桁区切り 2 5" xfId="827"/>
    <cellStyle name="桁区切り 2 5 2" xfId="828"/>
    <cellStyle name="桁区切り 2 5 3" xfId="829"/>
    <cellStyle name="桁区切り 2 6" xfId="830"/>
    <cellStyle name="桁区切り 2_バックアップセンタ_切替テストスケジュール_20120406~10" xfId="831"/>
    <cellStyle name="桁区切り 3" xfId="832"/>
    <cellStyle name="桁区切り 3 2" xfId="833"/>
    <cellStyle name="桁区切り 3 2 2" xfId="834"/>
    <cellStyle name="桁区切り 3 2 3" xfId="835"/>
    <cellStyle name="桁区切り 3 3" xfId="836"/>
    <cellStyle name="桁区切り 4" xfId="837"/>
    <cellStyle name="桁区切り 4 2" xfId="838"/>
    <cellStyle name="桁区切り 4 2 2" xfId="839"/>
    <cellStyle name="桁区切り 4 2 3" xfId="840"/>
    <cellStyle name="桁区切り 4 3" xfId="841"/>
    <cellStyle name="桁区切り 4 4" xfId="842"/>
    <cellStyle name="桁区切り 5" xfId="843"/>
    <cellStyle name="桁区切り 5 2" xfId="844"/>
    <cellStyle name="桁区切り 5 3" xfId="845"/>
    <cellStyle name="桁区切り 6" xfId="846"/>
    <cellStyle builtinId="16" customBuiltin="1" name="見出し 1" xfId="1939"/>
    <cellStyle name="見出し 1 2" xfId="847"/>
    <cellStyle name="見出し 1 3" xfId="848"/>
    <cellStyle name="見出し 1 4" xfId="849"/>
    <cellStyle name="見出し 1 5" xfId="850"/>
    <cellStyle name="見出し 1 6" xfId="851"/>
    <cellStyle name="見出し 1 7" xfId="852"/>
    <cellStyle name="見出し 1 8" xfId="853"/>
    <cellStyle name="見出し 1 9" xfId="854"/>
    <cellStyle builtinId="17" customBuiltin="1" name="見出し 2" xfId="1940"/>
    <cellStyle name="見出し 2 2" xfId="855"/>
    <cellStyle name="見出し 2 3" xfId="856"/>
    <cellStyle name="見出し 2 4" xfId="857"/>
    <cellStyle name="見出し 2 5" xfId="858"/>
    <cellStyle name="見出し 2 6" xfId="859"/>
    <cellStyle name="見出し 2 7" xfId="860"/>
    <cellStyle name="見出し 2 8" xfId="861"/>
    <cellStyle name="見出し 2 9" xfId="862"/>
    <cellStyle builtinId="18" customBuiltin="1" name="見出し 3" xfId="1941"/>
    <cellStyle name="見出し 3 2" xfId="863"/>
    <cellStyle name="見出し 3 3" xfId="864"/>
    <cellStyle name="見出し 3 4" xfId="865"/>
    <cellStyle name="見出し 3 5" xfId="866"/>
    <cellStyle name="見出し 3 6" xfId="867"/>
    <cellStyle name="見出し 3 7" xfId="868"/>
    <cellStyle name="見出し 3 8" xfId="869"/>
    <cellStyle name="見出し 3 9" xfId="870"/>
    <cellStyle builtinId="19" customBuiltin="1" name="見出し 4" xfId="1942"/>
    <cellStyle name="見出し 4 2" xfId="871"/>
    <cellStyle name="見出し 4 3" xfId="872"/>
    <cellStyle name="見出し 4 4" xfId="873"/>
    <cellStyle name="見出し 4 5" xfId="874"/>
    <cellStyle name="見出し 4 6" xfId="875"/>
    <cellStyle name="見出し 4 7" xfId="876"/>
    <cellStyle name="見出し 4 8" xfId="877"/>
    <cellStyle name="見出し 4 9" xfId="878"/>
    <cellStyle name="構成図作成用" xfId="879"/>
    <cellStyle name="取り消し" xfId="8"/>
    <cellStyle builtinId="25" customBuiltin="1" name="集計" xfId="1953"/>
    <cellStyle name="集計 2" xfId="880"/>
    <cellStyle name="集計 2 2" xfId="881"/>
    <cellStyle name="集計 2 2 2" xfId="882"/>
    <cellStyle name="集計 2 2 2 2" xfId="883"/>
    <cellStyle name="集計 2 2 2 2 2" xfId="884"/>
    <cellStyle name="集計 2 2 2 3" xfId="885"/>
    <cellStyle name="集計 2 2 2 3 2" xfId="886"/>
    <cellStyle name="集計 2 2 2 4" xfId="887"/>
    <cellStyle name="集計 2 2 2 4 2" xfId="888"/>
    <cellStyle name="集計 2 2 2 5" xfId="889"/>
    <cellStyle name="集計 2 2 2 5 2" xfId="890"/>
    <cellStyle name="集計 2 2 2 6" xfId="891"/>
    <cellStyle name="集計 2 2 2 6 2" xfId="892"/>
    <cellStyle name="集計 2 2 2 7" xfId="893"/>
    <cellStyle name="集計 2 2 3" xfId="894"/>
    <cellStyle name="集計 2 2 3 2" xfId="895"/>
    <cellStyle name="集計 2 3" xfId="896"/>
    <cellStyle name="集計 2 3 2" xfId="897"/>
    <cellStyle name="集計 2 3 2 2" xfId="898"/>
    <cellStyle name="集計 2 3 3" xfId="899"/>
    <cellStyle name="集計 2 3 3 2" xfId="900"/>
    <cellStyle name="集計 2 3 4" xfId="901"/>
    <cellStyle name="集計 2 3 4 2" xfId="902"/>
    <cellStyle name="集計 2 3 5" xfId="903"/>
    <cellStyle name="集計 2 3 5 2" xfId="904"/>
    <cellStyle name="集計 2 3 6" xfId="905"/>
    <cellStyle name="集計 2 3 6 2" xfId="906"/>
    <cellStyle name="集計 2 3 7" xfId="907"/>
    <cellStyle name="集計 2 4" xfId="908"/>
    <cellStyle name="集計 2 4 2" xfId="909"/>
    <cellStyle name="集計 3" xfId="910"/>
    <cellStyle name="集計 3 2" xfId="911"/>
    <cellStyle name="集計 3 2 2" xfId="912"/>
    <cellStyle name="集計 3 2 2 2" xfId="913"/>
    <cellStyle name="集計 3 2 3" xfId="914"/>
    <cellStyle name="集計 3 2 3 2" xfId="915"/>
    <cellStyle name="集計 3 2 4" xfId="916"/>
    <cellStyle name="集計 3 2 4 2" xfId="917"/>
    <cellStyle name="集計 3 2 5" xfId="918"/>
    <cellStyle name="集計 3 2 5 2" xfId="919"/>
    <cellStyle name="集計 3 2 6" xfId="920"/>
    <cellStyle name="集計 3 2 6 2" xfId="921"/>
    <cellStyle name="集計 3 2 7" xfId="922"/>
    <cellStyle name="集計 3 3" xfId="923"/>
    <cellStyle name="集計 3 3 2" xfId="924"/>
    <cellStyle name="集計 3 4" xfId="925"/>
    <cellStyle name="集計 4" xfId="926"/>
    <cellStyle name="集計 4 2" xfId="927"/>
    <cellStyle name="集計 4 2 2" xfId="928"/>
    <cellStyle name="集計 4 3" xfId="929"/>
    <cellStyle name="集計 4 3 2" xfId="930"/>
    <cellStyle name="集計 4 4" xfId="931"/>
    <cellStyle name="集計 4 4 2" xfId="932"/>
    <cellStyle name="集計 4 5" xfId="933"/>
    <cellStyle name="集計 4 5 2" xfId="934"/>
    <cellStyle name="集計 4 6" xfId="935"/>
    <cellStyle name="集計 4 6 2" xfId="936"/>
    <cellStyle name="集計 4 7" xfId="937"/>
    <cellStyle name="集計 5" xfId="938"/>
    <cellStyle name="集計 6" xfId="939"/>
    <cellStyle name="集計 7" xfId="940"/>
    <cellStyle name="集計 8" xfId="941"/>
    <cellStyle name="集計 9" xfId="942"/>
    <cellStyle builtinId="21" customBuiltin="1" name="出力" xfId="1947"/>
    <cellStyle name="出力 2" xfId="943"/>
    <cellStyle name="出力 2 2" xfId="944"/>
    <cellStyle name="出力 2 2 2" xfId="945"/>
    <cellStyle name="出力 2 2 2 2" xfId="946"/>
    <cellStyle name="出力 2 2 2 2 2" xfId="947"/>
    <cellStyle name="出力 2 2 2 3" xfId="948"/>
    <cellStyle name="出力 2 2 2 3 2" xfId="949"/>
    <cellStyle name="出力 2 2 2 4" xfId="950"/>
    <cellStyle name="出力 2 2 2 4 2" xfId="951"/>
    <cellStyle name="出力 2 2 2 5" xfId="952"/>
    <cellStyle name="出力 2 2 2 5 2" xfId="953"/>
    <cellStyle name="出力 2 2 2 6" xfId="954"/>
    <cellStyle name="出力 2 2 2 6 2" xfId="955"/>
    <cellStyle name="出力 2 2 2 7" xfId="956"/>
    <cellStyle name="出力 2 2 3" xfId="957"/>
    <cellStyle name="出力 2 2 3 2" xfId="958"/>
    <cellStyle name="出力 2 3" xfId="959"/>
    <cellStyle name="出力 2 3 2" xfId="960"/>
    <cellStyle name="出力 2 3 2 2" xfId="961"/>
    <cellStyle name="出力 2 3 3" xfId="962"/>
    <cellStyle name="出力 2 3 3 2" xfId="963"/>
    <cellStyle name="出力 2 3 4" xfId="964"/>
    <cellStyle name="出力 2 3 4 2" xfId="965"/>
    <cellStyle name="出力 2 3 5" xfId="966"/>
    <cellStyle name="出力 2 3 5 2" xfId="967"/>
    <cellStyle name="出力 2 3 6" xfId="968"/>
    <cellStyle name="出力 2 3 6 2" xfId="969"/>
    <cellStyle name="出力 2 3 7" xfId="970"/>
    <cellStyle name="出力 2 4" xfId="971"/>
    <cellStyle name="出力 2 4 2" xfId="972"/>
    <cellStyle name="出力 3" xfId="973"/>
    <cellStyle name="出力 3 2" xfId="974"/>
    <cellStyle name="出力 3 2 2" xfId="975"/>
    <cellStyle name="出力 3 2 2 2" xfId="976"/>
    <cellStyle name="出力 3 2 3" xfId="977"/>
    <cellStyle name="出力 3 2 3 2" xfId="978"/>
    <cellStyle name="出力 3 2 4" xfId="979"/>
    <cellStyle name="出力 3 2 4 2" xfId="980"/>
    <cellStyle name="出力 3 2 5" xfId="981"/>
    <cellStyle name="出力 3 2 5 2" xfId="982"/>
    <cellStyle name="出力 3 2 6" xfId="983"/>
    <cellStyle name="出力 3 2 6 2" xfId="984"/>
    <cellStyle name="出力 3 2 7" xfId="985"/>
    <cellStyle name="出力 3 3" xfId="986"/>
    <cellStyle name="出力 3 3 2" xfId="987"/>
    <cellStyle name="出力 3 4" xfId="988"/>
    <cellStyle name="出力 4" xfId="989"/>
    <cellStyle name="出力 4 2" xfId="990"/>
    <cellStyle name="出力 4 2 2" xfId="991"/>
    <cellStyle name="出力 4 3" xfId="992"/>
    <cellStyle name="出力 4 3 2" xfId="993"/>
    <cellStyle name="出力 4 4" xfId="994"/>
    <cellStyle name="出力 4 4 2" xfId="995"/>
    <cellStyle name="出力 4 5" xfId="996"/>
    <cellStyle name="出力 4 5 2" xfId="997"/>
    <cellStyle name="出力 4 6" xfId="998"/>
    <cellStyle name="出力 4 6 2" xfId="999"/>
    <cellStyle name="出力 4 7" xfId="1000"/>
    <cellStyle name="出力 5" xfId="1001"/>
    <cellStyle name="出力 6" xfId="1002"/>
    <cellStyle name="出力 7" xfId="1003"/>
    <cellStyle name="出力 8" xfId="1004"/>
    <cellStyle name="出力 9" xfId="1005"/>
    <cellStyle name="人月" xfId="1006"/>
    <cellStyle builtinId="53" customBuiltin="1" name="説明文" xfId="1952"/>
    <cellStyle name="説明文 2" xfId="1007"/>
    <cellStyle name="説明文 3" xfId="1008"/>
    <cellStyle name="説明文 4" xfId="1009"/>
    <cellStyle name="説明文 5" xfId="1010"/>
    <cellStyle name="説明文 6" xfId="1011"/>
    <cellStyle name="説明文 7" xfId="1012"/>
    <cellStyle name="説明文 8" xfId="1013"/>
    <cellStyle name="説明文 9" xfId="1014"/>
    <cellStyle name="脱浦 [0.00]_laroux" xfId="1015"/>
    <cellStyle name="脱浦_laroux" xfId="1016"/>
    <cellStyle name="通貨 [0.00" xfId="1017"/>
    <cellStyle name="通貨 [0.00 2" xfId="1018"/>
    <cellStyle name="通貨 [0.00 3" xfId="1019"/>
    <cellStyle name="通貨 [0.00 4" xfId="1020"/>
    <cellStyle name="通貨 [0.00 5" xfId="1021"/>
    <cellStyle name="通貨 [0.00 6" xfId="1022"/>
    <cellStyle name="通貨 2" xfId="1023"/>
    <cellStyle name="通貨 2 2" xfId="1024"/>
    <cellStyle name="通貨 2 2 2" xfId="1025"/>
    <cellStyle name="通貨 2 2 3" xfId="1026"/>
    <cellStyle name="通貨 2 3" xfId="1027"/>
    <cellStyle name="通貨 2 4" xfId="1028"/>
    <cellStyle name="通貨 2 5" xfId="1029"/>
    <cellStyle name="通貨 3" xfId="1030"/>
    <cellStyle builtinId="20" customBuiltin="1" name="入力" xfId="1946"/>
    <cellStyle name="入力 2" xfId="1031"/>
    <cellStyle name="入力 2 2" xfId="1032"/>
    <cellStyle name="入力 2 2 2" xfId="1033"/>
    <cellStyle name="入力 2 2 2 2" xfId="1034"/>
    <cellStyle name="入力 2 2 2 2 2" xfId="1035"/>
    <cellStyle name="入力 2 2 2 3" xfId="1036"/>
    <cellStyle name="入力 2 2 2 3 2" xfId="1037"/>
    <cellStyle name="入力 2 2 2 4" xfId="1038"/>
    <cellStyle name="入力 2 2 2 4 2" xfId="1039"/>
    <cellStyle name="入力 2 2 2 5" xfId="1040"/>
    <cellStyle name="入力 2 2 2 5 2" xfId="1041"/>
    <cellStyle name="入力 2 2 2 6" xfId="1042"/>
    <cellStyle name="入力 2 2 2 6 2" xfId="1043"/>
    <cellStyle name="入力 2 2 2 7" xfId="1044"/>
    <cellStyle name="入力 2 2 3" xfId="1045"/>
    <cellStyle name="入力 2 2 3 2" xfId="1046"/>
    <cellStyle name="入力 2 2 4" xfId="1047"/>
    <cellStyle name="入力 2 3" xfId="1048"/>
    <cellStyle name="入力 2 3 2" xfId="1049"/>
    <cellStyle name="入力 2 3 2 2" xfId="1050"/>
    <cellStyle name="入力 2 3 3" xfId="1051"/>
    <cellStyle name="入力 2 3 3 2" xfId="1052"/>
    <cellStyle name="入力 2 3 4" xfId="1053"/>
    <cellStyle name="入力 2 3 4 2" xfId="1054"/>
    <cellStyle name="入力 2 3 5" xfId="1055"/>
    <cellStyle name="入力 2 3 5 2" xfId="1056"/>
    <cellStyle name="入力 2 3 6" xfId="1057"/>
    <cellStyle name="入力 2 3 6 2" xfId="1058"/>
    <cellStyle name="入力 2 3 7" xfId="1059"/>
    <cellStyle name="入力 2 4" xfId="1060"/>
    <cellStyle name="入力 2 4 2" xfId="1061"/>
    <cellStyle name="入力 2 5" xfId="1062"/>
    <cellStyle name="入力 3" xfId="1063"/>
    <cellStyle name="入力 3 2" xfId="1064"/>
    <cellStyle name="入力 3 2 2" xfId="1065"/>
    <cellStyle name="入力 3 2 2 2" xfId="1066"/>
    <cellStyle name="入力 3 2 3" xfId="1067"/>
    <cellStyle name="入力 3 2 3 2" xfId="1068"/>
    <cellStyle name="入力 3 2 4" xfId="1069"/>
    <cellStyle name="入力 3 2 4 2" xfId="1070"/>
    <cellStyle name="入力 3 2 5" xfId="1071"/>
    <cellStyle name="入力 3 2 5 2" xfId="1072"/>
    <cellStyle name="入力 3 2 6" xfId="1073"/>
    <cellStyle name="入力 3 2 6 2" xfId="1074"/>
    <cellStyle name="入力 3 2 7" xfId="1075"/>
    <cellStyle name="入力 3 3" xfId="1076"/>
    <cellStyle name="入力 3 3 2" xfId="1077"/>
    <cellStyle name="入力 3 4" xfId="1078"/>
    <cellStyle name="入力 4" xfId="1079"/>
    <cellStyle name="入力 4 2" xfId="1080"/>
    <cellStyle name="入力 4 2 2" xfId="1081"/>
    <cellStyle name="入力 4 3" xfId="1082"/>
    <cellStyle name="入力 4 3 2" xfId="1083"/>
    <cellStyle name="入力 4 4" xfId="1084"/>
    <cellStyle name="入力 4 4 2" xfId="1085"/>
    <cellStyle name="入力 4 5" xfId="1086"/>
    <cellStyle name="入力 4 5 2" xfId="1087"/>
    <cellStyle name="入力 4 6" xfId="1088"/>
    <cellStyle name="入力 4 6 2" xfId="1089"/>
    <cellStyle name="入力 4 7" xfId="1090"/>
    <cellStyle name="入力 5" xfId="1091"/>
    <cellStyle name="入力 6" xfId="1092"/>
    <cellStyle name="入力 7" xfId="1093"/>
    <cellStyle name="入力 8" xfId="1094"/>
    <cellStyle name="入力 9" xfId="1095"/>
    <cellStyle builtinId="0" name="標準" xfId="0"/>
    <cellStyle name="標準 10" xfId="1096"/>
    <cellStyle name="標準 10 2" xfId="1097"/>
    <cellStyle name="標準 10 3" xfId="14"/>
    <cellStyle name="標準 10 4" xfId="1098"/>
    <cellStyle name="標準 10 5" xfId="1099"/>
    <cellStyle name="標準 100" xfId="1100"/>
    <cellStyle name="標準 100 2" xfId="1101"/>
    <cellStyle name="標準 100 2 2" xfId="1102"/>
    <cellStyle name="標準 100 2 2 2" xfId="1103"/>
    <cellStyle name="標準 100 2 2 3" xfId="1104"/>
    <cellStyle name="標準 100 2 2 4" xfId="1105"/>
    <cellStyle name="標準 100 2 3" xfId="1106"/>
    <cellStyle name="標準 100 2 4" xfId="1107"/>
    <cellStyle name="標準 100 2 5" xfId="1108"/>
    <cellStyle name="標準 100 3" xfId="1109"/>
    <cellStyle name="標準 100 3 2" xfId="1110"/>
    <cellStyle name="標準 100 3 3" xfId="1111"/>
    <cellStyle name="標準 100 3 4" xfId="1112"/>
    <cellStyle name="標準 100 4" xfId="1113"/>
    <cellStyle name="標準 100 5" xfId="1114"/>
    <cellStyle name="標準 100 6" xfId="1115"/>
    <cellStyle name="標準 101" xfId="1116"/>
    <cellStyle name="標準 102" xfId="1117"/>
    <cellStyle name="標準 102 2" xfId="1118"/>
    <cellStyle name="標準 102 2 2" xfId="1119"/>
    <cellStyle name="標準 102 2 3" xfId="1120"/>
    <cellStyle name="標準 102 2 4" xfId="1121"/>
    <cellStyle name="標準 102 3" xfId="1122"/>
    <cellStyle name="標準 102 4" xfId="1123"/>
    <cellStyle name="標準 102 5" xfId="1124"/>
    <cellStyle name="標準 103" xfId="1125"/>
    <cellStyle name="標準 104" xfId="1126"/>
    <cellStyle name="標準 104 2" xfId="1127"/>
    <cellStyle name="標準 104 3" xfId="1128"/>
    <cellStyle name="標準 104 4" xfId="1129"/>
    <cellStyle name="標準 105" xfId="1130"/>
    <cellStyle name="標準 106" xfId="1131"/>
    <cellStyle name="標準 107" xfId="1132"/>
    <cellStyle name="標準 108" xfId="1133"/>
    <cellStyle name="標準 109" xfId="1134"/>
    <cellStyle name="標準 11" xfId="1135"/>
    <cellStyle name="標準 11 2" xfId="1136"/>
    <cellStyle name="標準 11 3" xfId="1137"/>
    <cellStyle name="標準 110" xfId="1138"/>
    <cellStyle name="標準 111" xfId="1139"/>
    <cellStyle name="標準 112" xfId="1140"/>
    <cellStyle name="標準 113" xfId="1141"/>
    <cellStyle name="標準 114" xfId="1142"/>
    <cellStyle name="標準 115" xfId="1143"/>
    <cellStyle name="標準 116" xfId="1144"/>
    <cellStyle name="標準 117" xfId="1145"/>
    <cellStyle name="標準 118" xfId="1146"/>
    <cellStyle name="標準 119" xfId="1147"/>
    <cellStyle name="標準 12" xfId="1148"/>
    <cellStyle name="標準 12 2" xfId="1149"/>
    <cellStyle name="標準 12 2 2" xfId="1150"/>
    <cellStyle name="標準 12 2 3" xfId="1151"/>
    <cellStyle name="標準 12 3" xfId="1152"/>
    <cellStyle name="標準 12 3 2" xfId="1153"/>
    <cellStyle name="標準 12 3 3" xfId="1154"/>
    <cellStyle name="標準 120" xfId="1155"/>
    <cellStyle name="標準 121" xfId="1156"/>
    <cellStyle name="標準 122" xfId="1157"/>
    <cellStyle name="標準 123" xfId="1158"/>
    <cellStyle name="標準 124" xfId="1159"/>
    <cellStyle name="標準 125" xfId="1160"/>
    <cellStyle name="標準 126" xfId="1161"/>
    <cellStyle name="標準 127" xfId="1162"/>
    <cellStyle name="標準 128" xfId="1163"/>
    <cellStyle name="標準 129" xfId="1164"/>
    <cellStyle name="標準 13" xfId="1165"/>
    <cellStyle name="標準 13 2" xfId="1166"/>
    <cellStyle name="標準 13 3" xfId="1167"/>
    <cellStyle name="標準 13 4" xfId="1168"/>
    <cellStyle name="標準 13 5" xfId="1169"/>
    <cellStyle name="標準 130" xfId="1170"/>
    <cellStyle name="標準 131" xfId="1171"/>
    <cellStyle name="標準 132" xfId="1937"/>
    <cellStyle name="標準 133" xfId="1978"/>
    <cellStyle name="標準 133 2" xfId="1993"/>
    <cellStyle name="標準 136" xfId="1172"/>
    <cellStyle name="標準 14" xfId="1173"/>
    <cellStyle name="標準 14 2" xfId="1174"/>
    <cellStyle name="標準 14 2 2" xfId="1175"/>
    <cellStyle name="標準 14 2 3" xfId="1176"/>
    <cellStyle name="標準 14 3" xfId="1177"/>
    <cellStyle name="標準 14 4" xfId="1178"/>
    <cellStyle name="標準 15" xfId="1179"/>
    <cellStyle name="標準 15 2" xfId="1180"/>
    <cellStyle name="標準 15 2 2" xfId="1181"/>
    <cellStyle name="標準 15 2 3" xfId="1182"/>
    <cellStyle name="標準 15 3" xfId="1183"/>
    <cellStyle name="標準 15 4" xfId="1184"/>
    <cellStyle name="標準 15 5" xfId="1185"/>
    <cellStyle name="標準 15 6" xfId="1186"/>
    <cellStyle name="標準 16" xfId="1187"/>
    <cellStyle name="標準 16 2" xfId="1188"/>
    <cellStyle name="標準 16 2 2" xfId="1189"/>
    <cellStyle name="標準 16 2 3" xfId="1190"/>
    <cellStyle name="標準 16 3" xfId="1191"/>
    <cellStyle name="標準 16 4" xfId="1192"/>
    <cellStyle name="標準 16 5" xfId="1193"/>
    <cellStyle name="標準 17" xfId="1194"/>
    <cellStyle name="標準 17 2" xfId="1195"/>
    <cellStyle name="標準 17 2 2" xfId="1196"/>
    <cellStyle name="標準 17 2 3" xfId="1197"/>
    <cellStyle name="標準 17 3" xfId="1198"/>
    <cellStyle name="標準 17 4" xfId="1199"/>
    <cellStyle name="標準 17 5" xfId="1200"/>
    <cellStyle name="標準 18" xfId="1201"/>
    <cellStyle name="標準 18 2" xfId="1202"/>
    <cellStyle name="標準 18 2 2" xfId="1203"/>
    <cellStyle name="標準 18 2 3" xfId="1204"/>
    <cellStyle name="標準 18 2 4" xfId="1205"/>
    <cellStyle name="標準 18 3" xfId="1206"/>
    <cellStyle name="標準 18 4" xfId="1207"/>
    <cellStyle name="標準 18 5" xfId="1208"/>
    <cellStyle name="標準 18 6" xfId="1209"/>
    <cellStyle name="標準 19" xfId="1210"/>
    <cellStyle name="標準 19 2" xfId="1211"/>
    <cellStyle name="標準 19 3" xfId="1212"/>
    <cellStyle name="標準 2" xfId="9"/>
    <cellStyle name="標準 2 10" xfId="1213"/>
    <cellStyle name="標準 2 11" xfId="1214"/>
    <cellStyle name="標準 2 12" xfId="1215"/>
    <cellStyle name="標準 2 13" xfId="1216"/>
    <cellStyle name="標準 2 2" xfId="10"/>
    <cellStyle name="標準 2 2 2" xfId="1217"/>
    <cellStyle name="標準 2 2 2 2" xfId="1218"/>
    <cellStyle name="標準 2 2 2 2 2" xfId="1219"/>
    <cellStyle name="標準 2 2 2 2 3" xfId="1220"/>
    <cellStyle name="標準 2 2 2 3" xfId="1221"/>
    <cellStyle name="標準 2 2 3" xfId="1222"/>
    <cellStyle name="標準 2 2 3 2" xfId="1223"/>
    <cellStyle name="標準 2 2 3 3" xfId="1224"/>
    <cellStyle name="標準 2 2 4" xfId="1225"/>
    <cellStyle name="標準 2 2 4 2" xfId="1226"/>
    <cellStyle name="標準 2 2 4 3" xfId="1227"/>
    <cellStyle name="標準 2 2 5" xfId="1228"/>
    <cellStyle name="標準 2 2 5 2" xfId="1229"/>
    <cellStyle name="標準 2 2 5 3" xfId="1230"/>
    <cellStyle name="標準 2 2 6" xfId="1231"/>
    <cellStyle name="標準 2 2 6 2" xfId="1232"/>
    <cellStyle name="標準 2 2 6 3" xfId="1233"/>
    <cellStyle name="標準 2 2 7" xfId="1234"/>
    <cellStyle name="標準 2 2 8" xfId="1235"/>
    <cellStyle name="標準 2 2_(別紙1)参加者テスト仕様書(JPN)_ver1.81" xfId="1236"/>
    <cellStyle name="標準 2 3" xfId="13"/>
    <cellStyle name="標準 2 3 2" xfId="1237"/>
    <cellStyle name="標準 2 3 2 2" xfId="1238"/>
    <cellStyle name="標準 2 3 3" xfId="1239"/>
    <cellStyle name="標準 2 3 3 2" xfId="1240"/>
    <cellStyle name="標準 2 3 3 3" xfId="1241"/>
    <cellStyle name="標準 2 3 4" xfId="1242"/>
    <cellStyle name="標準 2 4" xfId="1243"/>
    <cellStyle name="標準 2 4 2" xfId="1244"/>
    <cellStyle name="標準 2 4 2 2" xfId="1245"/>
    <cellStyle name="標準 2 4 3" xfId="1246"/>
    <cellStyle name="標準 2 5" xfId="1247"/>
    <cellStyle name="標準 2 5 2" xfId="1248"/>
    <cellStyle name="標準 2 5 3" xfId="1249"/>
    <cellStyle name="標準 2 6" xfId="1250"/>
    <cellStyle name="標準 2 6 2" xfId="1251"/>
    <cellStyle name="標準 2 6 3" xfId="1252"/>
    <cellStyle name="標準 2 6 4" xfId="1253"/>
    <cellStyle name="標準 2 7" xfId="1254"/>
    <cellStyle name="標準 2 7 2" xfId="1255"/>
    <cellStyle name="標準 2 8" xfId="1256"/>
    <cellStyle name="標準 2 8 2" xfId="1257"/>
    <cellStyle name="標準 2 9" xfId="1258"/>
    <cellStyle name="標準 2_(別紙1)参加者テスト仕様書(JPN)_ver1.81" xfId="1259"/>
    <cellStyle name="標準 20" xfId="1260"/>
    <cellStyle name="標準 20 2" xfId="1261"/>
    <cellStyle name="標準 20 3" xfId="1262"/>
    <cellStyle name="標準 20 4" xfId="1263"/>
    <cellStyle name="標準 20 5" xfId="1264"/>
    <cellStyle name="標準 21" xfId="1265"/>
    <cellStyle name="標準 21 2" xfId="1266"/>
    <cellStyle name="標準 21 2 2" xfId="1267"/>
    <cellStyle name="標準 21 3" xfId="1268"/>
    <cellStyle name="標準 21 3 2" xfId="1269"/>
    <cellStyle name="標準 21 4" xfId="1270"/>
    <cellStyle name="標準 21 5" xfId="1271"/>
    <cellStyle name="標準 22" xfId="1272"/>
    <cellStyle name="標準 22 2" xfId="1273"/>
    <cellStyle name="標準 22 3" xfId="1274"/>
    <cellStyle name="標準 23" xfId="1275"/>
    <cellStyle name="標準 23 2" xfId="1276"/>
    <cellStyle name="標準 23 3" xfId="1277"/>
    <cellStyle name="標準 24" xfId="1278"/>
    <cellStyle name="標準 24 2" xfId="1279"/>
    <cellStyle name="標準 24 3" xfId="1280"/>
    <cellStyle name="標準 25" xfId="1281"/>
    <cellStyle name="標準 26" xfId="1282"/>
    <cellStyle name="標準 27" xfId="1283"/>
    <cellStyle name="標準 28" xfId="1284"/>
    <cellStyle name="標準 29" xfId="1285"/>
    <cellStyle name="標準 3" xfId="11"/>
    <cellStyle name="標準 3 10" xfId="1286"/>
    <cellStyle name="標準 3 11" xfId="1287"/>
    <cellStyle name="標準 3 2" xfId="1288"/>
    <cellStyle name="標準 3 2 2" xfId="1289"/>
    <cellStyle name="標準 3 2 2 2" xfId="1290"/>
    <cellStyle name="標準 3 2 2 3" xfId="1291"/>
    <cellStyle name="標準 3 2 3" xfId="1292"/>
    <cellStyle name="標準 3 2 3 2" xfId="1293"/>
    <cellStyle name="標準 3 2 3 3" xfId="1294"/>
    <cellStyle name="標準 3 2 4" xfId="1295"/>
    <cellStyle name="標準 3 2 5" xfId="1296"/>
    <cellStyle name="標準 3 3" xfId="1297"/>
    <cellStyle name="標準 3 4" xfId="1298"/>
    <cellStyle name="標準 3 4 2" xfId="1299"/>
    <cellStyle name="標準 3 4 3" xfId="1300"/>
    <cellStyle name="標準 3 5" xfId="1301"/>
    <cellStyle name="標準 3 5 2" xfId="1302"/>
    <cellStyle name="標準 3 5 3" xfId="1303"/>
    <cellStyle name="標準 3 6" xfId="1304"/>
    <cellStyle name="標準 3 6 2" xfId="1305"/>
    <cellStyle name="標準 3 7" xfId="1306"/>
    <cellStyle name="標準 3 8" xfId="1307"/>
    <cellStyle name="標準 3 9" xfId="1308"/>
    <cellStyle name="標準 3_【Quick取得データ配信ツール(仮)】課題管理表（EUC）_20121210" xfId="1309"/>
    <cellStyle name="標準 30" xfId="1310"/>
    <cellStyle name="標準 31" xfId="1311"/>
    <cellStyle name="標準 31 2" xfId="1312"/>
    <cellStyle name="標準 31 3" xfId="1313"/>
    <cellStyle name="標準 32" xfId="1314"/>
    <cellStyle name="標準 32 2" xfId="1315"/>
    <cellStyle name="標準 32 3" xfId="1316"/>
    <cellStyle name="標準 33" xfId="1317"/>
    <cellStyle name="標準 33 2" xfId="1318"/>
    <cellStyle name="標準 33 3" xfId="1319"/>
    <cellStyle name="標準 34" xfId="1320"/>
    <cellStyle name="標準 34 2" xfId="1321"/>
    <cellStyle name="標準 34 3" xfId="1322"/>
    <cellStyle name="標準 35" xfId="1323"/>
    <cellStyle name="標準 35 2" xfId="1324"/>
    <cellStyle name="標準 35 3" xfId="1325"/>
    <cellStyle name="標準 36" xfId="1326"/>
    <cellStyle name="標準 36 2" xfId="1327"/>
    <cellStyle name="標準 36 3" xfId="1328"/>
    <cellStyle name="標準 37" xfId="1329"/>
    <cellStyle name="標準 37 2" xfId="1330"/>
    <cellStyle name="標準 37 3" xfId="1331"/>
    <cellStyle name="標準 38" xfId="1332"/>
    <cellStyle name="標準 39" xfId="1333"/>
    <cellStyle name="標準 39 2" xfId="1334"/>
    <cellStyle name="標準 39 3" xfId="1335"/>
    <cellStyle name="標準 4" xfId="16"/>
    <cellStyle name="標準 4 2" xfId="1336"/>
    <cellStyle name="標準 4 2 2" xfId="1337"/>
    <cellStyle name="標準 4 2 2 2" xfId="1338"/>
    <cellStyle name="標準 4 2 2 3" xfId="1339"/>
    <cellStyle name="標準 4 2 3" xfId="1340"/>
    <cellStyle name="標準 4 3" xfId="1341"/>
    <cellStyle name="標準 4 3 2" xfId="1342"/>
    <cellStyle name="標準 4 3 3" xfId="1343"/>
    <cellStyle name="標準 4 4" xfId="1344"/>
    <cellStyle name="標準 4 4 2" xfId="1345"/>
    <cellStyle name="標準 4 4 3" xfId="1346"/>
    <cellStyle name="標準 4 5" xfId="1347"/>
    <cellStyle name="標準 4 6" xfId="1348"/>
    <cellStyle name="標準 4 7" xfId="1980"/>
    <cellStyle name="標準 4_20121011__1_F⇒O_【証拠金１本化】課題管理（清算）" xfId="1349"/>
    <cellStyle name="標準 40" xfId="1350"/>
    <cellStyle name="標準 41" xfId="1351"/>
    <cellStyle name="標準 42" xfId="1352"/>
    <cellStyle name="標準 43" xfId="1353"/>
    <cellStyle name="標準 44" xfId="1354"/>
    <cellStyle name="標準 45" xfId="1355"/>
    <cellStyle name="標準 46" xfId="1356"/>
    <cellStyle name="標準 47" xfId="1357"/>
    <cellStyle name="標準 48" xfId="1358"/>
    <cellStyle name="標準 49" xfId="1359"/>
    <cellStyle name="標準 5" xfId="1360"/>
    <cellStyle name="標準 5 2" xfId="1361"/>
    <cellStyle name="標準 5 2 2" xfId="1362"/>
    <cellStyle name="標準 5 2 2 2" xfId="15"/>
    <cellStyle name="標準 5 2 2 3" xfId="1363"/>
    <cellStyle name="標準 5 2 3" xfId="1364"/>
    <cellStyle name="標準 5 2 3 2" xfId="1365"/>
    <cellStyle name="標準 5 2 3 3" xfId="1366"/>
    <cellStyle name="標準 5 3" xfId="1367"/>
    <cellStyle name="標準 5 4" xfId="1368"/>
    <cellStyle name="標準 5 4 2" xfId="1369"/>
    <cellStyle name="標準 5_バックアップセンタ_切替テストスケジュール_20120406~10" xfId="1370"/>
    <cellStyle name="標準 50" xfId="1371"/>
    <cellStyle name="標準 51" xfId="1372"/>
    <cellStyle name="標準 52" xfId="1373"/>
    <cellStyle name="標準 53" xfId="1374"/>
    <cellStyle name="標準 54" xfId="1375"/>
    <cellStyle name="標準 55" xfId="1376"/>
    <cellStyle name="標準 56" xfId="1377"/>
    <cellStyle name="標準 57" xfId="1378"/>
    <cellStyle name="標準 58" xfId="1379"/>
    <cellStyle name="標準 59" xfId="1380"/>
    <cellStyle name="標準 6" xfId="1381"/>
    <cellStyle name="標準 6 2" xfId="1382"/>
    <cellStyle name="標準 6 2 2" xfId="1383"/>
    <cellStyle name="標準 6 2 3" xfId="1384"/>
    <cellStyle name="標準 6 2 4" xfId="1385"/>
    <cellStyle name="標準 6 3" xfId="1386"/>
    <cellStyle name="標準 6_バックアップセンタ_切替テストスケジュール_20120406~10" xfId="1387"/>
    <cellStyle name="標準 60" xfId="1388"/>
    <cellStyle name="標準 61" xfId="1389"/>
    <cellStyle name="標準 62" xfId="1390"/>
    <cellStyle name="標準 63" xfId="1391"/>
    <cellStyle name="標準 64" xfId="1392"/>
    <cellStyle name="標準 65" xfId="1393"/>
    <cellStyle name="標準 66" xfId="1394"/>
    <cellStyle name="標準 67" xfId="1395"/>
    <cellStyle name="標準 68" xfId="1396"/>
    <cellStyle name="標準 69" xfId="1397"/>
    <cellStyle name="標準 69 2" xfId="1398"/>
    <cellStyle name="標準 69 2 2" xfId="1399"/>
    <cellStyle name="標準 69 2 2 2" xfId="1400"/>
    <cellStyle name="標準 69 2 2 3" xfId="1401"/>
    <cellStyle name="標準 69 2 2 4" xfId="1402"/>
    <cellStyle name="標準 69 2 3" xfId="1403"/>
    <cellStyle name="標準 69 2 4" xfId="1404"/>
    <cellStyle name="標準 69 2 5" xfId="1405"/>
    <cellStyle name="標準 69 3" xfId="1406"/>
    <cellStyle name="標準 69 3 2" xfId="1407"/>
    <cellStyle name="標準 69 3 3" xfId="1408"/>
    <cellStyle name="標準 69 3 4" xfId="1409"/>
    <cellStyle name="標準 69 4" xfId="1410"/>
    <cellStyle name="標準 69 5" xfId="1411"/>
    <cellStyle name="標準 69 6" xfId="1412"/>
    <cellStyle name="標準 69 7" xfId="1413"/>
    <cellStyle name="標準 69 8" xfId="1414"/>
    <cellStyle name="標準 7" xfId="1415"/>
    <cellStyle name="標準 7 2" xfId="1416"/>
    <cellStyle name="標準 7 2 2" xfId="1417"/>
    <cellStyle name="標準 7 2 3" xfId="1418"/>
    <cellStyle name="標準 7 3" xfId="1419"/>
    <cellStyle name="標準 7 3 2" xfId="1420"/>
    <cellStyle name="標準 7 3 3" xfId="1421"/>
    <cellStyle name="標準 7 4" xfId="1422"/>
    <cellStyle name="標準 7 4 2" xfId="1423"/>
    <cellStyle name="標準 7 4 3" xfId="1424"/>
    <cellStyle name="標準 7 5" xfId="1425"/>
    <cellStyle name="標準 70" xfId="1426"/>
    <cellStyle name="標準 70 2" xfId="1427"/>
    <cellStyle name="標準 70 2 2" xfId="1428"/>
    <cellStyle name="標準 70 2 2 2" xfId="1429"/>
    <cellStyle name="標準 70 2 2 3" xfId="1430"/>
    <cellStyle name="標準 70 2 2 4" xfId="1431"/>
    <cellStyle name="標準 70 2 3" xfId="1432"/>
    <cellStyle name="標準 70 2 4" xfId="1433"/>
    <cellStyle name="標準 70 2 5" xfId="1434"/>
    <cellStyle name="標準 70 3" xfId="1435"/>
    <cellStyle name="標準 70 3 2" xfId="1436"/>
    <cellStyle name="標準 70 3 3" xfId="1437"/>
    <cellStyle name="標準 70 3 4" xfId="1438"/>
    <cellStyle name="標準 70 4" xfId="1439"/>
    <cellStyle name="標準 70 5" xfId="1440"/>
    <cellStyle name="標準 70 6" xfId="1441"/>
    <cellStyle name="標準 70 7" xfId="1442"/>
    <cellStyle name="標準 70 8" xfId="1443"/>
    <cellStyle name="標準 71" xfId="1444"/>
    <cellStyle name="標準 71 2" xfId="1445"/>
    <cellStyle name="標準 71 2 2" xfId="1446"/>
    <cellStyle name="標準 71 2 2 2" xfId="1447"/>
    <cellStyle name="標準 71 2 2 3" xfId="1448"/>
    <cellStyle name="標準 71 2 2 4" xfId="1449"/>
    <cellStyle name="標準 71 2 3" xfId="1450"/>
    <cellStyle name="標準 71 2 4" xfId="1451"/>
    <cellStyle name="標準 71 2 5" xfId="1452"/>
    <cellStyle name="標準 71 3" xfId="1453"/>
    <cellStyle name="標準 71 3 2" xfId="1454"/>
    <cellStyle name="標準 71 3 3" xfId="1455"/>
    <cellStyle name="標準 71 3 4" xfId="1456"/>
    <cellStyle name="標準 71 4" xfId="1457"/>
    <cellStyle name="標準 71 5" xfId="1458"/>
    <cellStyle name="標準 71 6" xfId="1459"/>
    <cellStyle name="標準 71 7" xfId="1460"/>
    <cellStyle name="標準 71 8" xfId="1461"/>
    <cellStyle name="標準 72" xfId="1462"/>
    <cellStyle name="標準 72 2" xfId="1463"/>
    <cellStyle name="標準 72 2 2" xfId="1464"/>
    <cellStyle name="標準 72 2 2 2" xfId="1465"/>
    <cellStyle name="標準 72 2 2 3" xfId="1466"/>
    <cellStyle name="標準 72 2 2 4" xfId="1467"/>
    <cellStyle name="標準 72 2 3" xfId="1468"/>
    <cellStyle name="標準 72 2 4" xfId="1469"/>
    <cellStyle name="標準 72 2 5" xfId="1470"/>
    <cellStyle name="標準 72 3" xfId="1471"/>
    <cellStyle name="標準 72 3 2" xfId="1472"/>
    <cellStyle name="標準 72 3 3" xfId="1473"/>
    <cellStyle name="標準 72 3 4" xfId="1474"/>
    <cellStyle name="標準 72 4" xfId="1475"/>
    <cellStyle name="標準 72 5" xfId="1476"/>
    <cellStyle name="標準 72 6" xfId="1477"/>
    <cellStyle name="標準 72 7" xfId="1478"/>
    <cellStyle name="標準 72 8" xfId="1479"/>
    <cellStyle name="標準 73" xfId="1480"/>
    <cellStyle name="標準 73 2" xfId="1481"/>
    <cellStyle name="標準 73 2 2" xfId="1482"/>
    <cellStyle name="標準 73 2 2 2" xfId="1483"/>
    <cellStyle name="標準 73 2 2 3" xfId="1484"/>
    <cellStyle name="標準 73 2 2 4" xfId="1485"/>
    <cellStyle name="標準 73 2 3" xfId="1486"/>
    <cellStyle name="標準 73 2 4" xfId="1487"/>
    <cellStyle name="標準 73 2 5" xfId="1488"/>
    <cellStyle name="標準 73 3" xfId="1489"/>
    <cellStyle name="標準 73 3 2" xfId="1490"/>
    <cellStyle name="標準 73 3 3" xfId="1491"/>
    <cellStyle name="標準 73 3 4" xfId="1492"/>
    <cellStyle name="標準 73 4" xfId="1493"/>
    <cellStyle name="標準 73 5" xfId="1494"/>
    <cellStyle name="標準 73 6" xfId="1495"/>
    <cellStyle name="標準 74" xfId="1496"/>
    <cellStyle name="標準 74 2" xfId="1497"/>
    <cellStyle name="標準 74 2 2" xfId="1498"/>
    <cellStyle name="標準 74 2 2 2" xfId="1499"/>
    <cellStyle name="標準 74 2 2 3" xfId="1500"/>
    <cellStyle name="標準 74 2 2 4" xfId="1501"/>
    <cellStyle name="標準 74 2 3" xfId="1502"/>
    <cellStyle name="標準 74 2 4" xfId="1503"/>
    <cellStyle name="標準 74 2 5" xfId="1504"/>
    <cellStyle name="標準 74 3" xfId="1505"/>
    <cellStyle name="標準 74 3 2" xfId="1506"/>
    <cellStyle name="標準 74 3 3" xfId="1507"/>
    <cellStyle name="標準 74 3 4" xfId="1508"/>
    <cellStyle name="標準 74 4" xfId="1509"/>
    <cellStyle name="標準 74 5" xfId="1510"/>
    <cellStyle name="標準 74 6" xfId="1511"/>
    <cellStyle name="標準 75" xfId="1512"/>
    <cellStyle name="標準 75 2" xfId="1513"/>
    <cellStyle name="標準 75 2 2" xfId="1514"/>
    <cellStyle name="標準 75 2 2 2" xfId="1515"/>
    <cellStyle name="標準 75 2 2 3" xfId="1516"/>
    <cellStyle name="標準 75 2 2 4" xfId="1517"/>
    <cellStyle name="標準 75 2 3" xfId="1518"/>
    <cellStyle name="標準 75 2 4" xfId="1519"/>
    <cellStyle name="標準 75 2 5" xfId="1520"/>
    <cellStyle name="標準 75 3" xfId="1521"/>
    <cellStyle name="標準 75 3 2" xfId="1522"/>
    <cellStyle name="標準 75 3 3" xfId="1523"/>
    <cellStyle name="標準 75 3 4" xfId="1524"/>
    <cellStyle name="標準 75 4" xfId="1525"/>
    <cellStyle name="標準 75 5" xfId="1526"/>
    <cellStyle name="標準 75 6" xfId="1527"/>
    <cellStyle name="標準 76" xfId="1528"/>
    <cellStyle name="標準 76 2" xfId="1529"/>
    <cellStyle name="標準 76 2 2" xfId="1530"/>
    <cellStyle name="標準 76 2 2 2" xfId="1531"/>
    <cellStyle name="標準 76 2 2 3" xfId="1532"/>
    <cellStyle name="標準 76 2 2 4" xfId="1533"/>
    <cellStyle name="標準 76 2 3" xfId="1534"/>
    <cellStyle name="標準 76 2 4" xfId="1535"/>
    <cellStyle name="標準 76 2 5" xfId="1536"/>
    <cellStyle name="標準 76 3" xfId="1537"/>
    <cellStyle name="標準 76 3 2" xfId="1538"/>
    <cellStyle name="標準 76 3 3" xfId="1539"/>
    <cellStyle name="標準 76 3 4" xfId="1540"/>
    <cellStyle name="標準 76 4" xfId="1541"/>
    <cellStyle name="標準 76 5" xfId="1542"/>
    <cellStyle name="標準 76 6" xfId="1543"/>
    <cellStyle name="標準 77" xfId="1544"/>
    <cellStyle name="標準 77 2" xfId="1545"/>
    <cellStyle name="標準 77 2 2" xfId="1546"/>
    <cellStyle name="標準 77 2 2 2" xfId="1547"/>
    <cellStyle name="標準 77 2 2 3" xfId="1548"/>
    <cellStyle name="標準 77 2 2 4" xfId="1549"/>
    <cellStyle name="標準 77 2 3" xfId="1550"/>
    <cellStyle name="標準 77 2 4" xfId="1551"/>
    <cellStyle name="標準 77 2 5" xfId="1552"/>
    <cellStyle name="標準 77 3" xfId="1553"/>
    <cellStyle name="標準 77 3 2" xfId="1554"/>
    <cellStyle name="標準 77 3 3" xfId="1555"/>
    <cellStyle name="標準 77 3 4" xfId="1556"/>
    <cellStyle name="標準 77 4" xfId="1557"/>
    <cellStyle name="標準 77 5" xfId="1558"/>
    <cellStyle name="標準 77 6" xfId="1559"/>
    <cellStyle name="標準 78" xfId="1560"/>
    <cellStyle name="標準 78 2" xfId="1561"/>
    <cellStyle name="標準 78 2 2" xfId="1562"/>
    <cellStyle name="標準 78 2 2 2" xfId="1563"/>
    <cellStyle name="標準 78 2 2 3" xfId="1564"/>
    <cellStyle name="標準 78 2 2 4" xfId="1565"/>
    <cellStyle name="標準 78 2 3" xfId="1566"/>
    <cellStyle name="標準 78 2 4" xfId="1567"/>
    <cellStyle name="標準 78 2 5" xfId="1568"/>
    <cellStyle name="標準 78 3" xfId="1569"/>
    <cellStyle name="標準 78 3 2" xfId="1570"/>
    <cellStyle name="標準 78 3 3" xfId="1571"/>
    <cellStyle name="標準 78 3 4" xfId="1572"/>
    <cellStyle name="標準 78 4" xfId="1573"/>
    <cellStyle name="標準 78 5" xfId="1574"/>
    <cellStyle name="標準 78 6" xfId="1575"/>
    <cellStyle name="標準 79" xfId="1576"/>
    <cellStyle name="標準 79 2" xfId="1577"/>
    <cellStyle name="標準 79 2 2" xfId="1578"/>
    <cellStyle name="標準 79 2 2 2" xfId="1579"/>
    <cellStyle name="標準 79 2 2 3" xfId="1580"/>
    <cellStyle name="標準 79 2 2 4" xfId="1581"/>
    <cellStyle name="標準 79 2 3" xfId="1582"/>
    <cellStyle name="標準 79 2 4" xfId="1583"/>
    <cellStyle name="標準 79 2 5" xfId="1584"/>
    <cellStyle name="標準 79 3" xfId="1585"/>
    <cellStyle name="標準 79 3 2" xfId="1586"/>
    <cellStyle name="標準 79 3 3" xfId="1587"/>
    <cellStyle name="標準 79 3 4" xfId="1588"/>
    <cellStyle name="標準 79 4" xfId="1589"/>
    <cellStyle name="標準 79 5" xfId="1590"/>
    <cellStyle name="標準 79 6" xfId="1591"/>
    <cellStyle name="標準 8" xfId="1592"/>
    <cellStyle name="標準 8 2" xfId="1593"/>
    <cellStyle name="標準 8 3" xfId="1594"/>
    <cellStyle name="標準 8 4" xfId="1595"/>
    <cellStyle name="標準 8 5" xfId="1596"/>
    <cellStyle name="標準 8 6" xfId="1597"/>
    <cellStyle name="標準 80" xfId="1598"/>
    <cellStyle name="標準 80 2" xfId="1599"/>
    <cellStyle name="標準 80 2 2" xfId="1600"/>
    <cellStyle name="標準 80 2 2 2" xfId="1601"/>
    <cellStyle name="標準 80 2 2 3" xfId="1602"/>
    <cellStyle name="標準 80 2 2 4" xfId="1603"/>
    <cellStyle name="標準 80 2 3" xfId="1604"/>
    <cellStyle name="標準 80 2 4" xfId="1605"/>
    <cellStyle name="標準 80 2 5" xfId="1606"/>
    <cellStyle name="標準 80 3" xfId="1607"/>
    <cellStyle name="標準 80 3 2" xfId="1608"/>
    <cellStyle name="標準 80 3 3" xfId="1609"/>
    <cellStyle name="標準 80 3 4" xfId="1610"/>
    <cellStyle name="標準 80 4" xfId="1611"/>
    <cellStyle name="標準 80 5" xfId="1612"/>
    <cellStyle name="標準 80 6" xfId="1613"/>
    <cellStyle name="標準 81" xfId="1614"/>
    <cellStyle name="標準 81 2" xfId="1615"/>
    <cellStyle name="標準 81 2 2" xfId="1616"/>
    <cellStyle name="標準 81 2 2 2" xfId="1617"/>
    <cellStyle name="標準 81 2 2 3" xfId="1618"/>
    <cellStyle name="標準 81 2 2 4" xfId="1619"/>
    <cellStyle name="標準 81 2 3" xfId="1620"/>
    <cellStyle name="標準 81 2 4" xfId="1621"/>
    <cellStyle name="標準 81 2 5" xfId="1622"/>
    <cellStyle name="標準 81 3" xfId="1623"/>
    <cellStyle name="標準 81 3 2" xfId="1624"/>
    <cellStyle name="標準 81 3 3" xfId="1625"/>
    <cellStyle name="標準 81 3 4" xfId="1626"/>
    <cellStyle name="標準 81 4" xfId="1627"/>
    <cellStyle name="標準 81 5" xfId="1628"/>
    <cellStyle name="標準 81 6" xfId="1629"/>
    <cellStyle name="標準 82" xfId="1630"/>
    <cellStyle name="標準 82 2" xfId="1631"/>
    <cellStyle name="標準 82 2 2" xfId="1632"/>
    <cellStyle name="標準 82 2 2 2" xfId="1633"/>
    <cellStyle name="標準 82 2 2 3" xfId="1634"/>
    <cellStyle name="標準 82 2 2 4" xfId="1635"/>
    <cellStyle name="標準 82 2 3" xfId="1636"/>
    <cellStyle name="標準 82 2 4" xfId="1637"/>
    <cellStyle name="標準 82 2 5" xfId="1638"/>
    <cellStyle name="標準 82 3" xfId="1639"/>
    <cellStyle name="標準 82 3 2" xfId="1640"/>
    <cellStyle name="標準 82 3 3" xfId="1641"/>
    <cellStyle name="標準 82 3 4" xfId="1642"/>
    <cellStyle name="標準 82 4" xfId="1643"/>
    <cellStyle name="標準 82 5" xfId="1644"/>
    <cellStyle name="標準 82 6" xfId="1645"/>
    <cellStyle name="標準 83" xfId="1646"/>
    <cellStyle name="標準 83 2" xfId="1647"/>
    <cellStyle name="標準 83 2 2" xfId="1648"/>
    <cellStyle name="標準 83 2 2 2" xfId="1649"/>
    <cellStyle name="標準 83 2 2 3" xfId="1650"/>
    <cellStyle name="標準 83 2 2 4" xfId="1651"/>
    <cellStyle name="標準 83 2 3" xfId="1652"/>
    <cellStyle name="標準 83 2 4" xfId="1653"/>
    <cellStyle name="標準 83 2 5" xfId="1654"/>
    <cellStyle name="標準 83 3" xfId="1655"/>
    <cellStyle name="標準 83 3 2" xfId="1656"/>
    <cellStyle name="標準 83 3 3" xfId="1657"/>
    <cellStyle name="標準 83 3 4" xfId="1658"/>
    <cellStyle name="標準 83 4" xfId="1659"/>
    <cellStyle name="標準 83 5" xfId="1660"/>
    <cellStyle name="標準 83 6" xfId="1661"/>
    <cellStyle name="標準 84" xfId="1662"/>
    <cellStyle name="標準 84 2" xfId="1663"/>
    <cellStyle name="標準 84 2 2" xfId="1664"/>
    <cellStyle name="標準 84 2 2 2" xfId="1665"/>
    <cellStyle name="標準 84 2 2 3" xfId="1666"/>
    <cellStyle name="標準 84 2 2 4" xfId="1667"/>
    <cellStyle name="標準 84 2 3" xfId="1668"/>
    <cellStyle name="標準 84 2 4" xfId="1669"/>
    <cellStyle name="標準 84 2 5" xfId="1670"/>
    <cellStyle name="標準 84 3" xfId="1671"/>
    <cellStyle name="標準 84 3 2" xfId="1672"/>
    <cellStyle name="標準 84 3 3" xfId="1673"/>
    <cellStyle name="標準 84 3 4" xfId="1674"/>
    <cellStyle name="標準 84 4" xfId="1675"/>
    <cellStyle name="標準 84 5" xfId="1676"/>
    <cellStyle name="標準 84 6" xfId="1677"/>
    <cellStyle name="標準 85" xfId="1678"/>
    <cellStyle name="標準 85 2" xfId="1679"/>
    <cellStyle name="標準 85 2 2" xfId="1680"/>
    <cellStyle name="標準 85 2 2 2" xfId="1681"/>
    <cellStyle name="標準 85 2 2 3" xfId="1682"/>
    <cellStyle name="標準 85 2 2 4" xfId="1683"/>
    <cellStyle name="標準 85 2 3" xfId="1684"/>
    <cellStyle name="標準 85 2 4" xfId="1685"/>
    <cellStyle name="標準 85 2 5" xfId="1686"/>
    <cellStyle name="標準 85 3" xfId="1687"/>
    <cellStyle name="標準 85 3 2" xfId="1688"/>
    <cellStyle name="標準 85 3 3" xfId="1689"/>
    <cellStyle name="標準 85 3 4" xfId="1690"/>
    <cellStyle name="標準 85 4" xfId="1691"/>
    <cellStyle name="標準 85 5" xfId="1692"/>
    <cellStyle name="標準 85 6" xfId="1693"/>
    <cellStyle name="標準 86" xfId="1694"/>
    <cellStyle name="標準 86 2" xfId="1695"/>
    <cellStyle name="標準 86 2 2" xfId="1696"/>
    <cellStyle name="標準 86 2 2 2" xfId="1697"/>
    <cellStyle name="標準 86 2 2 3" xfId="1698"/>
    <cellStyle name="標準 86 2 2 4" xfId="1699"/>
    <cellStyle name="標準 86 2 3" xfId="1700"/>
    <cellStyle name="標準 86 2 4" xfId="1701"/>
    <cellStyle name="標準 86 2 5" xfId="1702"/>
    <cellStyle name="標準 86 3" xfId="1703"/>
    <cellStyle name="標準 86 3 2" xfId="1704"/>
    <cellStyle name="標準 86 3 3" xfId="1705"/>
    <cellStyle name="標準 86 3 4" xfId="1706"/>
    <cellStyle name="標準 86 4" xfId="1707"/>
    <cellStyle name="標準 86 5" xfId="1708"/>
    <cellStyle name="標準 86 6" xfId="1709"/>
    <cellStyle name="標準 87" xfId="1710"/>
    <cellStyle name="標準 87 2" xfId="1711"/>
    <cellStyle name="標準 87 2 2" xfId="1712"/>
    <cellStyle name="標準 87 2 2 2" xfId="1713"/>
    <cellStyle name="標準 87 2 2 3" xfId="1714"/>
    <cellStyle name="標準 87 2 2 4" xfId="1715"/>
    <cellStyle name="標準 87 2 3" xfId="1716"/>
    <cellStyle name="標準 87 2 4" xfId="1717"/>
    <cellStyle name="標準 87 2 5" xfId="1718"/>
    <cellStyle name="標準 87 3" xfId="1719"/>
    <cellStyle name="標準 87 3 2" xfId="1720"/>
    <cellStyle name="標準 87 3 3" xfId="1721"/>
    <cellStyle name="標準 87 3 4" xfId="1722"/>
    <cellStyle name="標準 87 4" xfId="1723"/>
    <cellStyle name="標準 87 5" xfId="1724"/>
    <cellStyle name="標準 87 6" xfId="1725"/>
    <cellStyle name="標準 88" xfId="1726"/>
    <cellStyle name="標準 88 2" xfId="1727"/>
    <cellStyle name="標準 88 2 2" xfId="1728"/>
    <cellStyle name="標準 88 2 2 2" xfId="1729"/>
    <cellStyle name="標準 88 2 2 3" xfId="1730"/>
    <cellStyle name="標準 88 2 2 4" xfId="1731"/>
    <cellStyle name="標準 88 2 3" xfId="1732"/>
    <cellStyle name="標準 88 2 4" xfId="1733"/>
    <cellStyle name="標準 88 2 5" xfId="1734"/>
    <cellStyle name="標準 88 3" xfId="1735"/>
    <cellStyle name="標準 88 3 2" xfId="1736"/>
    <cellStyle name="標準 88 3 3" xfId="1737"/>
    <cellStyle name="標準 88 3 4" xfId="1738"/>
    <cellStyle name="標準 88 4" xfId="1739"/>
    <cellStyle name="標準 88 5" xfId="1740"/>
    <cellStyle name="標準 88 6" xfId="1741"/>
    <cellStyle name="標準 89" xfId="1742"/>
    <cellStyle name="標準 89 2" xfId="1743"/>
    <cellStyle name="標準 89 2 2" xfId="1744"/>
    <cellStyle name="標準 89 2 2 2" xfId="1745"/>
    <cellStyle name="標準 89 2 2 3" xfId="1746"/>
    <cellStyle name="標準 89 2 2 4" xfId="1747"/>
    <cellStyle name="標準 89 2 3" xfId="1748"/>
    <cellStyle name="標準 89 2 4" xfId="1749"/>
    <cellStyle name="標準 89 2 5" xfId="1750"/>
    <cellStyle name="標準 89 3" xfId="1751"/>
    <cellStyle name="標準 89 3 2" xfId="1752"/>
    <cellStyle name="標準 89 3 3" xfId="1753"/>
    <cellStyle name="標準 89 3 4" xfId="1754"/>
    <cellStyle name="標準 89 4" xfId="1755"/>
    <cellStyle name="標準 89 5" xfId="1756"/>
    <cellStyle name="標準 89 6" xfId="1757"/>
    <cellStyle name="標準 9" xfId="1758"/>
    <cellStyle name="標準 9 2" xfId="1759"/>
    <cellStyle name="標準 9 3" xfId="1760"/>
    <cellStyle name="標準 90" xfId="1761"/>
    <cellStyle name="標準 90 2" xfId="1762"/>
    <cellStyle name="標準 90 2 2" xfId="1763"/>
    <cellStyle name="標準 90 2 2 2" xfId="1764"/>
    <cellStyle name="標準 90 2 2 3" xfId="1765"/>
    <cellStyle name="標準 90 2 2 4" xfId="1766"/>
    <cellStyle name="標準 90 2 3" xfId="1767"/>
    <cellStyle name="標準 90 2 4" xfId="1768"/>
    <cellStyle name="標準 90 2 5" xfId="1769"/>
    <cellStyle name="標準 90 3" xfId="1770"/>
    <cellStyle name="標準 90 3 2" xfId="1771"/>
    <cellStyle name="標準 90 3 3" xfId="1772"/>
    <cellStyle name="標準 90 3 4" xfId="1773"/>
    <cellStyle name="標準 90 4" xfId="1774"/>
    <cellStyle name="標準 90 5" xfId="1775"/>
    <cellStyle name="標準 90 6" xfId="1776"/>
    <cellStyle name="標準 91" xfId="1777"/>
    <cellStyle name="標準 91 2" xfId="1778"/>
    <cellStyle name="標準 91 2 2" xfId="1779"/>
    <cellStyle name="標準 91 2 2 2" xfId="1780"/>
    <cellStyle name="標準 91 2 2 3" xfId="1781"/>
    <cellStyle name="標準 91 2 2 4" xfId="1782"/>
    <cellStyle name="標準 91 2 3" xfId="1783"/>
    <cellStyle name="標準 91 2 4" xfId="1784"/>
    <cellStyle name="標準 91 2 5" xfId="1785"/>
    <cellStyle name="標準 91 3" xfId="1786"/>
    <cellStyle name="標準 91 3 2" xfId="1787"/>
    <cellStyle name="標準 91 3 3" xfId="1788"/>
    <cellStyle name="標準 91 3 4" xfId="1789"/>
    <cellStyle name="標準 91 4" xfId="1790"/>
    <cellStyle name="標準 91 5" xfId="1791"/>
    <cellStyle name="標準 91 6" xfId="1792"/>
    <cellStyle name="標準 92" xfId="1793"/>
    <cellStyle name="標準 92 2" xfId="1794"/>
    <cellStyle name="標準 92 2 2" xfId="1795"/>
    <cellStyle name="標準 92 2 2 2" xfId="1796"/>
    <cellStyle name="標準 92 2 2 3" xfId="1797"/>
    <cellStyle name="標準 92 2 2 4" xfId="1798"/>
    <cellStyle name="標準 92 2 3" xfId="1799"/>
    <cellStyle name="標準 92 2 4" xfId="1800"/>
    <cellStyle name="標準 92 2 5" xfId="1801"/>
    <cellStyle name="標準 92 3" xfId="1802"/>
    <cellStyle name="標準 92 3 2" xfId="1803"/>
    <cellStyle name="標準 92 3 3" xfId="1804"/>
    <cellStyle name="標準 92 3 4" xfId="1805"/>
    <cellStyle name="標準 92 4" xfId="1806"/>
    <cellStyle name="標準 92 5" xfId="1807"/>
    <cellStyle name="標準 92 6" xfId="1808"/>
    <cellStyle name="標準 93" xfId="1809"/>
    <cellStyle name="標準 93 2" xfId="1810"/>
    <cellStyle name="標準 93 2 2" xfId="1811"/>
    <cellStyle name="標準 93 2 2 2" xfId="1812"/>
    <cellStyle name="標準 93 2 2 3" xfId="1813"/>
    <cellStyle name="標準 93 2 2 4" xfId="1814"/>
    <cellStyle name="標準 93 2 3" xfId="1815"/>
    <cellStyle name="標準 93 2 4" xfId="1816"/>
    <cellStyle name="標準 93 2 5" xfId="1817"/>
    <cellStyle name="標準 93 3" xfId="1818"/>
    <cellStyle name="標準 93 3 2" xfId="1819"/>
    <cellStyle name="標準 93 3 3" xfId="1820"/>
    <cellStyle name="標準 93 3 4" xfId="1821"/>
    <cellStyle name="標準 93 4" xfId="1822"/>
    <cellStyle name="標準 93 5" xfId="1823"/>
    <cellStyle name="標準 93 6" xfId="1824"/>
    <cellStyle name="標準 94" xfId="1825"/>
    <cellStyle name="標準 94 2" xfId="1826"/>
    <cellStyle name="標準 94 2 2" xfId="1827"/>
    <cellStyle name="標準 94 2 2 2" xfId="1828"/>
    <cellStyle name="標準 94 2 2 3" xfId="1829"/>
    <cellStyle name="標準 94 2 2 4" xfId="1830"/>
    <cellStyle name="標準 94 2 3" xfId="1831"/>
    <cellStyle name="標準 94 2 4" xfId="1832"/>
    <cellStyle name="標準 94 2 5" xfId="1833"/>
    <cellStyle name="標準 94 3" xfId="1834"/>
    <cellStyle name="標準 94 3 2" xfId="1835"/>
    <cellStyle name="標準 94 3 3" xfId="1836"/>
    <cellStyle name="標準 94 3 4" xfId="1837"/>
    <cellStyle name="標準 94 4" xfId="1838"/>
    <cellStyle name="標準 94 5" xfId="1839"/>
    <cellStyle name="標準 94 6" xfId="1840"/>
    <cellStyle name="標準 95" xfId="1841"/>
    <cellStyle name="標準 95 2" xfId="1842"/>
    <cellStyle name="標準 95 2 2" xfId="1843"/>
    <cellStyle name="標準 95 2 2 2" xfId="1844"/>
    <cellStyle name="標準 95 2 2 3" xfId="1845"/>
    <cellStyle name="標準 95 2 2 4" xfId="1846"/>
    <cellStyle name="標準 95 2 3" xfId="1847"/>
    <cellStyle name="標準 95 2 4" xfId="1848"/>
    <cellStyle name="標準 95 2 5" xfId="1849"/>
    <cellStyle name="標準 95 3" xfId="1850"/>
    <cellStyle name="標準 95 3 2" xfId="1851"/>
    <cellStyle name="標準 95 3 3" xfId="1852"/>
    <cellStyle name="標準 95 3 4" xfId="1853"/>
    <cellStyle name="標準 95 4" xfId="1854"/>
    <cellStyle name="標準 95 5" xfId="1855"/>
    <cellStyle name="標準 95 6" xfId="1856"/>
    <cellStyle name="標準 96" xfId="1857"/>
    <cellStyle name="標準 96 2" xfId="1858"/>
    <cellStyle name="標準 96 2 2" xfId="1859"/>
    <cellStyle name="標準 96 2 2 2" xfId="1860"/>
    <cellStyle name="標準 96 2 2 3" xfId="1861"/>
    <cellStyle name="標準 96 2 2 4" xfId="1862"/>
    <cellStyle name="標準 96 2 3" xfId="1863"/>
    <cellStyle name="標準 96 2 4" xfId="1864"/>
    <cellStyle name="標準 96 2 5" xfId="1865"/>
    <cellStyle name="標準 96 3" xfId="1866"/>
    <cellStyle name="標準 96 3 2" xfId="1867"/>
    <cellStyle name="標準 96 3 3" xfId="1868"/>
    <cellStyle name="標準 96 3 4" xfId="1869"/>
    <cellStyle name="標準 96 4" xfId="1870"/>
    <cellStyle name="標準 96 5" xfId="1871"/>
    <cellStyle name="標準 96 6" xfId="1872"/>
    <cellStyle name="標準 97" xfId="1873"/>
    <cellStyle name="標準 97 2" xfId="1874"/>
    <cellStyle name="標準 97 2 2" xfId="1875"/>
    <cellStyle name="標準 97 2 2 2" xfId="1876"/>
    <cellStyle name="標準 97 2 2 3" xfId="1877"/>
    <cellStyle name="標準 97 2 2 4" xfId="1878"/>
    <cellStyle name="標準 97 2 3" xfId="1879"/>
    <cellStyle name="標準 97 2 4" xfId="1880"/>
    <cellStyle name="標準 97 2 5" xfId="1881"/>
    <cellStyle name="標準 97 3" xfId="1882"/>
    <cellStyle name="標準 97 3 2" xfId="1883"/>
    <cellStyle name="標準 97 3 3" xfId="1884"/>
    <cellStyle name="標準 97 3 4" xfId="1885"/>
    <cellStyle name="標準 97 4" xfId="1886"/>
    <cellStyle name="標準 97 5" xfId="1887"/>
    <cellStyle name="標準 97 6" xfId="1888"/>
    <cellStyle name="標準 98" xfId="1889"/>
    <cellStyle name="標準 98 2" xfId="1890"/>
    <cellStyle name="標準 98 2 2" xfId="1891"/>
    <cellStyle name="標準 98 2 2 2" xfId="1892"/>
    <cellStyle name="標準 98 2 2 3" xfId="1893"/>
    <cellStyle name="標準 98 2 2 4" xfId="1894"/>
    <cellStyle name="標準 98 2 3" xfId="1895"/>
    <cellStyle name="標準 98 2 4" xfId="1896"/>
    <cellStyle name="標準 98 2 5" xfId="1897"/>
    <cellStyle name="標準 98 3" xfId="1898"/>
    <cellStyle name="標準 98 3 2" xfId="1899"/>
    <cellStyle name="標準 98 3 3" xfId="1900"/>
    <cellStyle name="標準 98 3 4" xfId="1901"/>
    <cellStyle name="標準 98 4" xfId="1902"/>
    <cellStyle name="標準 98 5" xfId="1903"/>
    <cellStyle name="標準 98 6" xfId="1904"/>
    <cellStyle name="標準 99" xfId="1905"/>
    <cellStyle name="標準 99 2" xfId="1906"/>
    <cellStyle name="標準 99 2 2" xfId="1907"/>
    <cellStyle name="標準 99 2 2 2" xfId="1908"/>
    <cellStyle name="標準 99 2 2 3" xfId="1909"/>
    <cellStyle name="標準 99 2 2 4" xfId="1910"/>
    <cellStyle name="標準 99 2 3" xfId="1911"/>
    <cellStyle name="標準 99 2 4" xfId="1912"/>
    <cellStyle name="標準 99 2 5" xfId="1913"/>
    <cellStyle name="標準 99 3" xfId="1914"/>
    <cellStyle name="標準 99 3 2" xfId="1915"/>
    <cellStyle name="標準 99 3 3" xfId="1916"/>
    <cellStyle name="標準 99 3 4" xfId="1917"/>
    <cellStyle name="標準 99 4" xfId="1918"/>
    <cellStyle name="標準 99 5" xfId="1919"/>
    <cellStyle name="標準 99 6" xfId="1920"/>
    <cellStyle name="標準１" xfId="1921"/>
    <cellStyle name="標準10" xfId="1922"/>
    <cellStyle name="標準12" xfId="1923"/>
    <cellStyle name="文字列" xfId="1924"/>
    <cellStyle name="未定義" xfId="12"/>
    <cellStyle name="未定義 2" xfId="1925"/>
    <cellStyle name="未定義 3" xfId="1926"/>
    <cellStyle name="未定義_030_上場有価証券総括表_詳細設計書_府令改正対応" xfId="1927"/>
    <cellStyle builtinId="26" customBuiltin="1" name="良い" xfId="1943"/>
    <cellStyle name="良い 2" xfId="1928"/>
    <cellStyle name="良い 3" xfId="1929"/>
    <cellStyle name="良い 4" xfId="1930"/>
    <cellStyle name="良い 5" xfId="1931"/>
    <cellStyle name="良い 6" xfId="1932"/>
    <cellStyle name="良い 7" xfId="1933"/>
    <cellStyle name="良い 8" xfId="1934"/>
    <cellStyle name="良い 9" xfId="1935"/>
    <cellStyle name="표준_4.3.1_取引処理（取引処理制御１－１）" xfId="1936"/>
  </cellStyles>
  <dxfs count="0"/>
  <tableStyles count="0" defaultPivotStyle="PivotStyleLight16" defaultTableStyle="TableStyleMedium2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L755"/>
  <sheetViews>
    <sheetView showGridLines="0" tabSelected="1" view="pageBreakPreview" workbookViewId="0" zoomScaleNormal="85" zoomScaleSheetLayoutView="100">
      <pane activePane="bottomLeft" state="frozen" topLeftCell="A6" ySplit="5"/>
      <selection activeCell="A6" pane="bottomLeft" sqref="A6"/>
    </sheetView>
  </sheetViews>
  <sheetFormatPr customHeight="1" defaultRowHeight="13.5"/>
  <cols>
    <col min="1" max="1" customWidth="true" style="1" width="6.25" collapsed="false"/>
    <col min="2" max="2" customWidth="true" style="1" width="33.25" collapsed="false"/>
    <col min="3" max="3" bestFit="true" customWidth="true" style="1" width="37.5" collapsed="false"/>
    <col min="4" max="4" customWidth="true" style="1" width="5.375" collapsed="false"/>
    <col min="5" max="5" customWidth="true" style="1" width="26.875" collapsed="false"/>
    <col min="6" max="6" customWidth="true" style="1" width="5.375" collapsed="false"/>
    <col min="7" max="7" customWidth="true" style="1" width="26.875" collapsed="false"/>
    <col min="8" max="8" customWidth="true" style="1" width="5.375" collapsed="false"/>
    <col min="9" max="9" customWidth="true" style="1" width="26.875" collapsed="false"/>
    <col min="10" max="10" customWidth="true" style="1" width="5.375" collapsed="false"/>
    <col min="11" max="11" customWidth="true" style="1" width="26.875" collapsed="false"/>
    <col min="12" max="16384" style="2" width="9.0" collapsed="false"/>
  </cols>
  <sheetData>
    <row customHeight="1" ht="30" r="1" spans="1:11">
      <c r="A1" s="13" t="s">
        <v>13</v>
      </c>
      <c r="B1" s="13"/>
      <c r="C1" s="13"/>
    </row>
    <row customHeight="1" ht="30" r="2" spans="1:11">
      <c r="A2" s="13" t="s">
        <v>15</v>
      </c>
      <c r="B2" s="13"/>
      <c r="C2" s="13"/>
    </row>
    <row customHeight="1" ht="17.100000000000001" r="3" spans="1:11">
      <c r="A3" s="3" t="s">
        <v>12</v>
      </c>
      <c r="B3" s="4"/>
      <c r="C3" s="4"/>
      <c r="D3" s="5"/>
      <c r="E3" s="5"/>
      <c r="F3" s="5"/>
      <c r="G3" s="5"/>
      <c r="H3" s="5"/>
      <c r="I3" s="5"/>
      <c r="J3" s="5"/>
      <c r="K3" s="6" t="s">
        <v>11</v>
      </c>
    </row>
    <row customHeight="1" ht="17.100000000000001" r="4" spans="1:11">
      <c r="A4" s="7" t="s">
        <v>0</v>
      </c>
      <c r="B4" s="14" t="s">
        <v>10</v>
      </c>
      <c r="C4" s="14" t="s">
        <v>14</v>
      </c>
      <c r="D4" s="14" t="s">
        <v>1</v>
      </c>
      <c r="E4" s="14"/>
      <c r="F4" s="14" t="s">
        <v>3</v>
      </c>
      <c r="G4" s="14"/>
      <c r="H4" s="14" t="s">
        <v>4</v>
      </c>
      <c r="I4" s="14"/>
      <c r="J4" s="14" t="s">
        <v>5</v>
      </c>
      <c r="K4" s="14"/>
    </row>
    <row customHeight="1" ht="17.100000000000001" r="5" spans="1:11">
      <c r="A5" s="7" t="s">
        <v>2</v>
      </c>
      <c r="B5" s="14"/>
      <c r="C5" s="14"/>
      <c r="D5" s="14" t="s">
        <v>6</v>
      </c>
      <c r="E5" s="14"/>
      <c r="F5" s="14" t="s">
        <v>7</v>
      </c>
      <c r="G5" s="14"/>
      <c r="H5" s="14" t="s">
        <v>8</v>
      </c>
      <c r="I5" s="14"/>
      <c r="J5" s="14" t="s">
        <v>9</v>
      </c>
      <c r="K5" s="14"/>
    </row>
    <row customFormat="1" customHeight="1" ht="13.5" r="6" s="12" spans="1:11">
      <c r="A6" s="8" t="s">
        <v>16</v>
      </c>
      <c r="B6" s="9" t="s">
        <v>17</v>
      </c>
      <c r="C6" s="9" t="s">
        <v>18</v>
      </c>
      <c r="D6" s="10"/>
      <c r="E6" s="11" t="n">
        <f>23119</f>
        <v>23119.0</v>
      </c>
      <c r="F6" s="10"/>
      <c r="G6" s="11" t="n">
        <f>175598752000</f>
        <v>1.75598752E11</v>
      </c>
      <c r="H6" s="10" t="s">
        <v>19</v>
      </c>
      <c r="I6" s="11" t="str">
        <f>"－"</f>
        <v>－</v>
      </c>
      <c r="J6" s="10" t="s">
        <v>20</v>
      </c>
      <c r="K6" s="11" t="n">
        <f>42273</f>
        <v>42273.0</v>
      </c>
    </row>
    <row r="7">
      <c r="A7" s="8" t="s">
        <v>21</v>
      </c>
      <c r="B7" s="9" t="s">
        <v>17</v>
      </c>
      <c r="C7" s="9" t="s">
        <v>18</v>
      </c>
      <c r="D7" s="10"/>
      <c r="E7" s="11" t="n">
        <f>32583</f>
        <v>32583.0</v>
      </c>
      <c r="F7" s="10"/>
      <c r="G7" s="11" t="n">
        <f>249723485000</f>
        <v>2.49723485E11</v>
      </c>
      <c r="H7" s="10"/>
      <c r="I7" s="11" t="str">
        <f>"－"</f>
        <v>－</v>
      </c>
      <c r="J7" s="10"/>
      <c r="K7" s="11" t="n">
        <f>40874</f>
        <v>40874.0</v>
      </c>
    </row>
    <row r="8">
      <c r="A8" s="8" t="s">
        <v>22</v>
      </c>
      <c r="B8" s="9" t="s">
        <v>17</v>
      </c>
      <c r="C8" s="9" t="s">
        <v>18</v>
      </c>
      <c r="D8" s="10"/>
      <c r="E8" s="11" t="n">
        <f>30646</f>
        <v>30646.0</v>
      </c>
      <c r="F8" s="10"/>
      <c r="G8" s="11" t="n">
        <f>237730492000</f>
        <v>2.37730492E11</v>
      </c>
      <c r="H8" s="10"/>
      <c r="I8" s="11" t="str">
        <f>"－"</f>
        <v>－</v>
      </c>
      <c r="J8" s="10"/>
      <c r="K8" s="11" t="n">
        <f>41648</f>
        <v>41648.0</v>
      </c>
    </row>
    <row r="9">
      <c r="A9" s="8" t="s">
        <v>23</v>
      </c>
      <c r="B9" s="9" t="s">
        <v>17</v>
      </c>
      <c r="C9" s="9" t="s">
        <v>18</v>
      </c>
      <c r="D9" s="10"/>
      <c r="E9" s="11"/>
      <c r="F9" s="10"/>
      <c r="G9" s="11"/>
      <c r="H9" s="10"/>
      <c r="I9" s="11"/>
      <c r="J9" s="10"/>
      <c r="K9" s="11"/>
    </row>
    <row r="10">
      <c r="A10" s="8" t="s">
        <v>24</v>
      </c>
      <c r="B10" s="9" t="s">
        <v>17</v>
      </c>
      <c r="C10" s="9" t="s">
        <v>18</v>
      </c>
      <c r="D10" s="10"/>
      <c r="E10" s="11"/>
      <c r="F10" s="10"/>
      <c r="G10" s="11"/>
      <c r="H10" s="10"/>
      <c r="I10" s="11"/>
      <c r="J10" s="10"/>
      <c r="K10" s="11"/>
    </row>
    <row r="11">
      <c r="A11" s="8" t="s">
        <v>25</v>
      </c>
      <c r="B11" s="9" t="s">
        <v>17</v>
      </c>
      <c r="C11" s="9" t="s">
        <v>18</v>
      </c>
      <c r="D11" s="10"/>
      <c r="E11" s="11" t="n">
        <f>18753</f>
        <v>18753.0</v>
      </c>
      <c r="F11" s="10"/>
      <c r="G11" s="11" t="n">
        <f>145665141000</f>
        <v>1.45665141E11</v>
      </c>
      <c r="H11" s="10"/>
      <c r="I11" s="11" t="str">
        <f>"－"</f>
        <v>－</v>
      </c>
      <c r="J11" s="10"/>
      <c r="K11" s="11" t="n">
        <f>41245</f>
        <v>41245.0</v>
      </c>
    </row>
    <row r="12">
      <c r="A12" s="8" t="s">
        <v>26</v>
      </c>
      <c r="B12" s="9" t="s">
        <v>17</v>
      </c>
      <c r="C12" s="9" t="s">
        <v>18</v>
      </c>
      <c r="D12" s="10"/>
      <c r="E12" s="11" t="n">
        <f>24595</f>
        <v>24595.0</v>
      </c>
      <c r="F12" s="10"/>
      <c r="G12" s="11" t="n">
        <f>191740959000</f>
        <v>1.91740959E11</v>
      </c>
      <c r="H12" s="10"/>
      <c r="I12" s="11" t="str">
        <f>"－"</f>
        <v>－</v>
      </c>
      <c r="J12" s="10"/>
      <c r="K12" s="11" t="n">
        <f>41707</f>
        <v>41707.0</v>
      </c>
    </row>
    <row r="13">
      <c r="A13" s="8" t="s">
        <v>27</v>
      </c>
      <c r="B13" s="9" t="s">
        <v>17</v>
      </c>
      <c r="C13" s="9" t="s">
        <v>18</v>
      </c>
      <c r="D13" s="10"/>
      <c r="E13" s="11" t="n">
        <f>25534</f>
        <v>25534.0</v>
      </c>
      <c r="F13" s="10"/>
      <c r="G13" s="11" t="n">
        <f>200930059000</f>
        <v>2.00930059E11</v>
      </c>
      <c r="H13" s="10"/>
      <c r="I13" s="11" t="str">
        <f>"－"</f>
        <v>－</v>
      </c>
      <c r="J13" s="10"/>
      <c r="K13" s="11" t="n">
        <f>41651</f>
        <v>41651.0</v>
      </c>
    </row>
    <row r="14">
      <c r="A14" s="8" t="s">
        <v>28</v>
      </c>
      <c r="B14" s="9" t="s">
        <v>17</v>
      </c>
      <c r="C14" s="9" t="s">
        <v>18</v>
      </c>
      <c r="D14" s="10"/>
      <c r="E14" s="11" t="n">
        <f>32487</f>
        <v>32487.0</v>
      </c>
      <c r="F14" s="10"/>
      <c r="G14" s="11" t="n">
        <f>258438789000</f>
        <v>2.58438789E11</v>
      </c>
      <c r="H14" s="10"/>
      <c r="I14" s="11" t="str">
        <f>"－"</f>
        <v>－</v>
      </c>
      <c r="J14" s="10"/>
      <c r="K14" s="11" t="n">
        <f>41816</f>
        <v>41816.0</v>
      </c>
    </row>
    <row r="15">
      <c r="A15" s="8" t="s">
        <v>29</v>
      </c>
      <c r="B15" s="9" t="s">
        <v>17</v>
      </c>
      <c r="C15" s="9" t="s">
        <v>18</v>
      </c>
      <c r="D15" s="10"/>
      <c r="E15" s="11" t="n">
        <f>28088</f>
        <v>28088.0</v>
      </c>
      <c r="F15" s="10"/>
      <c r="G15" s="11" t="n">
        <f>222432033000</f>
        <v>2.22432033E11</v>
      </c>
      <c r="H15" s="10"/>
      <c r="I15" s="11" t="str">
        <f>"－"</f>
        <v>－</v>
      </c>
      <c r="J15" s="10"/>
      <c r="K15" s="11" t="n">
        <f>41150</f>
        <v>41150.0</v>
      </c>
    </row>
    <row r="16">
      <c r="A16" s="8" t="s">
        <v>30</v>
      </c>
      <c r="B16" s="9" t="s">
        <v>17</v>
      </c>
      <c r="C16" s="9" t="s">
        <v>18</v>
      </c>
      <c r="D16" s="10"/>
      <c r="E16" s="11"/>
      <c r="F16" s="10"/>
      <c r="G16" s="11"/>
      <c r="H16" s="10"/>
      <c r="I16" s="11"/>
      <c r="J16" s="10"/>
      <c r="K16" s="11"/>
    </row>
    <row r="17">
      <c r="A17" s="8" t="s">
        <v>31</v>
      </c>
      <c r="B17" s="9" t="s">
        <v>17</v>
      </c>
      <c r="C17" s="9" t="s">
        <v>18</v>
      </c>
      <c r="D17" s="10"/>
      <c r="E17" s="11"/>
      <c r="F17" s="10"/>
      <c r="G17" s="11"/>
      <c r="H17" s="10"/>
      <c r="I17" s="11"/>
      <c r="J17" s="10"/>
      <c r="K17" s="11"/>
    </row>
    <row r="18">
      <c r="A18" s="8" t="s">
        <v>32</v>
      </c>
      <c r="B18" s="9" t="s">
        <v>17</v>
      </c>
      <c r="C18" s="9" t="s">
        <v>18</v>
      </c>
      <c r="D18" s="10" t="s">
        <v>20</v>
      </c>
      <c r="E18" s="11" t="n">
        <f>55718</f>
        <v>55718.0</v>
      </c>
      <c r="F18" s="10" t="s">
        <v>20</v>
      </c>
      <c r="G18" s="11" t="n">
        <f>445609991000</f>
        <v>4.45609991E11</v>
      </c>
      <c r="H18" s="10"/>
      <c r="I18" s="11" t="str">
        <f>"－"</f>
        <v>－</v>
      </c>
      <c r="J18" s="10"/>
      <c r="K18" s="11" t="n">
        <f>39615</f>
        <v>39615.0</v>
      </c>
    </row>
    <row r="19">
      <c r="A19" s="8" t="s">
        <v>33</v>
      </c>
      <c r="B19" s="9" t="s">
        <v>17</v>
      </c>
      <c r="C19" s="9" t="s">
        <v>18</v>
      </c>
      <c r="D19" s="10"/>
      <c r="E19" s="11" t="n">
        <f>48754</f>
        <v>48754.0</v>
      </c>
      <c r="F19" s="10"/>
      <c r="G19" s="11" t="n">
        <f>384711829000</f>
        <v>3.84711829E11</v>
      </c>
      <c r="H19" s="10"/>
      <c r="I19" s="11" t="str">
        <f>"－"</f>
        <v>－</v>
      </c>
      <c r="J19" s="10"/>
      <c r="K19" s="11" t="n">
        <f>39175</f>
        <v>39175.0</v>
      </c>
    </row>
    <row r="20">
      <c r="A20" s="8" t="s">
        <v>34</v>
      </c>
      <c r="B20" s="9" t="s">
        <v>17</v>
      </c>
      <c r="C20" s="9" t="s">
        <v>18</v>
      </c>
      <c r="D20" s="10"/>
      <c r="E20" s="11" t="n">
        <f>27394</f>
        <v>27394.0</v>
      </c>
      <c r="F20" s="10"/>
      <c r="G20" s="11" t="n">
        <f>214907798000</f>
        <v>2.14907798E11</v>
      </c>
      <c r="H20" s="10"/>
      <c r="I20" s="11" t="str">
        <f>"－"</f>
        <v>－</v>
      </c>
      <c r="J20" s="10"/>
      <c r="K20" s="11" t="n">
        <f>39539</f>
        <v>39539.0</v>
      </c>
    </row>
    <row r="21">
      <c r="A21" s="8" t="s">
        <v>35</v>
      </c>
      <c r="B21" s="9" t="s">
        <v>17</v>
      </c>
      <c r="C21" s="9" t="s">
        <v>18</v>
      </c>
      <c r="D21" s="10"/>
      <c r="E21" s="11" t="n">
        <f>27105</f>
        <v>27105.0</v>
      </c>
      <c r="F21" s="10"/>
      <c r="G21" s="11" t="n">
        <f>213471637000</f>
        <v>2.13471637E11</v>
      </c>
      <c r="H21" s="10"/>
      <c r="I21" s="11" t="str">
        <f>"－"</f>
        <v>－</v>
      </c>
      <c r="J21" s="10"/>
      <c r="K21" s="11" t="n">
        <f>39995</f>
        <v>39995.0</v>
      </c>
    </row>
    <row r="22">
      <c r="A22" s="8" t="s">
        <v>36</v>
      </c>
      <c r="B22" s="9" t="s">
        <v>17</v>
      </c>
      <c r="C22" s="9" t="s">
        <v>18</v>
      </c>
      <c r="D22" s="10"/>
      <c r="E22" s="11" t="n">
        <f>43520</f>
        <v>43520.0</v>
      </c>
      <c r="F22" s="10"/>
      <c r="G22" s="11" t="n">
        <f>341148412000</f>
        <v>3.41148412E11</v>
      </c>
      <c r="H22" s="10"/>
      <c r="I22" s="11" t="str">
        <f>"－"</f>
        <v>－</v>
      </c>
      <c r="J22" s="10"/>
      <c r="K22" s="11" t="n">
        <f>40260</f>
        <v>40260.0</v>
      </c>
    </row>
    <row r="23">
      <c r="A23" s="8" t="s">
        <v>37</v>
      </c>
      <c r="B23" s="9" t="s">
        <v>17</v>
      </c>
      <c r="C23" s="9" t="s">
        <v>18</v>
      </c>
      <c r="D23" s="10"/>
      <c r="E23" s="11"/>
      <c r="F23" s="10"/>
      <c r="G23" s="11"/>
      <c r="H23" s="10"/>
      <c r="I23" s="11"/>
      <c r="J23" s="10"/>
      <c r="K23" s="11"/>
    </row>
    <row r="24">
      <c r="A24" s="8" t="s">
        <v>38</v>
      </c>
      <c r="B24" s="9" t="s">
        <v>17</v>
      </c>
      <c r="C24" s="9" t="s">
        <v>18</v>
      </c>
      <c r="D24" s="10"/>
      <c r="E24" s="11"/>
      <c r="F24" s="10"/>
      <c r="G24" s="11"/>
      <c r="H24" s="10"/>
      <c r="I24" s="11"/>
      <c r="J24" s="10"/>
      <c r="K24" s="11"/>
    </row>
    <row r="25">
      <c r="A25" s="8" t="s">
        <v>39</v>
      </c>
      <c r="B25" s="9" t="s">
        <v>17</v>
      </c>
      <c r="C25" s="9" t="s">
        <v>18</v>
      </c>
      <c r="D25" s="10"/>
      <c r="E25" s="11" t="n">
        <f>25959</f>
        <v>25959.0</v>
      </c>
      <c r="F25" s="10"/>
      <c r="G25" s="11" t="n">
        <f>206678059000</f>
        <v>2.06678059E11</v>
      </c>
      <c r="H25" s="10"/>
      <c r="I25" s="11" t="str">
        <f>"－"</f>
        <v>－</v>
      </c>
      <c r="J25" s="10"/>
      <c r="K25" s="11" t="n">
        <f>39739</f>
        <v>39739.0</v>
      </c>
    </row>
    <row r="26">
      <c r="A26" s="8" t="s">
        <v>40</v>
      </c>
      <c r="B26" s="9" t="s">
        <v>17</v>
      </c>
      <c r="C26" s="9" t="s">
        <v>18</v>
      </c>
      <c r="D26" s="10" t="s">
        <v>41</v>
      </c>
      <c r="E26" s="11" t="n">
        <f>13154</f>
        <v>13154.0</v>
      </c>
      <c r="F26" s="10" t="s">
        <v>41</v>
      </c>
      <c r="G26" s="11" t="n">
        <f>104621003000</f>
        <v>1.04621003E11</v>
      </c>
      <c r="H26" s="10"/>
      <c r="I26" s="11" t="str">
        <f>"－"</f>
        <v>－</v>
      </c>
      <c r="J26" s="10"/>
      <c r="K26" s="11" t="n">
        <f>39622</f>
        <v>39622.0</v>
      </c>
    </row>
    <row r="27">
      <c r="A27" s="8" t="s">
        <v>42</v>
      </c>
      <c r="B27" s="9" t="s">
        <v>17</v>
      </c>
      <c r="C27" s="9" t="s">
        <v>18</v>
      </c>
      <c r="D27" s="10"/>
      <c r="E27" s="11" t="n">
        <f>24203</f>
        <v>24203.0</v>
      </c>
      <c r="F27" s="10"/>
      <c r="G27" s="11" t="n">
        <f>193428544000</f>
        <v>1.93428544E11</v>
      </c>
      <c r="H27" s="10"/>
      <c r="I27" s="11" t="str">
        <f>"－"</f>
        <v>－</v>
      </c>
      <c r="J27" s="10" t="s">
        <v>41</v>
      </c>
      <c r="K27" s="11" t="n">
        <f>39062</f>
        <v>39062.0</v>
      </c>
    </row>
    <row r="28">
      <c r="A28" s="8" t="s">
        <v>43</v>
      </c>
      <c r="B28" s="9" t="s">
        <v>17</v>
      </c>
      <c r="C28" s="9" t="s">
        <v>18</v>
      </c>
      <c r="D28" s="10"/>
      <c r="E28" s="11" t="n">
        <f>29831</f>
        <v>29831.0</v>
      </c>
      <c r="F28" s="10"/>
      <c r="G28" s="11" t="n">
        <f>238487292000</f>
        <v>2.38487292E11</v>
      </c>
      <c r="H28" s="10"/>
      <c r="I28" s="11" t="str">
        <f>"－"</f>
        <v>－</v>
      </c>
      <c r="J28" s="10"/>
      <c r="K28" s="11" t="n">
        <f>39162</f>
        <v>39162.0</v>
      </c>
    </row>
    <row r="29">
      <c r="A29" s="8" t="s">
        <v>44</v>
      </c>
      <c r="B29" s="9" t="s">
        <v>17</v>
      </c>
      <c r="C29" s="9" t="s">
        <v>18</v>
      </c>
      <c r="D29" s="10"/>
      <c r="E29" s="11" t="n">
        <f>26162</f>
        <v>26162.0</v>
      </c>
      <c r="F29" s="10"/>
      <c r="G29" s="11" t="n">
        <f>207040650000</f>
        <v>2.0704065E11</v>
      </c>
      <c r="H29" s="10"/>
      <c r="I29" s="11" t="str">
        <f>"－"</f>
        <v>－</v>
      </c>
      <c r="J29" s="10"/>
      <c r="K29" s="11" t="n">
        <f>39919</f>
        <v>39919.0</v>
      </c>
    </row>
    <row r="30">
      <c r="A30" s="8" t="s">
        <v>45</v>
      </c>
      <c r="B30" s="9" t="s">
        <v>17</v>
      </c>
      <c r="C30" s="9" t="s">
        <v>18</v>
      </c>
      <c r="D30" s="10"/>
      <c r="E30" s="11"/>
      <c r="F30" s="10"/>
      <c r="G30" s="11"/>
      <c r="H30" s="10"/>
      <c r="I30" s="11"/>
      <c r="J30" s="10"/>
      <c r="K30" s="11"/>
    </row>
    <row r="31">
      <c r="A31" s="8" t="s">
        <v>46</v>
      </c>
      <c r="B31" s="9" t="s">
        <v>17</v>
      </c>
      <c r="C31" s="9" t="s">
        <v>18</v>
      </c>
      <c r="D31" s="10"/>
      <c r="E31" s="11"/>
      <c r="F31" s="10"/>
      <c r="G31" s="11"/>
      <c r="H31" s="10"/>
      <c r="I31" s="11"/>
      <c r="J31" s="10"/>
      <c r="K31" s="11"/>
    </row>
    <row r="32">
      <c r="A32" s="8" t="s">
        <v>47</v>
      </c>
      <c r="B32" s="9" t="s">
        <v>17</v>
      </c>
      <c r="C32" s="9" t="s">
        <v>18</v>
      </c>
      <c r="D32" s="10"/>
      <c r="E32" s="11" t="n">
        <f>20320</f>
        <v>20320.0</v>
      </c>
      <c r="F32" s="10"/>
      <c r="G32" s="11" t="n">
        <f>160683774000</f>
        <v>1.60683774E11</v>
      </c>
      <c r="H32" s="10"/>
      <c r="I32" s="11" t="str">
        <f>"－"</f>
        <v>－</v>
      </c>
      <c r="J32" s="10"/>
      <c r="K32" s="11" t="n">
        <f>40145</f>
        <v>40145.0</v>
      </c>
    </row>
    <row r="33">
      <c r="A33" s="8" t="s">
        <v>48</v>
      </c>
      <c r="B33" s="9" t="s">
        <v>17</v>
      </c>
      <c r="C33" s="9" t="s">
        <v>18</v>
      </c>
      <c r="D33" s="10"/>
      <c r="E33" s="11" t="n">
        <f>17367</f>
        <v>17367.0</v>
      </c>
      <c r="F33" s="10"/>
      <c r="G33" s="11" t="n">
        <f>137605519000</f>
        <v>1.37605519E11</v>
      </c>
      <c r="H33" s="10"/>
      <c r="I33" s="11" t="str">
        <f>"－"</f>
        <v>－</v>
      </c>
      <c r="J33" s="10"/>
      <c r="K33" s="11" t="n">
        <f>41021</f>
        <v>41021.0</v>
      </c>
    </row>
    <row r="34">
      <c r="A34" s="8" t="s">
        <v>49</v>
      </c>
      <c r="B34" s="9" t="s">
        <v>17</v>
      </c>
      <c r="C34" s="9" t="s">
        <v>18</v>
      </c>
      <c r="D34" s="10"/>
      <c r="E34" s="11" t="n">
        <f>17070</f>
        <v>17070.0</v>
      </c>
      <c r="F34" s="10"/>
      <c r="G34" s="11" t="n">
        <f>135529782000</f>
        <v>1.35529782E11</v>
      </c>
      <c r="H34" s="10"/>
      <c r="I34" s="11" t="str">
        <f>"－"</f>
        <v>－</v>
      </c>
      <c r="J34" s="10"/>
      <c r="K34" s="11" t="n">
        <f>40844</f>
        <v>40844.0</v>
      </c>
    </row>
    <row r="35">
      <c r="A35" s="8" t="s">
        <v>50</v>
      </c>
      <c r="B35" s="9" t="s">
        <v>17</v>
      </c>
      <c r="C35" s="9" t="s">
        <v>18</v>
      </c>
      <c r="D35" s="10"/>
      <c r="E35" s="11" t="n">
        <f>27508</f>
        <v>27508.0</v>
      </c>
      <c r="F35" s="10"/>
      <c r="G35" s="11" t="n">
        <f>219003148000</f>
        <v>2.19003148E11</v>
      </c>
      <c r="H35" s="10"/>
      <c r="I35" s="11" t="str">
        <f>"－"</f>
        <v>－</v>
      </c>
      <c r="J35" s="10"/>
      <c r="K35" s="11" t="n">
        <f>40144</f>
        <v>40144.0</v>
      </c>
    </row>
    <row r="36">
      <c r="A36" s="8" t="s">
        <v>16</v>
      </c>
      <c r="B36" s="9" t="s">
        <v>51</v>
      </c>
      <c r="C36" s="9" t="s">
        <v>52</v>
      </c>
      <c r="D36" s="10"/>
      <c r="E36" s="11" t="n">
        <f>6933</f>
        <v>6933.0</v>
      </c>
      <c r="F36" s="10"/>
      <c r="G36" s="11" t="n">
        <f>5266027550</f>
        <v>5.26602755E9</v>
      </c>
      <c r="H36" s="10" t="s">
        <v>19</v>
      </c>
      <c r="I36" s="11" t="str">
        <f>"－"</f>
        <v>－</v>
      </c>
      <c r="J36" s="10" t="s">
        <v>20</v>
      </c>
      <c r="K36" s="11" t="n">
        <f>10676</f>
        <v>10676.0</v>
      </c>
    </row>
    <row r="37">
      <c r="A37" s="8" t="s">
        <v>21</v>
      </c>
      <c r="B37" s="9" t="s">
        <v>51</v>
      </c>
      <c r="C37" s="9" t="s">
        <v>52</v>
      </c>
      <c r="D37" s="10"/>
      <c r="E37" s="11" t="n">
        <f>8319</f>
        <v>8319.0</v>
      </c>
      <c r="F37" s="10"/>
      <c r="G37" s="11" t="n">
        <f>6370847250</f>
        <v>6.37084725E9</v>
      </c>
      <c r="H37" s="10"/>
      <c r="I37" s="11" t="str">
        <f>"－"</f>
        <v>－</v>
      </c>
      <c r="J37" s="10"/>
      <c r="K37" s="11" t="n">
        <f>10599</f>
        <v>10599.0</v>
      </c>
    </row>
    <row r="38">
      <c r="A38" s="8" t="s">
        <v>22</v>
      </c>
      <c r="B38" s="9" t="s">
        <v>51</v>
      </c>
      <c r="C38" s="9" t="s">
        <v>52</v>
      </c>
      <c r="D38" s="10"/>
      <c r="E38" s="11" t="n">
        <f>7986</f>
        <v>7986.0</v>
      </c>
      <c r="F38" s="10"/>
      <c r="G38" s="11" t="n">
        <f>6191758250</f>
        <v>6.19175825E9</v>
      </c>
      <c r="H38" s="10"/>
      <c r="I38" s="11" t="str">
        <f>"－"</f>
        <v>－</v>
      </c>
      <c r="J38" s="10"/>
      <c r="K38" s="11" t="n">
        <f>10144</f>
        <v>10144.0</v>
      </c>
    </row>
    <row r="39">
      <c r="A39" s="8" t="s">
        <v>23</v>
      </c>
      <c r="B39" s="9" t="s">
        <v>51</v>
      </c>
      <c r="C39" s="9" t="s">
        <v>52</v>
      </c>
      <c r="D39" s="10"/>
      <c r="E39" s="11"/>
      <c r="F39" s="10"/>
      <c r="G39" s="11"/>
      <c r="H39" s="10"/>
      <c r="I39" s="11"/>
      <c r="J39" s="10"/>
      <c r="K39" s="11"/>
    </row>
    <row r="40">
      <c r="A40" s="8" t="s">
        <v>24</v>
      </c>
      <c r="B40" s="9" t="s">
        <v>51</v>
      </c>
      <c r="C40" s="9" t="s">
        <v>52</v>
      </c>
      <c r="D40" s="10"/>
      <c r="E40" s="11"/>
      <c r="F40" s="10"/>
      <c r="G40" s="11"/>
      <c r="H40" s="10"/>
      <c r="I40" s="11"/>
      <c r="J40" s="10"/>
      <c r="K40" s="11"/>
    </row>
    <row r="41">
      <c r="A41" s="8" t="s">
        <v>25</v>
      </c>
      <c r="B41" s="9" t="s">
        <v>51</v>
      </c>
      <c r="C41" s="9" t="s">
        <v>52</v>
      </c>
      <c r="D41" s="10"/>
      <c r="E41" s="11" t="n">
        <f>5309</f>
        <v>5309.0</v>
      </c>
      <c r="F41" s="10"/>
      <c r="G41" s="11" t="n">
        <f>4124316000</f>
        <v>4.124316E9</v>
      </c>
      <c r="H41" s="10"/>
      <c r="I41" s="11" t="str">
        <f>"－"</f>
        <v>－</v>
      </c>
      <c r="J41" s="10"/>
      <c r="K41" s="11" t="n">
        <f>10248</f>
        <v>10248.0</v>
      </c>
    </row>
    <row r="42">
      <c r="A42" s="8" t="s">
        <v>26</v>
      </c>
      <c r="B42" s="9" t="s">
        <v>51</v>
      </c>
      <c r="C42" s="9" t="s">
        <v>52</v>
      </c>
      <c r="D42" s="10"/>
      <c r="E42" s="11" t="n">
        <f>6234</f>
        <v>6234.0</v>
      </c>
      <c r="F42" s="10"/>
      <c r="G42" s="11" t="n">
        <f>4860765750</f>
        <v>4.86076575E9</v>
      </c>
      <c r="H42" s="10"/>
      <c r="I42" s="11" t="str">
        <f>"－"</f>
        <v>－</v>
      </c>
      <c r="J42" s="10"/>
      <c r="K42" s="11" t="n">
        <f>10101</f>
        <v>10101.0</v>
      </c>
    </row>
    <row r="43">
      <c r="A43" s="8" t="s">
        <v>27</v>
      </c>
      <c r="B43" s="9" t="s">
        <v>51</v>
      </c>
      <c r="C43" s="9" t="s">
        <v>52</v>
      </c>
      <c r="D43" s="10"/>
      <c r="E43" s="11" t="n">
        <f>6420</f>
        <v>6420.0</v>
      </c>
      <c r="F43" s="10"/>
      <c r="G43" s="11" t="n">
        <f>5048790950</f>
        <v>5.04879095E9</v>
      </c>
      <c r="H43" s="10"/>
      <c r="I43" s="11" t="str">
        <f>"－"</f>
        <v>－</v>
      </c>
      <c r="J43" s="10"/>
      <c r="K43" s="11" t="n">
        <f>9995</f>
        <v>9995.0</v>
      </c>
    </row>
    <row r="44">
      <c r="A44" s="8" t="s">
        <v>28</v>
      </c>
      <c r="B44" s="9" t="s">
        <v>51</v>
      </c>
      <c r="C44" s="9" t="s">
        <v>52</v>
      </c>
      <c r="D44" s="10"/>
      <c r="E44" s="11" t="n">
        <f>8242</f>
        <v>8242.0</v>
      </c>
      <c r="F44" s="10"/>
      <c r="G44" s="11" t="n">
        <f>6555337900</f>
        <v>6.5553379E9</v>
      </c>
      <c r="H44" s="10"/>
      <c r="I44" s="11" t="str">
        <f>"－"</f>
        <v>－</v>
      </c>
      <c r="J44" s="10"/>
      <c r="K44" s="11" t="n">
        <f>9863</f>
        <v>9863.0</v>
      </c>
    </row>
    <row r="45">
      <c r="A45" s="8" t="s">
        <v>29</v>
      </c>
      <c r="B45" s="9" t="s">
        <v>51</v>
      </c>
      <c r="C45" s="9" t="s">
        <v>52</v>
      </c>
      <c r="D45" s="10"/>
      <c r="E45" s="11" t="n">
        <f>7415</f>
        <v>7415.0</v>
      </c>
      <c r="F45" s="10"/>
      <c r="G45" s="11" t="n">
        <f>5869580800</f>
        <v>5.8695808E9</v>
      </c>
      <c r="H45" s="10"/>
      <c r="I45" s="11" t="str">
        <f>"－"</f>
        <v>－</v>
      </c>
      <c r="J45" s="10"/>
      <c r="K45" s="11" t="n">
        <f>9674</f>
        <v>9674.0</v>
      </c>
    </row>
    <row r="46">
      <c r="A46" s="8" t="s">
        <v>30</v>
      </c>
      <c r="B46" s="9" t="s">
        <v>51</v>
      </c>
      <c r="C46" s="9" t="s">
        <v>52</v>
      </c>
      <c r="D46" s="10"/>
      <c r="E46" s="11"/>
      <c r="F46" s="10"/>
      <c r="G46" s="11"/>
      <c r="H46" s="10"/>
      <c r="I46" s="11"/>
      <c r="J46" s="10"/>
      <c r="K46" s="11"/>
    </row>
    <row r="47">
      <c r="A47" s="8" t="s">
        <v>31</v>
      </c>
      <c r="B47" s="9" t="s">
        <v>51</v>
      </c>
      <c r="C47" s="9" t="s">
        <v>52</v>
      </c>
      <c r="D47" s="10"/>
      <c r="E47" s="11"/>
      <c r="F47" s="10"/>
      <c r="G47" s="11"/>
      <c r="H47" s="10"/>
      <c r="I47" s="11"/>
      <c r="J47" s="10"/>
      <c r="K47" s="11"/>
    </row>
    <row r="48">
      <c r="A48" s="8" t="s">
        <v>32</v>
      </c>
      <c r="B48" s="9" t="s">
        <v>51</v>
      </c>
      <c r="C48" s="9" t="s">
        <v>52</v>
      </c>
      <c r="D48" s="10" t="s">
        <v>20</v>
      </c>
      <c r="E48" s="11" t="n">
        <f>15172</f>
        <v>15172.0</v>
      </c>
      <c r="F48" s="10" t="s">
        <v>20</v>
      </c>
      <c r="G48" s="11" t="n">
        <f>12110079100</f>
        <v>1.21100791E10</v>
      </c>
      <c r="H48" s="10"/>
      <c r="I48" s="11" t="str">
        <f>"－"</f>
        <v>－</v>
      </c>
      <c r="J48" s="10" t="s">
        <v>41</v>
      </c>
      <c r="K48" s="11" t="n">
        <f>9259</f>
        <v>9259.0</v>
      </c>
    </row>
    <row r="49">
      <c r="A49" s="8" t="s">
        <v>33</v>
      </c>
      <c r="B49" s="9" t="s">
        <v>51</v>
      </c>
      <c r="C49" s="9" t="s">
        <v>52</v>
      </c>
      <c r="D49" s="10"/>
      <c r="E49" s="11" t="n">
        <f>13644</f>
        <v>13644.0</v>
      </c>
      <c r="F49" s="10"/>
      <c r="G49" s="11" t="n">
        <f>10772932950</f>
        <v>1.077293295E10</v>
      </c>
      <c r="H49" s="10"/>
      <c r="I49" s="11" t="str">
        <f>"－"</f>
        <v>－</v>
      </c>
      <c r="J49" s="10"/>
      <c r="K49" s="11" t="n">
        <f>9582</f>
        <v>9582.0</v>
      </c>
    </row>
    <row r="50">
      <c r="A50" s="8" t="s">
        <v>34</v>
      </c>
      <c r="B50" s="9" t="s">
        <v>51</v>
      </c>
      <c r="C50" s="9" t="s">
        <v>52</v>
      </c>
      <c r="D50" s="10"/>
      <c r="E50" s="11" t="n">
        <f>7820</f>
        <v>7820.0</v>
      </c>
      <c r="F50" s="10"/>
      <c r="G50" s="11" t="n">
        <f>6136065200</f>
        <v>6.1360652E9</v>
      </c>
      <c r="H50" s="10"/>
      <c r="I50" s="11" t="str">
        <f>"－"</f>
        <v>－</v>
      </c>
      <c r="J50" s="10"/>
      <c r="K50" s="11" t="n">
        <f>9772</f>
        <v>9772.0</v>
      </c>
    </row>
    <row r="51">
      <c r="A51" s="8" t="s">
        <v>35</v>
      </c>
      <c r="B51" s="9" t="s">
        <v>51</v>
      </c>
      <c r="C51" s="9" t="s">
        <v>52</v>
      </c>
      <c r="D51" s="10"/>
      <c r="E51" s="11" t="n">
        <f>9361</f>
        <v>9361.0</v>
      </c>
      <c r="F51" s="10"/>
      <c r="G51" s="11" t="n">
        <f>7371325950</f>
        <v>7.37132595E9</v>
      </c>
      <c r="H51" s="10"/>
      <c r="I51" s="11" t="str">
        <f>"－"</f>
        <v>－</v>
      </c>
      <c r="J51" s="10"/>
      <c r="K51" s="11" t="n">
        <f>9908</f>
        <v>9908.0</v>
      </c>
    </row>
    <row r="52">
      <c r="A52" s="8" t="s">
        <v>36</v>
      </c>
      <c r="B52" s="9" t="s">
        <v>51</v>
      </c>
      <c r="C52" s="9" t="s">
        <v>52</v>
      </c>
      <c r="D52" s="10"/>
      <c r="E52" s="11" t="n">
        <f>14019</f>
        <v>14019.0</v>
      </c>
      <c r="F52" s="10"/>
      <c r="G52" s="11" t="n">
        <f>10973208150</f>
        <v>1.097320815E10</v>
      </c>
      <c r="H52" s="10"/>
      <c r="I52" s="11" t="str">
        <f>"－"</f>
        <v>－</v>
      </c>
      <c r="J52" s="10"/>
      <c r="K52" s="11" t="n">
        <f>10103</f>
        <v>10103.0</v>
      </c>
    </row>
    <row r="53">
      <c r="A53" s="8" t="s">
        <v>37</v>
      </c>
      <c r="B53" s="9" t="s">
        <v>51</v>
      </c>
      <c r="C53" s="9" t="s">
        <v>52</v>
      </c>
      <c r="D53" s="10"/>
      <c r="E53" s="11"/>
      <c r="F53" s="10"/>
      <c r="G53" s="11"/>
      <c r="H53" s="10"/>
      <c r="I53" s="11"/>
      <c r="J53" s="10"/>
      <c r="K53" s="11"/>
    </row>
    <row r="54">
      <c r="A54" s="8" t="s">
        <v>38</v>
      </c>
      <c r="B54" s="9" t="s">
        <v>51</v>
      </c>
      <c r="C54" s="9" t="s">
        <v>52</v>
      </c>
      <c r="D54" s="10"/>
      <c r="E54" s="11"/>
      <c r="F54" s="10"/>
      <c r="G54" s="11"/>
      <c r="H54" s="10"/>
      <c r="I54" s="11"/>
      <c r="J54" s="10"/>
      <c r="K54" s="11"/>
    </row>
    <row r="55">
      <c r="A55" s="8" t="s">
        <v>39</v>
      </c>
      <c r="B55" s="9" t="s">
        <v>51</v>
      </c>
      <c r="C55" s="9" t="s">
        <v>52</v>
      </c>
      <c r="D55" s="10"/>
      <c r="E55" s="11" t="n">
        <f>9064</f>
        <v>9064.0</v>
      </c>
      <c r="F55" s="10"/>
      <c r="G55" s="11" t="n">
        <f>7215538100</f>
        <v>7.2155381E9</v>
      </c>
      <c r="H55" s="10"/>
      <c r="I55" s="11" t="str">
        <f>"－"</f>
        <v>－</v>
      </c>
      <c r="J55" s="10"/>
      <c r="K55" s="11" t="n">
        <f>9944</f>
        <v>9944.0</v>
      </c>
    </row>
    <row r="56">
      <c r="A56" s="8" t="s">
        <v>40</v>
      </c>
      <c r="B56" s="9" t="s">
        <v>51</v>
      </c>
      <c r="C56" s="9" t="s">
        <v>52</v>
      </c>
      <c r="D56" s="10"/>
      <c r="E56" s="11" t="n">
        <f>4727</f>
        <v>4727.0</v>
      </c>
      <c r="F56" s="10"/>
      <c r="G56" s="11" t="n">
        <f>3758998400</f>
        <v>3.7589984E9</v>
      </c>
      <c r="H56" s="10"/>
      <c r="I56" s="11" t="str">
        <f>"－"</f>
        <v>－</v>
      </c>
      <c r="J56" s="10"/>
      <c r="K56" s="11" t="n">
        <f>10076</f>
        <v>10076.0</v>
      </c>
    </row>
    <row r="57">
      <c r="A57" s="8" t="s">
        <v>42</v>
      </c>
      <c r="B57" s="9" t="s">
        <v>51</v>
      </c>
      <c r="C57" s="9" t="s">
        <v>52</v>
      </c>
      <c r="D57" s="10"/>
      <c r="E57" s="11" t="n">
        <f>9233</f>
        <v>9233.0</v>
      </c>
      <c r="F57" s="10"/>
      <c r="G57" s="11" t="n">
        <f>7375670450</f>
        <v>7.37567045E9</v>
      </c>
      <c r="H57" s="10"/>
      <c r="I57" s="11" t="str">
        <f>"－"</f>
        <v>－</v>
      </c>
      <c r="J57" s="10"/>
      <c r="K57" s="11" t="n">
        <f>9773</f>
        <v>9773.0</v>
      </c>
    </row>
    <row r="58">
      <c r="A58" s="8" t="s">
        <v>43</v>
      </c>
      <c r="B58" s="9" t="s">
        <v>51</v>
      </c>
      <c r="C58" s="9" t="s">
        <v>52</v>
      </c>
      <c r="D58" s="10"/>
      <c r="E58" s="11" t="n">
        <f>9229</f>
        <v>9229.0</v>
      </c>
      <c r="F58" s="10"/>
      <c r="G58" s="11" t="n">
        <f>7375571850</f>
        <v>7.37557185E9</v>
      </c>
      <c r="H58" s="10"/>
      <c r="I58" s="11" t="str">
        <f>"－"</f>
        <v>－</v>
      </c>
      <c r="J58" s="10"/>
      <c r="K58" s="11" t="n">
        <f>9790</f>
        <v>9790.0</v>
      </c>
    </row>
    <row r="59">
      <c r="A59" s="8" t="s">
        <v>44</v>
      </c>
      <c r="B59" s="9" t="s">
        <v>51</v>
      </c>
      <c r="C59" s="9" t="s">
        <v>52</v>
      </c>
      <c r="D59" s="10"/>
      <c r="E59" s="11" t="n">
        <f>8588</f>
        <v>8588.0</v>
      </c>
      <c r="F59" s="10"/>
      <c r="G59" s="11" t="n">
        <f>6800232400</f>
        <v>6.8002324E9</v>
      </c>
      <c r="H59" s="10"/>
      <c r="I59" s="11" t="str">
        <f>"－"</f>
        <v>－</v>
      </c>
      <c r="J59" s="10"/>
      <c r="K59" s="11" t="n">
        <f>10152</f>
        <v>10152.0</v>
      </c>
    </row>
    <row r="60">
      <c r="A60" s="8" t="s">
        <v>45</v>
      </c>
      <c r="B60" s="9" t="s">
        <v>51</v>
      </c>
      <c r="C60" s="9" t="s">
        <v>52</v>
      </c>
      <c r="D60" s="10"/>
      <c r="E60" s="11"/>
      <c r="F60" s="10"/>
      <c r="G60" s="11"/>
      <c r="H60" s="10"/>
      <c r="I60" s="11"/>
      <c r="J60" s="10"/>
      <c r="K60" s="11"/>
    </row>
    <row r="61">
      <c r="A61" s="8" t="s">
        <v>46</v>
      </c>
      <c r="B61" s="9" t="s">
        <v>51</v>
      </c>
      <c r="C61" s="9" t="s">
        <v>52</v>
      </c>
      <c r="D61" s="10"/>
      <c r="E61" s="11"/>
      <c r="F61" s="10"/>
      <c r="G61" s="11"/>
      <c r="H61" s="10"/>
      <c r="I61" s="11"/>
      <c r="J61" s="10"/>
      <c r="K61" s="11"/>
    </row>
    <row r="62">
      <c r="A62" s="8" t="s">
        <v>47</v>
      </c>
      <c r="B62" s="9" t="s">
        <v>51</v>
      </c>
      <c r="C62" s="9" t="s">
        <v>52</v>
      </c>
      <c r="D62" s="10"/>
      <c r="E62" s="11" t="n">
        <f>6130</f>
        <v>6130.0</v>
      </c>
      <c r="F62" s="10"/>
      <c r="G62" s="11" t="n">
        <f>4846620150</f>
        <v>4.84662015E9</v>
      </c>
      <c r="H62" s="10"/>
      <c r="I62" s="11" t="str">
        <f>"－"</f>
        <v>－</v>
      </c>
      <c r="J62" s="10"/>
      <c r="K62" s="11" t="n">
        <f>10206</f>
        <v>10206.0</v>
      </c>
    </row>
    <row r="63">
      <c r="A63" s="8" t="s">
        <v>48</v>
      </c>
      <c r="B63" s="9" t="s">
        <v>51</v>
      </c>
      <c r="C63" s="9" t="s">
        <v>52</v>
      </c>
      <c r="D63" s="10"/>
      <c r="E63" s="11" t="n">
        <f>4705</f>
        <v>4705.0</v>
      </c>
      <c r="F63" s="10"/>
      <c r="G63" s="11" t="n">
        <f>3730040300</f>
        <v>3.7300403E9</v>
      </c>
      <c r="H63" s="10"/>
      <c r="I63" s="11" t="str">
        <f>"－"</f>
        <v>－</v>
      </c>
      <c r="J63" s="10"/>
      <c r="K63" s="11" t="n">
        <f>9744</f>
        <v>9744.0</v>
      </c>
    </row>
    <row r="64">
      <c r="A64" s="8" t="s">
        <v>49</v>
      </c>
      <c r="B64" s="9" t="s">
        <v>51</v>
      </c>
      <c r="C64" s="9" t="s">
        <v>52</v>
      </c>
      <c r="D64" s="10" t="s">
        <v>41</v>
      </c>
      <c r="E64" s="11" t="n">
        <f>3971</f>
        <v>3971.0</v>
      </c>
      <c r="F64" s="10" t="s">
        <v>41</v>
      </c>
      <c r="G64" s="11" t="n">
        <f>3152512600</f>
        <v>3.1525126E9</v>
      </c>
      <c r="H64" s="10"/>
      <c r="I64" s="11" t="str">
        <f>"－"</f>
        <v>－</v>
      </c>
      <c r="J64" s="10"/>
      <c r="K64" s="11" t="n">
        <f>9925</f>
        <v>9925.0</v>
      </c>
    </row>
    <row r="65">
      <c r="A65" s="8" t="s">
        <v>50</v>
      </c>
      <c r="B65" s="9" t="s">
        <v>51</v>
      </c>
      <c r="C65" s="9" t="s">
        <v>52</v>
      </c>
      <c r="D65" s="10"/>
      <c r="E65" s="11" t="n">
        <f>7507</f>
        <v>7507.0</v>
      </c>
      <c r="F65" s="10"/>
      <c r="G65" s="11" t="n">
        <f>5975960750</f>
        <v>5.97596075E9</v>
      </c>
      <c r="H65" s="10"/>
      <c r="I65" s="11" t="str">
        <f>"－"</f>
        <v>－</v>
      </c>
      <c r="J65" s="10"/>
      <c r="K65" s="11" t="n">
        <f>9757</f>
        <v>9757.0</v>
      </c>
    </row>
    <row r="66">
      <c r="A66" s="8" t="s">
        <v>16</v>
      </c>
      <c r="B66" s="9" t="s">
        <v>53</v>
      </c>
      <c r="C66" s="9" t="s">
        <v>54</v>
      </c>
      <c r="D66" s="10"/>
      <c r="E66" s="11" t="n">
        <f>2271</f>
        <v>2271.0</v>
      </c>
      <c r="F66" s="10" t="s">
        <v>41</v>
      </c>
      <c r="G66" s="11" t="n">
        <f>1732360400</f>
        <v>1.7323604E9</v>
      </c>
      <c r="H66" s="10" t="s">
        <v>19</v>
      </c>
      <c r="I66" s="11" t="str">
        <f>"－"</f>
        <v>－</v>
      </c>
      <c r="J66" s="10"/>
      <c r="K66" s="11" t="n">
        <f>57551</f>
        <v>57551.0</v>
      </c>
    </row>
    <row r="67">
      <c r="A67" s="8" t="s">
        <v>21</v>
      </c>
      <c r="B67" s="9" t="s">
        <v>53</v>
      </c>
      <c r="C67" s="9" t="s">
        <v>54</v>
      </c>
      <c r="D67" s="10"/>
      <c r="E67" s="11" t="n">
        <f>5210</f>
        <v>5210.0</v>
      </c>
      <c r="F67" s="10"/>
      <c r="G67" s="11" t="n">
        <f>4012225900</f>
        <v>4.0122259E9</v>
      </c>
      <c r="H67" s="10"/>
      <c r="I67" s="11" t="str">
        <f>"－"</f>
        <v>－</v>
      </c>
      <c r="J67" s="10" t="s">
        <v>20</v>
      </c>
      <c r="K67" s="11" t="n">
        <f>57737</f>
        <v>57737.0</v>
      </c>
    </row>
    <row r="68">
      <c r="A68" s="8" t="s">
        <v>22</v>
      </c>
      <c r="B68" s="9" t="s">
        <v>53</v>
      </c>
      <c r="C68" s="9" t="s">
        <v>54</v>
      </c>
      <c r="D68" s="10"/>
      <c r="E68" s="11" t="n">
        <f>5256</f>
        <v>5256.0</v>
      </c>
      <c r="F68" s="10"/>
      <c r="G68" s="11" t="n">
        <f>4097798800</f>
        <v>4.0977988E9</v>
      </c>
      <c r="H68" s="10"/>
      <c r="I68" s="11" t="str">
        <f>"－"</f>
        <v>－</v>
      </c>
      <c r="J68" s="10"/>
      <c r="K68" s="11" t="n">
        <f>57209</f>
        <v>57209.0</v>
      </c>
    </row>
    <row r="69">
      <c r="A69" s="8" t="s">
        <v>23</v>
      </c>
      <c r="B69" s="9" t="s">
        <v>53</v>
      </c>
      <c r="C69" s="9" t="s">
        <v>54</v>
      </c>
      <c r="D69" s="10"/>
      <c r="E69" s="11"/>
      <c r="F69" s="10"/>
      <c r="G69" s="11"/>
      <c r="H69" s="10"/>
      <c r="I69" s="11"/>
      <c r="J69" s="10"/>
      <c r="K69" s="11"/>
    </row>
    <row r="70">
      <c r="A70" s="8" t="s">
        <v>24</v>
      </c>
      <c r="B70" s="9" t="s">
        <v>53</v>
      </c>
      <c r="C70" s="9" t="s">
        <v>54</v>
      </c>
      <c r="D70" s="10"/>
      <c r="E70" s="11"/>
      <c r="F70" s="10"/>
      <c r="G70" s="11"/>
      <c r="H70" s="10"/>
      <c r="I70" s="11"/>
      <c r="J70" s="10"/>
      <c r="K70" s="11"/>
    </row>
    <row r="71">
      <c r="A71" s="8" t="s">
        <v>25</v>
      </c>
      <c r="B71" s="9" t="s">
        <v>53</v>
      </c>
      <c r="C71" s="9" t="s">
        <v>54</v>
      </c>
      <c r="D71" s="10"/>
      <c r="E71" s="11" t="n">
        <f>3864</f>
        <v>3864.0</v>
      </c>
      <c r="F71" s="10"/>
      <c r="G71" s="11" t="n">
        <f>3011383800</f>
        <v>3.0113838E9</v>
      </c>
      <c r="H71" s="10"/>
      <c r="I71" s="11" t="str">
        <f>"－"</f>
        <v>－</v>
      </c>
      <c r="J71" s="10"/>
      <c r="K71" s="11" t="n">
        <f>56885</f>
        <v>56885.0</v>
      </c>
    </row>
    <row r="72">
      <c r="A72" s="8" t="s">
        <v>26</v>
      </c>
      <c r="B72" s="9" t="s">
        <v>53</v>
      </c>
      <c r="C72" s="9" t="s">
        <v>54</v>
      </c>
      <c r="D72" s="10"/>
      <c r="E72" s="11" t="n">
        <f>3676</f>
        <v>3676.0</v>
      </c>
      <c r="F72" s="10"/>
      <c r="G72" s="11" t="n">
        <f>2880724500</f>
        <v>2.8807245E9</v>
      </c>
      <c r="H72" s="10"/>
      <c r="I72" s="11" t="str">
        <f>"－"</f>
        <v>－</v>
      </c>
      <c r="J72" s="10"/>
      <c r="K72" s="11" t="n">
        <f>56995</f>
        <v>56995.0</v>
      </c>
    </row>
    <row r="73">
      <c r="A73" s="8" t="s">
        <v>27</v>
      </c>
      <c r="B73" s="9" t="s">
        <v>53</v>
      </c>
      <c r="C73" s="9" t="s">
        <v>54</v>
      </c>
      <c r="D73" s="10"/>
      <c r="E73" s="11" t="n">
        <f>4153</f>
        <v>4153.0</v>
      </c>
      <c r="F73" s="10"/>
      <c r="G73" s="11" t="n">
        <f>3282150500</f>
        <v>3.2821505E9</v>
      </c>
      <c r="H73" s="10"/>
      <c r="I73" s="11" t="str">
        <f>"－"</f>
        <v>－</v>
      </c>
      <c r="J73" s="10"/>
      <c r="K73" s="11" t="n">
        <f>57232</f>
        <v>57232.0</v>
      </c>
    </row>
    <row r="74">
      <c r="A74" s="8" t="s">
        <v>28</v>
      </c>
      <c r="B74" s="9" t="s">
        <v>53</v>
      </c>
      <c r="C74" s="9" t="s">
        <v>54</v>
      </c>
      <c r="D74" s="10"/>
      <c r="E74" s="11" t="n">
        <f>5076</f>
        <v>5076.0</v>
      </c>
      <c r="F74" s="10"/>
      <c r="G74" s="11" t="n">
        <f>4054873700</f>
        <v>4.0548737E9</v>
      </c>
      <c r="H74" s="10"/>
      <c r="I74" s="11" t="str">
        <f>"－"</f>
        <v>－</v>
      </c>
      <c r="J74" s="10"/>
      <c r="K74" s="11" t="n">
        <f>57315</f>
        <v>57315.0</v>
      </c>
    </row>
    <row r="75">
      <c r="A75" s="8" t="s">
        <v>29</v>
      </c>
      <c r="B75" s="9" t="s">
        <v>53</v>
      </c>
      <c r="C75" s="9" t="s">
        <v>54</v>
      </c>
      <c r="D75" s="10"/>
      <c r="E75" s="11" t="n">
        <f>3303</f>
        <v>3303.0</v>
      </c>
      <c r="F75" s="10"/>
      <c r="G75" s="11" t="n">
        <f>2624977000</f>
        <v>2.624977E9</v>
      </c>
      <c r="H75" s="10"/>
      <c r="I75" s="11" t="str">
        <f>"－"</f>
        <v>－</v>
      </c>
      <c r="J75" s="10"/>
      <c r="K75" s="11" t="n">
        <f>57498</f>
        <v>57498.0</v>
      </c>
    </row>
    <row r="76">
      <c r="A76" s="8" t="s">
        <v>30</v>
      </c>
      <c r="B76" s="9" t="s">
        <v>53</v>
      </c>
      <c r="C76" s="9" t="s">
        <v>54</v>
      </c>
      <c r="D76" s="10"/>
      <c r="E76" s="11"/>
      <c r="F76" s="10"/>
      <c r="G76" s="11"/>
      <c r="H76" s="10"/>
      <c r="I76" s="11"/>
      <c r="J76" s="10"/>
      <c r="K76" s="11"/>
    </row>
    <row r="77">
      <c r="A77" s="8" t="s">
        <v>31</v>
      </c>
      <c r="B77" s="9" t="s">
        <v>53</v>
      </c>
      <c r="C77" s="9" t="s">
        <v>54</v>
      </c>
      <c r="D77" s="10"/>
      <c r="E77" s="11"/>
      <c r="F77" s="10"/>
      <c r="G77" s="11"/>
      <c r="H77" s="10"/>
      <c r="I77" s="11"/>
      <c r="J77" s="10"/>
      <c r="K77" s="11"/>
    </row>
    <row r="78">
      <c r="A78" s="8" t="s">
        <v>32</v>
      </c>
      <c r="B78" s="9" t="s">
        <v>53</v>
      </c>
      <c r="C78" s="9" t="s">
        <v>54</v>
      </c>
      <c r="D78" s="10"/>
      <c r="E78" s="11" t="n">
        <f>8861</f>
        <v>8861.0</v>
      </c>
      <c r="F78" s="10"/>
      <c r="G78" s="11" t="n">
        <f>7142166500</f>
        <v>7.1421665E9</v>
      </c>
      <c r="H78" s="10"/>
      <c r="I78" s="11" t="str">
        <f>"－"</f>
        <v>－</v>
      </c>
      <c r="J78" s="10"/>
      <c r="K78" s="11" t="n">
        <f>57588</f>
        <v>57588.0</v>
      </c>
    </row>
    <row r="79">
      <c r="A79" s="8" t="s">
        <v>33</v>
      </c>
      <c r="B79" s="9" t="s">
        <v>53</v>
      </c>
      <c r="C79" s="9" t="s">
        <v>54</v>
      </c>
      <c r="D79" s="10" t="s">
        <v>20</v>
      </c>
      <c r="E79" s="11" t="n">
        <f>9607</f>
        <v>9607.0</v>
      </c>
      <c r="F79" s="10" t="s">
        <v>20</v>
      </c>
      <c r="G79" s="11" t="n">
        <f>7613496800</f>
        <v>7.6134968E9</v>
      </c>
      <c r="H79" s="10"/>
      <c r="I79" s="11" t="str">
        <f>"－"</f>
        <v>－</v>
      </c>
      <c r="J79" s="10" t="s">
        <v>41</v>
      </c>
      <c r="K79" s="11" t="n">
        <f>55694</f>
        <v>55694.0</v>
      </c>
    </row>
    <row r="80">
      <c r="A80" s="8" t="s">
        <v>34</v>
      </c>
      <c r="B80" s="9" t="s">
        <v>53</v>
      </c>
      <c r="C80" s="9" t="s">
        <v>54</v>
      </c>
      <c r="D80" s="10"/>
      <c r="E80" s="11" t="n">
        <f>4179</f>
        <v>4179.0</v>
      </c>
      <c r="F80" s="10"/>
      <c r="G80" s="11" t="n">
        <f>3292075300</f>
        <v>3.2920753E9</v>
      </c>
      <c r="H80" s="10"/>
      <c r="I80" s="11" t="str">
        <f>"－"</f>
        <v>－</v>
      </c>
      <c r="J80" s="10"/>
      <c r="K80" s="11" t="n">
        <f>56099</f>
        <v>56099.0</v>
      </c>
    </row>
    <row r="81">
      <c r="A81" s="8" t="s">
        <v>35</v>
      </c>
      <c r="B81" s="9" t="s">
        <v>53</v>
      </c>
      <c r="C81" s="9" t="s">
        <v>54</v>
      </c>
      <c r="D81" s="10"/>
      <c r="E81" s="11" t="n">
        <f>3712</f>
        <v>3712.0</v>
      </c>
      <c r="F81" s="10"/>
      <c r="G81" s="11" t="n">
        <f>2935916500</f>
        <v>2.9359165E9</v>
      </c>
      <c r="H81" s="10"/>
      <c r="I81" s="11" t="str">
        <f>"－"</f>
        <v>－</v>
      </c>
      <c r="J81" s="10"/>
      <c r="K81" s="11" t="n">
        <f>55960</f>
        <v>55960.0</v>
      </c>
    </row>
    <row r="82">
      <c r="A82" s="8" t="s">
        <v>36</v>
      </c>
      <c r="B82" s="9" t="s">
        <v>53</v>
      </c>
      <c r="C82" s="9" t="s">
        <v>54</v>
      </c>
      <c r="D82" s="10"/>
      <c r="E82" s="11" t="n">
        <f>6197</f>
        <v>6197.0</v>
      </c>
      <c r="F82" s="10"/>
      <c r="G82" s="11" t="n">
        <f>4875800300</f>
        <v>4.8758003E9</v>
      </c>
      <c r="H82" s="10"/>
      <c r="I82" s="11" t="str">
        <f>"－"</f>
        <v>－</v>
      </c>
      <c r="J82" s="10"/>
      <c r="K82" s="11" t="n">
        <f>55967</f>
        <v>55967.0</v>
      </c>
    </row>
    <row r="83">
      <c r="A83" s="8" t="s">
        <v>37</v>
      </c>
      <c r="B83" s="9" t="s">
        <v>53</v>
      </c>
      <c r="C83" s="9" t="s">
        <v>54</v>
      </c>
      <c r="D83" s="10"/>
      <c r="E83" s="11"/>
      <c r="F83" s="10"/>
      <c r="G83" s="11"/>
      <c r="H83" s="10"/>
      <c r="I83" s="11"/>
      <c r="J83" s="10"/>
      <c r="K83" s="11"/>
    </row>
    <row r="84">
      <c r="A84" s="8" t="s">
        <v>38</v>
      </c>
      <c r="B84" s="9" t="s">
        <v>53</v>
      </c>
      <c r="C84" s="9" t="s">
        <v>54</v>
      </c>
      <c r="D84" s="10"/>
      <c r="E84" s="11"/>
      <c r="F84" s="10"/>
      <c r="G84" s="11"/>
      <c r="H84" s="10"/>
      <c r="I84" s="11"/>
      <c r="J84" s="10"/>
      <c r="K84" s="11"/>
    </row>
    <row r="85">
      <c r="A85" s="8" t="s">
        <v>39</v>
      </c>
      <c r="B85" s="9" t="s">
        <v>53</v>
      </c>
      <c r="C85" s="9" t="s">
        <v>54</v>
      </c>
      <c r="D85" s="10"/>
      <c r="E85" s="11" t="n">
        <f>2766</f>
        <v>2766.0</v>
      </c>
      <c r="F85" s="10"/>
      <c r="G85" s="11" t="n">
        <f>2212388100</f>
        <v>2.2123881E9</v>
      </c>
      <c r="H85" s="10"/>
      <c r="I85" s="11" t="str">
        <f>"－"</f>
        <v>－</v>
      </c>
      <c r="J85" s="10"/>
      <c r="K85" s="11" t="n">
        <f>56056</f>
        <v>56056.0</v>
      </c>
    </row>
    <row r="86">
      <c r="A86" s="8" t="s">
        <v>40</v>
      </c>
      <c r="B86" s="9" t="s">
        <v>53</v>
      </c>
      <c r="C86" s="9" t="s">
        <v>54</v>
      </c>
      <c r="D86" s="10"/>
      <c r="E86" s="11" t="n">
        <f>3512</f>
        <v>3512.0</v>
      </c>
      <c r="F86" s="10"/>
      <c r="G86" s="11" t="n">
        <f>2809575700</f>
        <v>2.8095757E9</v>
      </c>
      <c r="H86" s="10"/>
      <c r="I86" s="11" t="str">
        <f>"－"</f>
        <v>－</v>
      </c>
      <c r="J86" s="10"/>
      <c r="K86" s="11" t="n">
        <f>56570</f>
        <v>56570.0</v>
      </c>
    </row>
    <row r="87">
      <c r="A87" s="8" t="s">
        <v>42</v>
      </c>
      <c r="B87" s="9" t="s">
        <v>53</v>
      </c>
      <c r="C87" s="9" t="s">
        <v>54</v>
      </c>
      <c r="D87" s="10"/>
      <c r="E87" s="11" t="n">
        <f>4337</f>
        <v>4337.0</v>
      </c>
      <c r="F87" s="10"/>
      <c r="G87" s="11" t="n">
        <f>3480704100</f>
        <v>3.4807041E9</v>
      </c>
      <c r="H87" s="10"/>
      <c r="I87" s="11" t="str">
        <f>"－"</f>
        <v>－</v>
      </c>
      <c r="J87" s="10"/>
      <c r="K87" s="11" t="n">
        <f>56443</f>
        <v>56443.0</v>
      </c>
    </row>
    <row r="88">
      <c r="A88" s="8" t="s">
        <v>43</v>
      </c>
      <c r="B88" s="9" t="s">
        <v>53</v>
      </c>
      <c r="C88" s="9" t="s">
        <v>54</v>
      </c>
      <c r="D88" s="10"/>
      <c r="E88" s="11" t="n">
        <f>3619</f>
        <v>3619.0</v>
      </c>
      <c r="F88" s="10"/>
      <c r="G88" s="11" t="n">
        <f>2904599400</f>
        <v>2.9045994E9</v>
      </c>
      <c r="H88" s="10"/>
      <c r="I88" s="11" t="str">
        <f>"－"</f>
        <v>－</v>
      </c>
      <c r="J88" s="10"/>
      <c r="K88" s="11" t="n">
        <f>56204</f>
        <v>56204.0</v>
      </c>
    </row>
    <row r="89">
      <c r="A89" s="8" t="s">
        <v>44</v>
      </c>
      <c r="B89" s="9" t="s">
        <v>53</v>
      </c>
      <c r="C89" s="9" t="s">
        <v>54</v>
      </c>
      <c r="D89" s="10"/>
      <c r="E89" s="11" t="n">
        <f>5047</f>
        <v>5047.0</v>
      </c>
      <c r="F89" s="10"/>
      <c r="G89" s="11" t="n">
        <f>4009522500</f>
        <v>4.0095225E9</v>
      </c>
      <c r="H89" s="10"/>
      <c r="I89" s="11" t="str">
        <f>"－"</f>
        <v>－</v>
      </c>
      <c r="J89" s="10"/>
      <c r="K89" s="11" t="n">
        <f>57141</f>
        <v>57141.0</v>
      </c>
    </row>
    <row r="90">
      <c r="A90" s="8" t="s">
        <v>45</v>
      </c>
      <c r="B90" s="9" t="s">
        <v>53</v>
      </c>
      <c r="C90" s="9" t="s">
        <v>54</v>
      </c>
      <c r="D90" s="10"/>
      <c r="E90" s="11"/>
      <c r="F90" s="10"/>
      <c r="G90" s="11"/>
      <c r="H90" s="10"/>
      <c r="I90" s="11"/>
      <c r="J90" s="10"/>
      <c r="K90" s="11"/>
    </row>
    <row r="91">
      <c r="A91" s="8" t="s">
        <v>46</v>
      </c>
      <c r="B91" s="9" t="s">
        <v>53</v>
      </c>
      <c r="C91" s="9" t="s">
        <v>54</v>
      </c>
      <c r="D91" s="10"/>
      <c r="E91" s="11"/>
      <c r="F91" s="10"/>
      <c r="G91" s="11"/>
      <c r="H91" s="10"/>
      <c r="I91" s="11"/>
      <c r="J91" s="10"/>
      <c r="K91" s="11"/>
    </row>
    <row r="92">
      <c r="A92" s="8" t="s">
        <v>47</v>
      </c>
      <c r="B92" s="9" t="s">
        <v>53</v>
      </c>
      <c r="C92" s="9" t="s">
        <v>54</v>
      </c>
      <c r="D92" s="10" t="s">
        <v>41</v>
      </c>
      <c r="E92" s="11" t="n">
        <f>2218</f>
        <v>2218.0</v>
      </c>
      <c r="F92" s="10"/>
      <c r="G92" s="11" t="n">
        <f>1763136500</f>
        <v>1.7631365E9</v>
      </c>
      <c r="H92" s="10"/>
      <c r="I92" s="11" t="str">
        <f>"－"</f>
        <v>－</v>
      </c>
      <c r="J92" s="10"/>
      <c r="K92" s="11" t="n">
        <f>57017</f>
        <v>57017.0</v>
      </c>
    </row>
    <row r="93">
      <c r="A93" s="8" t="s">
        <v>48</v>
      </c>
      <c r="B93" s="9" t="s">
        <v>53</v>
      </c>
      <c r="C93" s="9" t="s">
        <v>54</v>
      </c>
      <c r="D93" s="10"/>
      <c r="E93" s="11" t="n">
        <f>3140</f>
        <v>3140.0</v>
      </c>
      <c r="F93" s="10"/>
      <c r="G93" s="11" t="n">
        <f>2499041600</f>
        <v>2.4990416E9</v>
      </c>
      <c r="H93" s="10"/>
      <c r="I93" s="11" t="str">
        <f>"－"</f>
        <v>－</v>
      </c>
      <c r="J93" s="10"/>
      <c r="K93" s="11" t="n">
        <f>56799</f>
        <v>56799.0</v>
      </c>
    </row>
    <row r="94">
      <c r="A94" s="8" t="s">
        <v>49</v>
      </c>
      <c r="B94" s="9" t="s">
        <v>53</v>
      </c>
      <c r="C94" s="9" t="s">
        <v>54</v>
      </c>
      <c r="D94" s="10"/>
      <c r="E94" s="11" t="n">
        <f>2953</f>
        <v>2953.0</v>
      </c>
      <c r="F94" s="10"/>
      <c r="G94" s="11" t="n">
        <f>2352869300</f>
        <v>2.3528693E9</v>
      </c>
      <c r="H94" s="10"/>
      <c r="I94" s="11" t="str">
        <f>"－"</f>
        <v>－</v>
      </c>
      <c r="J94" s="10"/>
      <c r="K94" s="11" t="n">
        <f>57193</f>
        <v>57193.0</v>
      </c>
    </row>
    <row r="95">
      <c r="A95" s="8" t="s">
        <v>50</v>
      </c>
      <c r="B95" s="9" t="s">
        <v>53</v>
      </c>
      <c r="C95" s="9" t="s">
        <v>54</v>
      </c>
      <c r="D95" s="10"/>
      <c r="E95" s="11" t="n">
        <f>3148</f>
        <v>3148.0</v>
      </c>
      <c r="F95" s="10"/>
      <c r="G95" s="11" t="n">
        <f>2517888800</f>
        <v>2.5178888E9</v>
      </c>
      <c r="H95" s="10"/>
      <c r="I95" s="11" t="str">
        <f>"－"</f>
        <v>－</v>
      </c>
      <c r="J95" s="10"/>
      <c r="K95" s="11" t="n">
        <f>57511</f>
        <v>57511.0</v>
      </c>
    </row>
    <row r="96">
      <c r="A96" s="8" t="s">
        <v>16</v>
      </c>
      <c r="B96" s="9" t="s">
        <v>55</v>
      </c>
      <c r="C96" s="9" t="s">
        <v>56</v>
      </c>
      <c r="D96" s="10"/>
      <c r="E96" s="11" t="n">
        <f>107</f>
        <v>107.0</v>
      </c>
      <c r="F96" s="10"/>
      <c r="G96" s="11" t="n">
        <f>96273000</f>
        <v>9.6273E7</v>
      </c>
      <c r="H96" s="10" t="s">
        <v>19</v>
      </c>
      <c r="I96" s="11" t="str">
        <f>"－"</f>
        <v>－</v>
      </c>
      <c r="J96" s="10" t="s">
        <v>20</v>
      </c>
      <c r="K96" s="11" t="n">
        <f>2394</f>
        <v>2394.0</v>
      </c>
    </row>
    <row r="97">
      <c r="A97" s="8" t="s">
        <v>21</v>
      </c>
      <c r="B97" s="9" t="s">
        <v>55</v>
      </c>
      <c r="C97" s="9" t="s">
        <v>56</v>
      </c>
      <c r="D97" s="10"/>
      <c r="E97" s="11" t="n">
        <f>162</f>
        <v>162.0</v>
      </c>
      <c r="F97" s="10"/>
      <c r="G97" s="11" t="n">
        <f>148189000</f>
        <v>1.48189E8</v>
      </c>
      <c r="H97" s="10"/>
      <c r="I97" s="11" t="str">
        <f>"－"</f>
        <v>－</v>
      </c>
      <c r="J97" s="10"/>
      <c r="K97" s="11" t="n">
        <f>2343</f>
        <v>2343.0</v>
      </c>
    </row>
    <row r="98">
      <c r="A98" s="8" t="s">
        <v>22</v>
      </c>
      <c r="B98" s="9" t="s">
        <v>55</v>
      </c>
      <c r="C98" s="9" t="s">
        <v>56</v>
      </c>
      <c r="D98" s="10"/>
      <c r="E98" s="11" t="n">
        <f>243</f>
        <v>243.0</v>
      </c>
      <c r="F98" s="10"/>
      <c r="G98" s="11" t="n">
        <f>226895000</f>
        <v>2.26895E8</v>
      </c>
      <c r="H98" s="10"/>
      <c r="I98" s="11" t="str">
        <f>"－"</f>
        <v>－</v>
      </c>
      <c r="J98" s="10"/>
      <c r="K98" s="11" t="n">
        <f>2363</f>
        <v>2363.0</v>
      </c>
    </row>
    <row r="99">
      <c r="A99" s="8" t="s">
        <v>23</v>
      </c>
      <c r="B99" s="9" t="s">
        <v>55</v>
      </c>
      <c r="C99" s="9" t="s">
        <v>56</v>
      </c>
      <c r="D99" s="10"/>
      <c r="E99" s="11"/>
      <c r="F99" s="10"/>
      <c r="G99" s="11"/>
      <c r="H99" s="10"/>
      <c r="I99" s="11"/>
      <c r="J99" s="10"/>
      <c r="K99" s="11"/>
    </row>
    <row r="100">
      <c r="A100" s="8" t="s">
        <v>24</v>
      </c>
      <c r="B100" s="9" t="s">
        <v>55</v>
      </c>
      <c r="C100" s="9" t="s">
        <v>56</v>
      </c>
      <c r="D100" s="10"/>
      <c r="E100" s="11"/>
      <c r="F100" s="10"/>
      <c r="G100" s="11"/>
      <c r="H100" s="10"/>
      <c r="I100" s="11"/>
      <c r="J100" s="10"/>
      <c r="K100" s="11"/>
    </row>
    <row r="101">
      <c r="A101" s="8" t="s">
        <v>25</v>
      </c>
      <c r="B101" s="9" t="s">
        <v>55</v>
      </c>
      <c r="C101" s="9" t="s">
        <v>56</v>
      </c>
      <c r="D101" s="10"/>
      <c r="E101" s="11" t="n">
        <f>231</f>
        <v>231.0</v>
      </c>
      <c r="F101" s="10"/>
      <c r="G101" s="11" t="n">
        <f>215374000</f>
        <v>2.15374E8</v>
      </c>
      <c r="H101" s="10"/>
      <c r="I101" s="11" t="str">
        <f>"－"</f>
        <v>－</v>
      </c>
      <c r="J101" s="10"/>
      <c r="K101" s="11" t="n">
        <f>2301</f>
        <v>2301.0</v>
      </c>
    </row>
    <row r="102">
      <c r="A102" s="8" t="s">
        <v>26</v>
      </c>
      <c r="B102" s="9" t="s">
        <v>55</v>
      </c>
      <c r="C102" s="9" t="s">
        <v>56</v>
      </c>
      <c r="D102" s="10"/>
      <c r="E102" s="11" t="n">
        <f>128</f>
        <v>128.0</v>
      </c>
      <c r="F102" s="10"/>
      <c r="G102" s="11" t="n">
        <f>120991000</f>
        <v>1.20991E8</v>
      </c>
      <c r="H102" s="10"/>
      <c r="I102" s="11" t="str">
        <f>"－"</f>
        <v>－</v>
      </c>
      <c r="J102" s="10"/>
      <c r="K102" s="11" t="n">
        <f>2332</f>
        <v>2332.0</v>
      </c>
    </row>
    <row r="103">
      <c r="A103" s="8" t="s">
        <v>27</v>
      </c>
      <c r="B103" s="9" t="s">
        <v>55</v>
      </c>
      <c r="C103" s="9" t="s">
        <v>56</v>
      </c>
      <c r="D103" s="10"/>
      <c r="E103" s="11" t="n">
        <f>103</f>
        <v>103.0</v>
      </c>
      <c r="F103" s="10"/>
      <c r="G103" s="11" t="n">
        <f>97963000</f>
        <v>9.7963E7</v>
      </c>
      <c r="H103" s="10"/>
      <c r="I103" s="11" t="str">
        <f>"－"</f>
        <v>－</v>
      </c>
      <c r="J103" s="10"/>
      <c r="K103" s="11" t="n">
        <f>2329</f>
        <v>2329.0</v>
      </c>
    </row>
    <row r="104">
      <c r="A104" s="8" t="s">
        <v>28</v>
      </c>
      <c r="B104" s="9" t="s">
        <v>55</v>
      </c>
      <c r="C104" s="9" t="s">
        <v>56</v>
      </c>
      <c r="D104" s="10"/>
      <c r="E104" s="11" t="n">
        <f>155</f>
        <v>155.0</v>
      </c>
      <c r="F104" s="10"/>
      <c r="G104" s="11" t="n">
        <f>148248000</f>
        <v>1.48248E8</v>
      </c>
      <c r="H104" s="10"/>
      <c r="I104" s="11" t="str">
        <f>"－"</f>
        <v>－</v>
      </c>
      <c r="J104" s="10"/>
      <c r="K104" s="11" t="n">
        <f>2330</f>
        <v>2330.0</v>
      </c>
    </row>
    <row r="105">
      <c r="A105" s="8" t="s">
        <v>29</v>
      </c>
      <c r="B105" s="9" t="s">
        <v>55</v>
      </c>
      <c r="C105" s="9" t="s">
        <v>56</v>
      </c>
      <c r="D105" s="10" t="s">
        <v>20</v>
      </c>
      <c r="E105" s="11" t="n">
        <f>476</f>
        <v>476.0</v>
      </c>
      <c r="F105" s="10" t="s">
        <v>20</v>
      </c>
      <c r="G105" s="11" t="n">
        <f>442718000</f>
        <v>4.42718E8</v>
      </c>
      <c r="H105" s="10"/>
      <c r="I105" s="11" t="str">
        <f>"－"</f>
        <v>－</v>
      </c>
      <c r="J105" s="10"/>
      <c r="K105" s="11" t="n">
        <f>2255</f>
        <v>2255.0</v>
      </c>
    </row>
    <row r="106">
      <c r="A106" s="8" t="s">
        <v>30</v>
      </c>
      <c r="B106" s="9" t="s">
        <v>55</v>
      </c>
      <c r="C106" s="9" t="s">
        <v>56</v>
      </c>
      <c r="D106" s="10"/>
      <c r="E106" s="11"/>
      <c r="F106" s="10"/>
      <c r="G106" s="11"/>
      <c r="H106" s="10"/>
      <c r="I106" s="11"/>
      <c r="J106" s="10"/>
      <c r="K106" s="11"/>
    </row>
    <row r="107">
      <c r="A107" s="8" t="s">
        <v>31</v>
      </c>
      <c r="B107" s="9" t="s">
        <v>55</v>
      </c>
      <c r="C107" s="9" t="s">
        <v>56</v>
      </c>
      <c r="D107" s="10"/>
      <c r="E107" s="11"/>
      <c r="F107" s="10"/>
      <c r="G107" s="11"/>
      <c r="H107" s="10"/>
      <c r="I107" s="11"/>
      <c r="J107" s="10"/>
      <c r="K107" s="11"/>
    </row>
    <row r="108">
      <c r="A108" s="8" t="s">
        <v>32</v>
      </c>
      <c r="B108" s="9" t="s">
        <v>55</v>
      </c>
      <c r="C108" s="9" t="s">
        <v>56</v>
      </c>
      <c r="D108" s="10"/>
      <c r="E108" s="11" t="n">
        <f>318</f>
        <v>318.0</v>
      </c>
      <c r="F108" s="10"/>
      <c r="G108" s="11" t="n">
        <f>297788000</f>
        <v>2.97788E8</v>
      </c>
      <c r="H108" s="10"/>
      <c r="I108" s="11" t="str">
        <f>"－"</f>
        <v>－</v>
      </c>
      <c r="J108" s="10"/>
      <c r="K108" s="11" t="n">
        <f>2285</f>
        <v>2285.0</v>
      </c>
    </row>
    <row r="109">
      <c r="A109" s="8" t="s">
        <v>33</v>
      </c>
      <c r="B109" s="9" t="s">
        <v>55</v>
      </c>
      <c r="C109" s="9" t="s">
        <v>56</v>
      </c>
      <c r="D109" s="10"/>
      <c r="E109" s="11" t="n">
        <f>153</f>
        <v>153.0</v>
      </c>
      <c r="F109" s="10"/>
      <c r="G109" s="11" t="n">
        <f>141033000</f>
        <v>1.41033E8</v>
      </c>
      <c r="H109" s="10"/>
      <c r="I109" s="11" t="str">
        <f>"－"</f>
        <v>－</v>
      </c>
      <c r="J109" s="10"/>
      <c r="K109" s="11" t="n">
        <f>2303</f>
        <v>2303.0</v>
      </c>
    </row>
    <row r="110">
      <c r="A110" s="8" t="s">
        <v>34</v>
      </c>
      <c r="B110" s="9" t="s">
        <v>55</v>
      </c>
      <c r="C110" s="9" t="s">
        <v>56</v>
      </c>
      <c r="D110" s="10"/>
      <c r="E110" s="11" t="n">
        <f>94</f>
        <v>94.0</v>
      </c>
      <c r="F110" s="10"/>
      <c r="G110" s="11" t="n">
        <f>86014000</f>
        <v>8.6014E7</v>
      </c>
      <c r="H110" s="10"/>
      <c r="I110" s="11" t="str">
        <f>"－"</f>
        <v>－</v>
      </c>
      <c r="J110" s="10"/>
      <c r="K110" s="11" t="n">
        <f>2300</f>
        <v>2300.0</v>
      </c>
    </row>
    <row r="111">
      <c r="A111" s="8" t="s">
        <v>35</v>
      </c>
      <c r="B111" s="9" t="s">
        <v>55</v>
      </c>
      <c r="C111" s="9" t="s">
        <v>56</v>
      </c>
      <c r="D111" s="10"/>
      <c r="E111" s="11" t="n">
        <f>134</f>
        <v>134.0</v>
      </c>
      <c r="F111" s="10"/>
      <c r="G111" s="11" t="n">
        <f>121140000</f>
        <v>1.2114E8</v>
      </c>
      <c r="H111" s="10"/>
      <c r="I111" s="11" t="str">
        <f>"－"</f>
        <v>－</v>
      </c>
      <c r="J111" s="10"/>
      <c r="K111" s="11" t="n">
        <f>2284</f>
        <v>2284.0</v>
      </c>
    </row>
    <row r="112">
      <c r="A112" s="8" t="s">
        <v>36</v>
      </c>
      <c r="B112" s="9" t="s">
        <v>55</v>
      </c>
      <c r="C112" s="9" t="s">
        <v>56</v>
      </c>
      <c r="D112" s="10"/>
      <c r="E112" s="11" t="n">
        <f>99</f>
        <v>99.0</v>
      </c>
      <c r="F112" s="10"/>
      <c r="G112" s="11" t="n">
        <f>91808000</f>
        <v>9.1808E7</v>
      </c>
      <c r="H112" s="10"/>
      <c r="I112" s="11" t="str">
        <f>"－"</f>
        <v>－</v>
      </c>
      <c r="J112" s="10"/>
      <c r="K112" s="11" t="n">
        <f>2275</f>
        <v>2275.0</v>
      </c>
    </row>
    <row r="113">
      <c r="A113" s="8" t="s">
        <v>37</v>
      </c>
      <c r="B113" s="9" t="s">
        <v>55</v>
      </c>
      <c r="C113" s="9" t="s">
        <v>56</v>
      </c>
      <c r="D113" s="10"/>
      <c r="E113" s="11"/>
      <c r="F113" s="10"/>
      <c r="G113" s="11"/>
      <c r="H113" s="10"/>
      <c r="I113" s="11"/>
      <c r="J113" s="10"/>
      <c r="K113" s="11"/>
    </row>
    <row r="114">
      <c r="A114" s="8" t="s">
        <v>38</v>
      </c>
      <c r="B114" s="9" t="s">
        <v>55</v>
      </c>
      <c r="C114" s="9" t="s">
        <v>56</v>
      </c>
      <c r="D114" s="10"/>
      <c r="E114" s="11"/>
      <c r="F114" s="10"/>
      <c r="G114" s="11"/>
      <c r="H114" s="10"/>
      <c r="I114" s="11"/>
      <c r="J114" s="10"/>
      <c r="K114" s="11"/>
    </row>
    <row r="115">
      <c r="A115" s="8" t="s">
        <v>39</v>
      </c>
      <c r="B115" s="9" t="s">
        <v>55</v>
      </c>
      <c r="C115" s="9" t="s">
        <v>56</v>
      </c>
      <c r="D115" s="10"/>
      <c r="E115" s="11" t="n">
        <f>154</f>
        <v>154.0</v>
      </c>
      <c r="F115" s="10"/>
      <c r="G115" s="11" t="n">
        <f>143711000</f>
        <v>1.43711E8</v>
      </c>
      <c r="H115" s="10"/>
      <c r="I115" s="11" t="str">
        <f>"－"</f>
        <v>－</v>
      </c>
      <c r="J115" s="10"/>
      <c r="K115" s="11" t="n">
        <f>2274</f>
        <v>2274.0</v>
      </c>
    </row>
    <row r="116">
      <c r="A116" s="8" t="s">
        <v>40</v>
      </c>
      <c r="B116" s="9" t="s">
        <v>55</v>
      </c>
      <c r="C116" s="9" t="s">
        <v>56</v>
      </c>
      <c r="D116" s="10" t="s">
        <v>41</v>
      </c>
      <c r="E116" s="11" t="n">
        <f>64</f>
        <v>64.0</v>
      </c>
      <c r="F116" s="10" t="s">
        <v>41</v>
      </c>
      <c r="G116" s="11" t="n">
        <f>60049000</f>
        <v>6.0049E7</v>
      </c>
      <c r="H116" s="10"/>
      <c r="I116" s="11" t="str">
        <f>"－"</f>
        <v>－</v>
      </c>
      <c r="J116" s="10"/>
      <c r="K116" s="11" t="n">
        <f>2261</f>
        <v>2261.0</v>
      </c>
    </row>
    <row r="117">
      <c r="A117" s="8" t="s">
        <v>42</v>
      </c>
      <c r="B117" s="9" t="s">
        <v>55</v>
      </c>
      <c r="C117" s="9" t="s">
        <v>56</v>
      </c>
      <c r="D117" s="10"/>
      <c r="E117" s="11" t="n">
        <f>106</f>
        <v>106.0</v>
      </c>
      <c r="F117" s="10"/>
      <c r="G117" s="11" t="n">
        <f>100012000</f>
        <v>1.00012E8</v>
      </c>
      <c r="H117" s="10"/>
      <c r="I117" s="11" t="str">
        <f>"－"</f>
        <v>－</v>
      </c>
      <c r="J117" s="10"/>
      <c r="K117" s="11" t="n">
        <f>2255</f>
        <v>2255.0</v>
      </c>
    </row>
    <row r="118">
      <c r="A118" s="8" t="s">
        <v>43</v>
      </c>
      <c r="B118" s="9" t="s">
        <v>55</v>
      </c>
      <c r="C118" s="9" t="s">
        <v>56</v>
      </c>
      <c r="D118" s="10"/>
      <c r="E118" s="11" t="n">
        <f>73</f>
        <v>73.0</v>
      </c>
      <c r="F118" s="10"/>
      <c r="G118" s="11" t="n">
        <f>67515000</f>
        <v>6.7515E7</v>
      </c>
      <c r="H118" s="10"/>
      <c r="I118" s="11" t="str">
        <f>"－"</f>
        <v>－</v>
      </c>
      <c r="J118" s="10"/>
      <c r="K118" s="11" t="n">
        <f>2260</f>
        <v>2260.0</v>
      </c>
    </row>
    <row r="119">
      <c r="A119" s="8" t="s">
        <v>44</v>
      </c>
      <c r="B119" s="9" t="s">
        <v>55</v>
      </c>
      <c r="C119" s="9" t="s">
        <v>56</v>
      </c>
      <c r="D119" s="10"/>
      <c r="E119" s="11" t="n">
        <f>109</f>
        <v>109.0</v>
      </c>
      <c r="F119" s="10"/>
      <c r="G119" s="11" t="n">
        <f>99245000</f>
        <v>9.9245E7</v>
      </c>
      <c r="H119" s="10"/>
      <c r="I119" s="11" t="str">
        <f>"－"</f>
        <v>－</v>
      </c>
      <c r="J119" s="10"/>
      <c r="K119" s="11" t="n">
        <f>2283</f>
        <v>2283.0</v>
      </c>
    </row>
    <row r="120">
      <c r="A120" s="8" t="s">
        <v>45</v>
      </c>
      <c r="B120" s="9" t="s">
        <v>55</v>
      </c>
      <c r="C120" s="9" t="s">
        <v>56</v>
      </c>
      <c r="D120" s="10"/>
      <c r="E120" s="11"/>
      <c r="F120" s="10"/>
      <c r="G120" s="11"/>
      <c r="H120" s="10"/>
      <c r="I120" s="11"/>
      <c r="J120" s="10"/>
      <c r="K120" s="11"/>
    </row>
    <row r="121">
      <c r="A121" s="8" t="s">
        <v>46</v>
      </c>
      <c r="B121" s="9" t="s">
        <v>55</v>
      </c>
      <c r="C121" s="9" t="s">
        <v>56</v>
      </c>
      <c r="D121" s="10"/>
      <c r="E121" s="11"/>
      <c r="F121" s="10"/>
      <c r="G121" s="11"/>
      <c r="H121" s="10"/>
      <c r="I121" s="11"/>
      <c r="J121" s="10"/>
      <c r="K121" s="11"/>
    </row>
    <row r="122">
      <c r="A122" s="8" t="s">
        <v>47</v>
      </c>
      <c r="B122" s="9" t="s">
        <v>55</v>
      </c>
      <c r="C122" s="9" t="s">
        <v>56</v>
      </c>
      <c r="D122" s="10"/>
      <c r="E122" s="11" t="n">
        <f>150</f>
        <v>150.0</v>
      </c>
      <c r="F122" s="10"/>
      <c r="G122" s="11" t="n">
        <f>136121000</f>
        <v>1.36121E8</v>
      </c>
      <c r="H122" s="10"/>
      <c r="I122" s="11" t="str">
        <f>"－"</f>
        <v>－</v>
      </c>
      <c r="J122" s="10"/>
      <c r="K122" s="11" t="n">
        <f>2254</f>
        <v>2254.0</v>
      </c>
    </row>
    <row r="123">
      <c r="A123" s="8" t="s">
        <v>48</v>
      </c>
      <c r="B123" s="9" t="s">
        <v>55</v>
      </c>
      <c r="C123" s="9" t="s">
        <v>56</v>
      </c>
      <c r="D123" s="10"/>
      <c r="E123" s="11" t="n">
        <f>145</f>
        <v>145.0</v>
      </c>
      <c r="F123" s="10"/>
      <c r="G123" s="11" t="n">
        <f>134026000</f>
        <v>1.34026E8</v>
      </c>
      <c r="H123" s="10"/>
      <c r="I123" s="11" t="str">
        <f>"－"</f>
        <v>－</v>
      </c>
      <c r="J123" s="10" t="s">
        <v>41</v>
      </c>
      <c r="K123" s="11" t="n">
        <f>2241</f>
        <v>2241.0</v>
      </c>
    </row>
    <row r="124">
      <c r="A124" s="8" t="s">
        <v>49</v>
      </c>
      <c r="B124" s="9" t="s">
        <v>55</v>
      </c>
      <c r="C124" s="9" t="s">
        <v>56</v>
      </c>
      <c r="D124" s="10"/>
      <c r="E124" s="11" t="n">
        <f>196</f>
        <v>196.0</v>
      </c>
      <c r="F124" s="10"/>
      <c r="G124" s="11" t="n">
        <f>179946000</f>
        <v>1.79946E8</v>
      </c>
      <c r="H124" s="10"/>
      <c r="I124" s="11" t="str">
        <f>"－"</f>
        <v>－</v>
      </c>
      <c r="J124" s="10"/>
      <c r="K124" s="11" t="n">
        <f>2273</f>
        <v>2273.0</v>
      </c>
    </row>
    <row r="125">
      <c r="A125" s="8" t="s">
        <v>50</v>
      </c>
      <c r="B125" s="9" t="s">
        <v>55</v>
      </c>
      <c r="C125" s="9" t="s">
        <v>56</v>
      </c>
      <c r="D125" s="10"/>
      <c r="E125" s="11" t="n">
        <f>112</f>
        <v>112.0</v>
      </c>
      <c r="F125" s="10"/>
      <c r="G125" s="11" t="n">
        <f>102350000</f>
        <v>1.0235E8</v>
      </c>
      <c r="H125" s="10"/>
      <c r="I125" s="11" t="str">
        <f>"－"</f>
        <v>－</v>
      </c>
      <c r="J125" s="10"/>
      <c r="K125" s="11" t="n">
        <f>2279</f>
        <v>2279.0</v>
      </c>
    </row>
    <row r="126">
      <c r="A126" s="8" t="s">
        <v>16</v>
      </c>
      <c r="B126" s="9" t="s">
        <v>57</v>
      </c>
      <c r="C126" s="9" t="s">
        <v>58</v>
      </c>
      <c r="D126" s="10"/>
      <c r="E126" s="11" t="n">
        <f>11039</f>
        <v>11039.0</v>
      </c>
      <c r="F126" s="10"/>
      <c r="G126" s="11" t="n">
        <f>21549666000</f>
        <v>2.1549666E10</v>
      </c>
      <c r="H126" s="10" t="s">
        <v>41</v>
      </c>
      <c r="I126" s="11" t="str">
        <f>"－"</f>
        <v>－</v>
      </c>
      <c r="J126" s="10" t="s">
        <v>20</v>
      </c>
      <c r="K126" s="11" t="n">
        <f>29889</f>
        <v>29889.0</v>
      </c>
    </row>
    <row r="127">
      <c r="A127" s="8" t="s">
        <v>21</v>
      </c>
      <c r="B127" s="9" t="s">
        <v>57</v>
      </c>
      <c r="C127" s="9" t="s">
        <v>58</v>
      </c>
      <c r="D127" s="10" t="s">
        <v>20</v>
      </c>
      <c r="E127" s="11" t="n">
        <f>21537</f>
        <v>21537.0</v>
      </c>
      <c r="F127" s="10" t="s">
        <v>20</v>
      </c>
      <c r="G127" s="11" t="n">
        <f>43211047000</f>
        <v>4.3211047E10</v>
      </c>
      <c r="H127" s="10"/>
      <c r="I127" s="11" t="str">
        <f>"－"</f>
        <v>－</v>
      </c>
      <c r="J127" s="10"/>
      <c r="K127" s="11" t="n">
        <f>28990</f>
        <v>28990.0</v>
      </c>
    </row>
    <row r="128">
      <c r="A128" s="8" t="s">
        <v>22</v>
      </c>
      <c r="B128" s="9" t="s">
        <v>57</v>
      </c>
      <c r="C128" s="9" t="s">
        <v>58</v>
      </c>
      <c r="D128" s="10"/>
      <c r="E128" s="11" t="n">
        <f>12574</f>
        <v>12574.0</v>
      </c>
      <c r="F128" s="10"/>
      <c r="G128" s="11" t="n">
        <f>25886278000</f>
        <v>2.5886278E10</v>
      </c>
      <c r="H128" s="10" t="s">
        <v>20</v>
      </c>
      <c r="I128" s="11" t="n">
        <f>18</f>
        <v>18.0</v>
      </c>
      <c r="J128" s="10"/>
      <c r="K128" s="11" t="n">
        <f>28569</f>
        <v>28569.0</v>
      </c>
    </row>
    <row r="129">
      <c r="A129" s="8" t="s">
        <v>23</v>
      </c>
      <c r="B129" s="9" t="s">
        <v>57</v>
      </c>
      <c r="C129" s="9" t="s">
        <v>58</v>
      </c>
      <c r="D129" s="10"/>
      <c r="E129" s="11"/>
      <c r="F129" s="10"/>
      <c r="G129" s="11"/>
      <c r="H129" s="10"/>
      <c r="I129" s="11"/>
      <c r="J129" s="10"/>
      <c r="K129" s="11"/>
    </row>
    <row r="130">
      <c r="A130" s="8" t="s">
        <v>24</v>
      </c>
      <c r="B130" s="9" t="s">
        <v>57</v>
      </c>
      <c r="C130" s="9" t="s">
        <v>58</v>
      </c>
      <c r="D130" s="10"/>
      <c r="E130" s="11"/>
      <c r="F130" s="10"/>
      <c r="G130" s="11"/>
      <c r="H130" s="10"/>
      <c r="I130" s="11"/>
      <c r="J130" s="10"/>
      <c r="K130" s="11"/>
    </row>
    <row r="131">
      <c r="A131" s="8" t="s">
        <v>25</v>
      </c>
      <c r="B131" s="9" t="s">
        <v>57</v>
      </c>
      <c r="C131" s="9" t="s">
        <v>58</v>
      </c>
      <c r="D131" s="10"/>
      <c r="E131" s="11" t="n">
        <f>9882</f>
        <v>9882.0</v>
      </c>
      <c r="F131" s="10"/>
      <c r="G131" s="11" t="n">
        <f>20529904500</f>
        <v>2.05299045E10</v>
      </c>
      <c r="H131" s="10"/>
      <c r="I131" s="11" t="str">
        <f>"－"</f>
        <v>－</v>
      </c>
      <c r="J131" s="10"/>
      <c r="K131" s="11" t="n">
        <f>27936</f>
        <v>27936.0</v>
      </c>
    </row>
    <row r="132">
      <c r="A132" s="8" t="s">
        <v>26</v>
      </c>
      <c r="B132" s="9" t="s">
        <v>57</v>
      </c>
      <c r="C132" s="9" t="s">
        <v>58</v>
      </c>
      <c r="D132" s="10"/>
      <c r="E132" s="11" t="n">
        <f>11115</f>
        <v>11115.0</v>
      </c>
      <c r="F132" s="10"/>
      <c r="G132" s="11" t="n">
        <f>23251358000</f>
        <v>2.3251358E10</v>
      </c>
      <c r="H132" s="10"/>
      <c r="I132" s="11" t="n">
        <f>1</f>
        <v>1.0</v>
      </c>
      <c r="J132" s="10"/>
      <c r="K132" s="11" t="n">
        <f>27675</f>
        <v>27675.0</v>
      </c>
    </row>
    <row r="133">
      <c r="A133" s="8" t="s">
        <v>27</v>
      </c>
      <c r="B133" s="9" t="s">
        <v>57</v>
      </c>
      <c r="C133" s="9" t="s">
        <v>58</v>
      </c>
      <c r="D133" s="10"/>
      <c r="E133" s="11" t="n">
        <f>7856</f>
        <v>7856.0</v>
      </c>
      <c r="F133" s="10"/>
      <c r="G133" s="11" t="n">
        <f>16372539000</f>
        <v>1.6372539E10</v>
      </c>
      <c r="H133" s="10"/>
      <c r="I133" s="11" t="str">
        <f>"－"</f>
        <v>－</v>
      </c>
      <c r="J133" s="10"/>
      <c r="K133" s="11" t="n">
        <f>27367</f>
        <v>27367.0</v>
      </c>
    </row>
    <row r="134">
      <c r="A134" s="8" t="s">
        <v>28</v>
      </c>
      <c r="B134" s="9" t="s">
        <v>57</v>
      </c>
      <c r="C134" s="9" t="s">
        <v>58</v>
      </c>
      <c r="D134" s="10"/>
      <c r="E134" s="11" t="n">
        <f>8933</f>
        <v>8933.0</v>
      </c>
      <c r="F134" s="10"/>
      <c r="G134" s="11" t="n">
        <f>18737771500</f>
        <v>1.87377715E10</v>
      </c>
      <c r="H134" s="10"/>
      <c r="I134" s="11" t="n">
        <f>1</f>
        <v>1.0</v>
      </c>
      <c r="J134" s="10"/>
      <c r="K134" s="11" t="n">
        <f>27133</f>
        <v>27133.0</v>
      </c>
    </row>
    <row r="135">
      <c r="A135" s="8" t="s">
        <v>29</v>
      </c>
      <c r="B135" s="9" t="s">
        <v>57</v>
      </c>
      <c r="C135" s="9" t="s">
        <v>58</v>
      </c>
      <c r="D135" s="10"/>
      <c r="E135" s="11" t="n">
        <f>12541</f>
        <v>12541.0</v>
      </c>
      <c r="F135" s="10"/>
      <c r="G135" s="11" t="n">
        <f>25521959500</f>
        <v>2.55219595E10</v>
      </c>
      <c r="H135" s="10"/>
      <c r="I135" s="11" t="str">
        <f>"－"</f>
        <v>－</v>
      </c>
      <c r="J135" s="10"/>
      <c r="K135" s="11" t="n">
        <f>26235</f>
        <v>26235.0</v>
      </c>
    </row>
    <row r="136">
      <c r="A136" s="8" t="s">
        <v>30</v>
      </c>
      <c r="B136" s="9" t="s">
        <v>57</v>
      </c>
      <c r="C136" s="9" t="s">
        <v>58</v>
      </c>
      <c r="D136" s="10"/>
      <c r="E136" s="11"/>
      <c r="F136" s="10"/>
      <c r="G136" s="11"/>
      <c r="H136" s="10"/>
      <c r="I136" s="11"/>
      <c r="J136" s="10"/>
      <c r="K136" s="11"/>
    </row>
    <row r="137">
      <c r="A137" s="8" t="s">
        <v>31</v>
      </c>
      <c r="B137" s="9" t="s">
        <v>57</v>
      </c>
      <c r="C137" s="9" t="s">
        <v>58</v>
      </c>
      <c r="D137" s="10"/>
      <c r="E137" s="11"/>
      <c r="F137" s="10"/>
      <c r="G137" s="11"/>
      <c r="H137" s="10"/>
      <c r="I137" s="11"/>
      <c r="J137" s="10"/>
      <c r="K137" s="11"/>
    </row>
    <row r="138">
      <c r="A138" s="8" t="s">
        <v>32</v>
      </c>
      <c r="B138" s="9" t="s">
        <v>57</v>
      </c>
      <c r="C138" s="9" t="s">
        <v>58</v>
      </c>
      <c r="D138" s="10"/>
      <c r="E138" s="11" t="n">
        <f>9664</f>
        <v>9664.0</v>
      </c>
      <c r="F138" s="10"/>
      <c r="G138" s="11" t="n">
        <f>19603094500</f>
        <v>1.96030945E10</v>
      </c>
      <c r="H138" s="10"/>
      <c r="I138" s="11" t="str">
        <f>"－"</f>
        <v>－</v>
      </c>
      <c r="J138" s="10"/>
      <c r="K138" s="11" t="n">
        <f>25554</f>
        <v>25554.0</v>
      </c>
    </row>
    <row r="139">
      <c r="A139" s="8" t="s">
        <v>33</v>
      </c>
      <c r="B139" s="9" t="s">
        <v>57</v>
      </c>
      <c r="C139" s="9" t="s">
        <v>58</v>
      </c>
      <c r="D139" s="10"/>
      <c r="E139" s="11" t="n">
        <f>13359</f>
        <v>13359.0</v>
      </c>
      <c r="F139" s="10"/>
      <c r="G139" s="11" t="n">
        <f>26525944000</f>
        <v>2.6525944E10</v>
      </c>
      <c r="H139" s="10"/>
      <c r="I139" s="11" t="str">
        <f>"－"</f>
        <v>－</v>
      </c>
      <c r="J139" s="10" t="s">
        <v>41</v>
      </c>
      <c r="K139" s="11" t="n">
        <f>25277</f>
        <v>25277.0</v>
      </c>
    </row>
    <row r="140">
      <c r="A140" s="8" t="s">
        <v>34</v>
      </c>
      <c r="B140" s="9" t="s">
        <v>57</v>
      </c>
      <c r="C140" s="9" t="s">
        <v>58</v>
      </c>
      <c r="D140" s="10"/>
      <c r="E140" s="11" t="n">
        <f>9243</f>
        <v>9243.0</v>
      </c>
      <c r="F140" s="10"/>
      <c r="G140" s="11" t="n">
        <f>18223966000</f>
        <v>1.8223966E10</v>
      </c>
      <c r="H140" s="10"/>
      <c r="I140" s="11" t="str">
        <f>"－"</f>
        <v>－</v>
      </c>
      <c r="J140" s="10"/>
      <c r="K140" s="11" t="n">
        <f>26079</f>
        <v>26079.0</v>
      </c>
    </row>
    <row r="141">
      <c r="A141" s="8" t="s">
        <v>35</v>
      </c>
      <c r="B141" s="9" t="s">
        <v>57</v>
      </c>
      <c r="C141" s="9" t="s">
        <v>58</v>
      </c>
      <c r="D141" s="10"/>
      <c r="E141" s="11" t="n">
        <f>8640</f>
        <v>8640.0</v>
      </c>
      <c r="F141" s="10"/>
      <c r="G141" s="11" t="n">
        <f>17244448000</f>
        <v>1.7244448E10</v>
      </c>
      <c r="H141" s="10"/>
      <c r="I141" s="11" t="str">
        <f>"－"</f>
        <v>－</v>
      </c>
      <c r="J141" s="10"/>
      <c r="K141" s="11" t="n">
        <f>26217</f>
        <v>26217.0</v>
      </c>
    </row>
    <row r="142">
      <c r="A142" s="8" t="s">
        <v>36</v>
      </c>
      <c r="B142" s="9" t="s">
        <v>57</v>
      </c>
      <c r="C142" s="9" t="s">
        <v>58</v>
      </c>
      <c r="D142" s="10"/>
      <c r="E142" s="11" t="n">
        <f>9523</f>
        <v>9523.0</v>
      </c>
      <c r="F142" s="10"/>
      <c r="G142" s="11" t="n">
        <f>18862330000</f>
        <v>1.886233E10</v>
      </c>
      <c r="H142" s="10"/>
      <c r="I142" s="11" t="str">
        <f>"－"</f>
        <v>－</v>
      </c>
      <c r="J142" s="10"/>
      <c r="K142" s="11" t="n">
        <f>26403</f>
        <v>26403.0</v>
      </c>
    </row>
    <row r="143">
      <c r="A143" s="8" t="s">
        <v>37</v>
      </c>
      <c r="B143" s="9" t="s">
        <v>57</v>
      </c>
      <c r="C143" s="9" t="s">
        <v>58</v>
      </c>
      <c r="D143" s="10"/>
      <c r="E143" s="11"/>
      <c r="F143" s="10"/>
      <c r="G143" s="11"/>
      <c r="H143" s="10"/>
      <c r="I143" s="11"/>
      <c r="J143" s="10"/>
      <c r="K143" s="11"/>
    </row>
    <row r="144">
      <c r="A144" s="8" t="s">
        <v>38</v>
      </c>
      <c r="B144" s="9" t="s">
        <v>57</v>
      </c>
      <c r="C144" s="9" t="s">
        <v>58</v>
      </c>
      <c r="D144" s="10"/>
      <c r="E144" s="11"/>
      <c r="F144" s="10"/>
      <c r="G144" s="11"/>
      <c r="H144" s="10"/>
      <c r="I144" s="11"/>
      <c r="J144" s="10"/>
      <c r="K144" s="11"/>
    </row>
    <row r="145">
      <c r="A145" s="8" t="s">
        <v>39</v>
      </c>
      <c r="B145" s="9" t="s">
        <v>57</v>
      </c>
      <c r="C145" s="9" t="s">
        <v>58</v>
      </c>
      <c r="D145" s="10"/>
      <c r="E145" s="11" t="n">
        <f>7731</f>
        <v>7731.0</v>
      </c>
      <c r="F145" s="10"/>
      <c r="G145" s="11" t="n">
        <f>15433900000</f>
        <v>1.54339E10</v>
      </c>
      <c r="H145" s="10"/>
      <c r="I145" s="11" t="str">
        <f>"－"</f>
        <v>－</v>
      </c>
      <c r="J145" s="10"/>
      <c r="K145" s="11" t="n">
        <f>26421</f>
        <v>26421.0</v>
      </c>
    </row>
    <row r="146">
      <c r="A146" s="8" t="s">
        <v>40</v>
      </c>
      <c r="B146" s="9" t="s">
        <v>57</v>
      </c>
      <c r="C146" s="9" t="s">
        <v>58</v>
      </c>
      <c r="D146" s="10" t="s">
        <v>41</v>
      </c>
      <c r="E146" s="11" t="n">
        <f>4893</f>
        <v>4893.0</v>
      </c>
      <c r="F146" s="10" t="s">
        <v>41</v>
      </c>
      <c r="G146" s="11" t="n">
        <f>9785515500</f>
        <v>9.7855155E9</v>
      </c>
      <c r="H146" s="10"/>
      <c r="I146" s="11" t="str">
        <f>"－"</f>
        <v>－</v>
      </c>
      <c r="J146" s="10"/>
      <c r="K146" s="11" t="n">
        <f>26290</f>
        <v>26290.0</v>
      </c>
    </row>
    <row r="147">
      <c r="A147" s="8" t="s">
        <v>42</v>
      </c>
      <c r="B147" s="9" t="s">
        <v>57</v>
      </c>
      <c r="C147" s="9" t="s">
        <v>58</v>
      </c>
      <c r="D147" s="10"/>
      <c r="E147" s="11" t="n">
        <f>7911</f>
        <v>7911.0</v>
      </c>
      <c r="F147" s="10"/>
      <c r="G147" s="11" t="n">
        <f>15979913500</f>
        <v>1.59799135E10</v>
      </c>
      <c r="H147" s="10"/>
      <c r="I147" s="11" t="str">
        <f>"－"</f>
        <v>－</v>
      </c>
      <c r="J147" s="10"/>
      <c r="K147" s="11" t="n">
        <f>25962</f>
        <v>25962.0</v>
      </c>
    </row>
    <row r="148">
      <c r="A148" s="8" t="s">
        <v>43</v>
      </c>
      <c r="B148" s="9" t="s">
        <v>57</v>
      </c>
      <c r="C148" s="9" t="s">
        <v>58</v>
      </c>
      <c r="D148" s="10"/>
      <c r="E148" s="11" t="n">
        <f>7460</f>
        <v>7460.0</v>
      </c>
      <c r="F148" s="10"/>
      <c r="G148" s="11" t="n">
        <f>14936450000</f>
        <v>1.493645E10</v>
      </c>
      <c r="H148" s="10"/>
      <c r="I148" s="11" t="str">
        <f>"－"</f>
        <v>－</v>
      </c>
      <c r="J148" s="10"/>
      <c r="K148" s="11" t="n">
        <f>26567</f>
        <v>26567.0</v>
      </c>
    </row>
    <row r="149">
      <c r="A149" s="8" t="s">
        <v>44</v>
      </c>
      <c r="B149" s="9" t="s">
        <v>57</v>
      </c>
      <c r="C149" s="9" t="s">
        <v>58</v>
      </c>
      <c r="D149" s="10"/>
      <c r="E149" s="11" t="n">
        <f>10928</f>
        <v>10928.0</v>
      </c>
      <c r="F149" s="10"/>
      <c r="G149" s="11" t="n">
        <f>21516923500</f>
        <v>2.15169235E10</v>
      </c>
      <c r="H149" s="10"/>
      <c r="I149" s="11" t="str">
        <f>"－"</f>
        <v>－</v>
      </c>
      <c r="J149" s="10"/>
      <c r="K149" s="11" t="n">
        <f>28291</f>
        <v>28291.0</v>
      </c>
    </row>
    <row r="150">
      <c r="A150" s="8" t="s">
        <v>45</v>
      </c>
      <c r="B150" s="9" t="s">
        <v>57</v>
      </c>
      <c r="C150" s="9" t="s">
        <v>58</v>
      </c>
      <c r="D150" s="10"/>
      <c r="E150" s="11"/>
      <c r="F150" s="10"/>
      <c r="G150" s="11"/>
      <c r="H150" s="10"/>
      <c r="I150" s="11"/>
      <c r="J150" s="10"/>
      <c r="K150" s="11"/>
    </row>
    <row r="151">
      <c r="A151" s="8" t="s">
        <v>46</v>
      </c>
      <c r="B151" s="9" t="s">
        <v>57</v>
      </c>
      <c r="C151" s="9" t="s">
        <v>58</v>
      </c>
      <c r="D151" s="10"/>
      <c r="E151" s="11"/>
      <c r="F151" s="10"/>
      <c r="G151" s="11"/>
      <c r="H151" s="10"/>
      <c r="I151" s="11"/>
      <c r="J151" s="10"/>
      <c r="K151" s="11"/>
    </row>
    <row r="152">
      <c r="A152" s="8" t="s">
        <v>47</v>
      </c>
      <c r="B152" s="9" t="s">
        <v>57</v>
      </c>
      <c r="C152" s="9" t="s">
        <v>58</v>
      </c>
      <c r="D152" s="10"/>
      <c r="E152" s="11" t="n">
        <f>5720</f>
        <v>5720.0</v>
      </c>
      <c r="F152" s="10"/>
      <c r="G152" s="11" t="n">
        <f>11211932500</f>
        <v>1.12119325E10</v>
      </c>
      <c r="H152" s="10"/>
      <c r="I152" s="11" t="str">
        <f>"－"</f>
        <v>－</v>
      </c>
      <c r="J152" s="10"/>
      <c r="K152" s="11" t="n">
        <f>28760</f>
        <v>28760.0</v>
      </c>
    </row>
    <row r="153">
      <c r="A153" s="8" t="s">
        <v>48</v>
      </c>
      <c r="B153" s="9" t="s">
        <v>57</v>
      </c>
      <c r="C153" s="9" t="s">
        <v>58</v>
      </c>
      <c r="D153" s="10"/>
      <c r="E153" s="11" t="n">
        <f>7714</f>
        <v>7714.0</v>
      </c>
      <c r="F153" s="10"/>
      <c r="G153" s="11" t="n">
        <f>15032011500</f>
        <v>1.50320115E10</v>
      </c>
      <c r="H153" s="10"/>
      <c r="I153" s="11" t="str">
        <f>"－"</f>
        <v>－</v>
      </c>
      <c r="J153" s="10"/>
      <c r="K153" s="11" t="n">
        <f>29472</f>
        <v>29472.0</v>
      </c>
    </row>
    <row r="154">
      <c r="A154" s="8" t="s">
        <v>49</v>
      </c>
      <c r="B154" s="9" t="s">
        <v>57</v>
      </c>
      <c r="C154" s="9" t="s">
        <v>58</v>
      </c>
      <c r="D154" s="10"/>
      <c r="E154" s="11" t="n">
        <f>9873</f>
        <v>9873.0</v>
      </c>
      <c r="F154" s="10"/>
      <c r="G154" s="11" t="n">
        <f>19505063000</f>
        <v>1.9505063E10</v>
      </c>
      <c r="H154" s="10"/>
      <c r="I154" s="11" t="str">
        <f>"－"</f>
        <v>－</v>
      </c>
      <c r="J154" s="10"/>
      <c r="K154" s="11" t="n">
        <f>28936</f>
        <v>28936.0</v>
      </c>
    </row>
    <row r="155">
      <c r="A155" s="8" t="s">
        <v>50</v>
      </c>
      <c r="B155" s="9" t="s">
        <v>57</v>
      </c>
      <c r="C155" s="9" t="s">
        <v>58</v>
      </c>
      <c r="D155" s="10"/>
      <c r="E155" s="11" t="n">
        <f>11718</f>
        <v>11718.0</v>
      </c>
      <c r="F155" s="10"/>
      <c r="G155" s="11" t="n">
        <f>23312142000</f>
        <v>2.3312142E10</v>
      </c>
      <c r="H155" s="10"/>
      <c r="I155" s="11" t="str">
        <f>"－"</f>
        <v>－</v>
      </c>
      <c r="J155" s="10"/>
      <c r="K155" s="11" t="n">
        <f>28812</f>
        <v>28812.0</v>
      </c>
    </row>
    <row r="156">
      <c r="A156" s="8" t="s">
        <v>16</v>
      </c>
      <c r="B156" s="9" t="s">
        <v>59</v>
      </c>
      <c r="C156" s="9" t="s">
        <v>60</v>
      </c>
      <c r="D156" s="10"/>
      <c r="E156" s="11" t="n">
        <f>2462</f>
        <v>2462.0</v>
      </c>
      <c r="F156" s="10"/>
      <c r="G156" s="11" t="n">
        <f>960588050</f>
        <v>9.6058805E8</v>
      </c>
      <c r="H156" s="10" t="s">
        <v>19</v>
      </c>
      <c r="I156" s="11" t="str">
        <f>"－"</f>
        <v>－</v>
      </c>
      <c r="J156" s="10" t="s">
        <v>20</v>
      </c>
      <c r="K156" s="11" t="n">
        <f>3535</f>
        <v>3535.0</v>
      </c>
    </row>
    <row r="157">
      <c r="A157" s="8" t="s">
        <v>21</v>
      </c>
      <c r="B157" s="9" t="s">
        <v>59</v>
      </c>
      <c r="C157" s="9" t="s">
        <v>60</v>
      </c>
      <c r="D157" s="10" t="s">
        <v>20</v>
      </c>
      <c r="E157" s="11" t="n">
        <f>3638</f>
        <v>3638.0</v>
      </c>
      <c r="F157" s="10" t="s">
        <v>20</v>
      </c>
      <c r="G157" s="11" t="n">
        <f>1456349850</f>
        <v>1.45634985E9</v>
      </c>
      <c r="H157" s="10"/>
      <c r="I157" s="11" t="str">
        <f>"－"</f>
        <v>－</v>
      </c>
      <c r="J157" s="10"/>
      <c r="K157" s="11" t="n">
        <f>3374</f>
        <v>3374.0</v>
      </c>
    </row>
    <row r="158">
      <c r="A158" s="8" t="s">
        <v>22</v>
      </c>
      <c r="B158" s="9" t="s">
        <v>59</v>
      </c>
      <c r="C158" s="9" t="s">
        <v>60</v>
      </c>
      <c r="D158" s="10"/>
      <c r="E158" s="11" t="n">
        <f>2177</f>
        <v>2177.0</v>
      </c>
      <c r="F158" s="10"/>
      <c r="G158" s="11" t="n">
        <f>893331200</f>
        <v>8.933312E8</v>
      </c>
      <c r="H158" s="10"/>
      <c r="I158" s="11" t="str">
        <f>"－"</f>
        <v>－</v>
      </c>
      <c r="J158" s="10"/>
      <c r="K158" s="11" t="n">
        <f>3095</f>
        <v>3095.0</v>
      </c>
    </row>
    <row r="159">
      <c r="A159" s="8" t="s">
        <v>23</v>
      </c>
      <c r="B159" s="9" t="s">
        <v>59</v>
      </c>
      <c r="C159" s="9" t="s">
        <v>60</v>
      </c>
      <c r="D159" s="10"/>
      <c r="E159" s="11"/>
      <c r="F159" s="10"/>
      <c r="G159" s="11"/>
      <c r="H159" s="10"/>
      <c r="I159" s="11"/>
      <c r="J159" s="10"/>
      <c r="K159" s="11"/>
    </row>
    <row r="160">
      <c r="A160" s="8" t="s">
        <v>24</v>
      </c>
      <c r="B160" s="9" t="s">
        <v>59</v>
      </c>
      <c r="C160" s="9" t="s">
        <v>60</v>
      </c>
      <c r="D160" s="10"/>
      <c r="E160" s="11"/>
      <c r="F160" s="10"/>
      <c r="G160" s="11"/>
      <c r="H160" s="10"/>
      <c r="I160" s="11"/>
      <c r="J160" s="10"/>
      <c r="K160" s="11"/>
    </row>
    <row r="161">
      <c r="A161" s="8" t="s">
        <v>25</v>
      </c>
      <c r="B161" s="9" t="s">
        <v>59</v>
      </c>
      <c r="C161" s="9" t="s">
        <v>60</v>
      </c>
      <c r="D161" s="10"/>
      <c r="E161" s="11" t="n">
        <f>2051</f>
        <v>2051.0</v>
      </c>
      <c r="F161" s="10"/>
      <c r="G161" s="11" t="n">
        <f>850018800</f>
        <v>8.500188E8</v>
      </c>
      <c r="H161" s="10"/>
      <c r="I161" s="11" t="str">
        <f>"－"</f>
        <v>－</v>
      </c>
      <c r="J161" s="10"/>
      <c r="K161" s="11" t="n">
        <f>2957</f>
        <v>2957.0</v>
      </c>
    </row>
    <row r="162">
      <c r="A162" s="8" t="s">
        <v>26</v>
      </c>
      <c r="B162" s="9" t="s">
        <v>59</v>
      </c>
      <c r="C162" s="9" t="s">
        <v>60</v>
      </c>
      <c r="D162" s="10"/>
      <c r="E162" s="11" t="n">
        <f>2937</f>
        <v>2937.0</v>
      </c>
      <c r="F162" s="10"/>
      <c r="G162" s="11" t="n">
        <f>1227953450</f>
        <v>1.22795345E9</v>
      </c>
      <c r="H162" s="10"/>
      <c r="I162" s="11" t="str">
        <f>"－"</f>
        <v>－</v>
      </c>
      <c r="J162" s="10"/>
      <c r="K162" s="11" t="n">
        <f>2959</f>
        <v>2959.0</v>
      </c>
    </row>
    <row r="163">
      <c r="A163" s="8" t="s">
        <v>27</v>
      </c>
      <c r="B163" s="9" t="s">
        <v>59</v>
      </c>
      <c r="C163" s="9" t="s">
        <v>60</v>
      </c>
      <c r="D163" s="10"/>
      <c r="E163" s="11" t="n">
        <f>2226</f>
        <v>2226.0</v>
      </c>
      <c r="F163" s="10"/>
      <c r="G163" s="11" t="n">
        <f>926343850</f>
        <v>9.2634385E8</v>
      </c>
      <c r="H163" s="10"/>
      <c r="I163" s="11" t="str">
        <f>"－"</f>
        <v>－</v>
      </c>
      <c r="J163" s="10"/>
      <c r="K163" s="11" t="n">
        <f>2822</f>
        <v>2822.0</v>
      </c>
    </row>
    <row r="164">
      <c r="A164" s="8" t="s">
        <v>28</v>
      </c>
      <c r="B164" s="9" t="s">
        <v>59</v>
      </c>
      <c r="C164" s="9" t="s">
        <v>60</v>
      </c>
      <c r="D164" s="10"/>
      <c r="E164" s="11" t="n">
        <f>2185</f>
        <v>2185.0</v>
      </c>
      <c r="F164" s="10"/>
      <c r="G164" s="11" t="n">
        <f>916338450</f>
        <v>9.1633845E8</v>
      </c>
      <c r="H164" s="10"/>
      <c r="I164" s="11" t="str">
        <f>"－"</f>
        <v>－</v>
      </c>
      <c r="J164" s="10"/>
      <c r="K164" s="11" t="n">
        <f>2885</f>
        <v>2885.0</v>
      </c>
    </row>
    <row r="165">
      <c r="A165" s="8" t="s">
        <v>29</v>
      </c>
      <c r="B165" s="9" t="s">
        <v>59</v>
      </c>
      <c r="C165" s="9" t="s">
        <v>60</v>
      </c>
      <c r="D165" s="10"/>
      <c r="E165" s="11" t="n">
        <f>2152</f>
        <v>2152.0</v>
      </c>
      <c r="F165" s="10"/>
      <c r="G165" s="11" t="n">
        <f>876750750</f>
        <v>8.7675075E8</v>
      </c>
      <c r="H165" s="10"/>
      <c r="I165" s="11" t="str">
        <f>"－"</f>
        <v>－</v>
      </c>
      <c r="J165" s="10"/>
      <c r="K165" s="11" t="n">
        <f>2965</f>
        <v>2965.0</v>
      </c>
    </row>
    <row r="166">
      <c r="A166" s="8" t="s">
        <v>30</v>
      </c>
      <c r="B166" s="9" t="s">
        <v>59</v>
      </c>
      <c r="C166" s="9" t="s">
        <v>60</v>
      </c>
      <c r="D166" s="10"/>
      <c r="E166" s="11"/>
      <c r="F166" s="10"/>
      <c r="G166" s="11"/>
      <c r="H166" s="10"/>
      <c r="I166" s="11"/>
      <c r="J166" s="10"/>
      <c r="K166" s="11"/>
    </row>
    <row r="167">
      <c r="A167" s="8" t="s">
        <v>31</v>
      </c>
      <c r="B167" s="9" t="s">
        <v>59</v>
      </c>
      <c r="C167" s="9" t="s">
        <v>60</v>
      </c>
      <c r="D167" s="10"/>
      <c r="E167" s="11"/>
      <c r="F167" s="10"/>
      <c r="G167" s="11"/>
      <c r="H167" s="10"/>
      <c r="I167" s="11"/>
      <c r="J167" s="10"/>
      <c r="K167" s="11"/>
    </row>
    <row r="168">
      <c r="A168" s="8" t="s">
        <v>32</v>
      </c>
      <c r="B168" s="9" t="s">
        <v>59</v>
      </c>
      <c r="C168" s="9" t="s">
        <v>60</v>
      </c>
      <c r="D168" s="10"/>
      <c r="E168" s="11" t="n">
        <f>1567</f>
        <v>1567.0</v>
      </c>
      <c r="F168" s="10"/>
      <c r="G168" s="11" t="n">
        <f>634823600</f>
        <v>6.348236E8</v>
      </c>
      <c r="H168" s="10"/>
      <c r="I168" s="11" t="str">
        <f>"－"</f>
        <v>－</v>
      </c>
      <c r="J168" s="10"/>
      <c r="K168" s="11" t="n">
        <f>2917</f>
        <v>2917.0</v>
      </c>
    </row>
    <row r="169">
      <c r="A169" s="8" t="s">
        <v>33</v>
      </c>
      <c r="B169" s="9" t="s">
        <v>59</v>
      </c>
      <c r="C169" s="9" t="s">
        <v>60</v>
      </c>
      <c r="D169" s="10"/>
      <c r="E169" s="11" t="n">
        <f>1985</f>
        <v>1985.0</v>
      </c>
      <c r="F169" s="10"/>
      <c r="G169" s="11" t="n">
        <f>787724050</f>
        <v>7.8772405E8</v>
      </c>
      <c r="H169" s="10"/>
      <c r="I169" s="11" t="str">
        <f>"－"</f>
        <v>－</v>
      </c>
      <c r="J169" s="10"/>
      <c r="K169" s="11" t="n">
        <f>2847</f>
        <v>2847.0</v>
      </c>
    </row>
    <row r="170">
      <c r="A170" s="8" t="s">
        <v>34</v>
      </c>
      <c r="B170" s="9" t="s">
        <v>59</v>
      </c>
      <c r="C170" s="9" t="s">
        <v>60</v>
      </c>
      <c r="D170" s="10"/>
      <c r="E170" s="11" t="n">
        <f>1959</f>
        <v>1959.0</v>
      </c>
      <c r="F170" s="10"/>
      <c r="G170" s="11" t="n">
        <f>771861750</f>
        <v>7.7186175E8</v>
      </c>
      <c r="H170" s="10"/>
      <c r="I170" s="11" t="str">
        <f>"－"</f>
        <v>－</v>
      </c>
      <c r="J170" s="10"/>
      <c r="K170" s="11" t="n">
        <f>2840</f>
        <v>2840.0</v>
      </c>
    </row>
    <row r="171">
      <c r="A171" s="8" t="s">
        <v>35</v>
      </c>
      <c r="B171" s="9" t="s">
        <v>59</v>
      </c>
      <c r="C171" s="9" t="s">
        <v>60</v>
      </c>
      <c r="D171" s="10"/>
      <c r="E171" s="11" t="n">
        <f>2017</f>
        <v>2017.0</v>
      </c>
      <c r="F171" s="10"/>
      <c r="G171" s="11" t="n">
        <f>803425650</f>
        <v>8.0342565E8</v>
      </c>
      <c r="H171" s="10"/>
      <c r="I171" s="11" t="str">
        <f>"－"</f>
        <v>－</v>
      </c>
      <c r="J171" s="10"/>
      <c r="K171" s="11" t="n">
        <f>2867</f>
        <v>2867.0</v>
      </c>
    </row>
    <row r="172">
      <c r="A172" s="8" t="s">
        <v>36</v>
      </c>
      <c r="B172" s="9" t="s">
        <v>59</v>
      </c>
      <c r="C172" s="9" t="s">
        <v>60</v>
      </c>
      <c r="D172" s="10"/>
      <c r="E172" s="11" t="n">
        <f>1958</f>
        <v>1958.0</v>
      </c>
      <c r="F172" s="10"/>
      <c r="G172" s="11" t="n">
        <f>774267450</f>
        <v>7.7426745E8</v>
      </c>
      <c r="H172" s="10"/>
      <c r="I172" s="11" t="str">
        <f>"－"</f>
        <v>－</v>
      </c>
      <c r="J172" s="10"/>
      <c r="K172" s="11" t="n">
        <f>2833</f>
        <v>2833.0</v>
      </c>
    </row>
    <row r="173">
      <c r="A173" s="8" t="s">
        <v>37</v>
      </c>
      <c r="B173" s="9" t="s">
        <v>59</v>
      </c>
      <c r="C173" s="9" t="s">
        <v>60</v>
      </c>
      <c r="D173" s="10"/>
      <c r="E173" s="11"/>
      <c r="F173" s="10"/>
      <c r="G173" s="11"/>
      <c r="H173" s="10"/>
      <c r="I173" s="11"/>
      <c r="J173" s="10"/>
      <c r="K173" s="11"/>
    </row>
    <row r="174">
      <c r="A174" s="8" t="s">
        <v>38</v>
      </c>
      <c r="B174" s="9" t="s">
        <v>59</v>
      </c>
      <c r="C174" s="9" t="s">
        <v>60</v>
      </c>
      <c r="D174" s="10"/>
      <c r="E174" s="11"/>
      <c r="F174" s="10"/>
      <c r="G174" s="11"/>
      <c r="H174" s="10"/>
      <c r="I174" s="11"/>
      <c r="J174" s="10"/>
      <c r="K174" s="11"/>
    </row>
    <row r="175">
      <c r="A175" s="8" t="s">
        <v>39</v>
      </c>
      <c r="B175" s="9" t="s">
        <v>59</v>
      </c>
      <c r="C175" s="9" t="s">
        <v>60</v>
      </c>
      <c r="D175" s="10" t="s">
        <v>41</v>
      </c>
      <c r="E175" s="11" t="n">
        <f>1234</f>
        <v>1234.0</v>
      </c>
      <c r="F175" s="10" t="s">
        <v>41</v>
      </c>
      <c r="G175" s="11" t="n">
        <f>492864950</f>
        <v>4.9286495E8</v>
      </c>
      <c r="H175" s="10"/>
      <c r="I175" s="11" t="str">
        <f>"－"</f>
        <v>－</v>
      </c>
      <c r="J175" s="10"/>
      <c r="K175" s="11" t="n">
        <f>2798</f>
        <v>2798.0</v>
      </c>
    </row>
    <row r="176">
      <c r="A176" s="8" t="s">
        <v>40</v>
      </c>
      <c r="B176" s="9" t="s">
        <v>59</v>
      </c>
      <c r="C176" s="9" t="s">
        <v>60</v>
      </c>
      <c r="D176" s="10"/>
      <c r="E176" s="11" t="n">
        <f>1282</f>
        <v>1282.0</v>
      </c>
      <c r="F176" s="10"/>
      <c r="G176" s="11" t="n">
        <f>512500500</f>
        <v>5.125005E8</v>
      </c>
      <c r="H176" s="10"/>
      <c r="I176" s="11" t="str">
        <f>"－"</f>
        <v>－</v>
      </c>
      <c r="J176" s="10" t="s">
        <v>41</v>
      </c>
      <c r="K176" s="11" t="n">
        <f>2661</f>
        <v>2661.0</v>
      </c>
    </row>
    <row r="177">
      <c r="A177" s="8" t="s">
        <v>42</v>
      </c>
      <c r="B177" s="9" t="s">
        <v>59</v>
      </c>
      <c r="C177" s="9" t="s">
        <v>60</v>
      </c>
      <c r="D177" s="10"/>
      <c r="E177" s="11" t="n">
        <f>3205</f>
        <v>3205.0</v>
      </c>
      <c r="F177" s="10"/>
      <c r="G177" s="11" t="n">
        <f>1292511850</f>
        <v>1.29251185E9</v>
      </c>
      <c r="H177" s="10"/>
      <c r="I177" s="11" t="str">
        <f>"－"</f>
        <v>－</v>
      </c>
      <c r="J177" s="10"/>
      <c r="K177" s="11" t="n">
        <f>2694</f>
        <v>2694.0</v>
      </c>
    </row>
    <row r="178">
      <c r="A178" s="8" t="s">
        <v>43</v>
      </c>
      <c r="B178" s="9" t="s">
        <v>59</v>
      </c>
      <c r="C178" s="9" t="s">
        <v>60</v>
      </c>
      <c r="D178" s="10"/>
      <c r="E178" s="11" t="n">
        <f>2456</f>
        <v>2456.0</v>
      </c>
      <c r="F178" s="10"/>
      <c r="G178" s="11" t="n">
        <f>983459000</f>
        <v>9.83459E8</v>
      </c>
      <c r="H178" s="10"/>
      <c r="I178" s="11" t="str">
        <f>"－"</f>
        <v>－</v>
      </c>
      <c r="J178" s="10"/>
      <c r="K178" s="11" t="n">
        <f>2678</f>
        <v>2678.0</v>
      </c>
    </row>
    <row r="179">
      <c r="A179" s="8" t="s">
        <v>44</v>
      </c>
      <c r="B179" s="9" t="s">
        <v>59</v>
      </c>
      <c r="C179" s="9" t="s">
        <v>60</v>
      </c>
      <c r="D179" s="10"/>
      <c r="E179" s="11" t="n">
        <f>2338</f>
        <v>2338.0</v>
      </c>
      <c r="F179" s="10"/>
      <c r="G179" s="11" t="n">
        <f>919689550</f>
        <v>9.1968955E8</v>
      </c>
      <c r="H179" s="10"/>
      <c r="I179" s="11" t="str">
        <f>"－"</f>
        <v>－</v>
      </c>
      <c r="J179" s="10"/>
      <c r="K179" s="11" t="n">
        <f>2748</f>
        <v>2748.0</v>
      </c>
    </row>
    <row r="180">
      <c r="A180" s="8" t="s">
        <v>45</v>
      </c>
      <c r="B180" s="9" t="s">
        <v>59</v>
      </c>
      <c r="C180" s="9" t="s">
        <v>60</v>
      </c>
      <c r="D180" s="10"/>
      <c r="E180" s="11"/>
      <c r="F180" s="10"/>
      <c r="G180" s="11"/>
      <c r="H180" s="10"/>
      <c r="I180" s="11"/>
      <c r="J180" s="10"/>
      <c r="K180" s="11"/>
    </row>
    <row r="181">
      <c r="A181" s="8" t="s">
        <v>46</v>
      </c>
      <c r="B181" s="9" t="s">
        <v>59</v>
      </c>
      <c r="C181" s="9" t="s">
        <v>60</v>
      </c>
      <c r="D181" s="10"/>
      <c r="E181" s="11"/>
      <c r="F181" s="10"/>
      <c r="G181" s="11"/>
      <c r="H181" s="10"/>
      <c r="I181" s="11"/>
      <c r="J181" s="10"/>
      <c r="K181" s="11"/>
    </row>
    <row r="182">
      <c r="A182" s="8" t="s">
        <v>47</v>
      </c>
      <c r="B182" s="9" t="s">
        <v>59</v>
      </c>
      <c r="C182" s="9" t="s">
        <v>60</v>
      </c>
      <c r="D182" s="10"/>
      <c r="E182" s="11" t="n">
        <f>2001</f>
        <v>2001.0</v>
      </c>
      <c r="F182" s="10"/>
      <c r="G182" s="11" t="n">
        <f>784192050</f>
        <v>7.8419205E8</v>
      </c>
      <c r="H182" s="10"/>
      <c r="I182" s="11" t="str">
        <f>"－"</f>
        <v>－</v>
      </c>
      <c r="J182" s="10"/>
      <c r="K182" s="11" t="n">
        <f>2907</f>
        <v>2907.0</v>
      </c>
    </row>
    <row r="183">
      <c r="A183" s="8" t="s">
        <v>48</v>
      </c>
      <c r="B183" s="9" t="s">
        <v>59</v>
      </c>
      <c r="C183" s="9" t="s">
        <v>60</v>
      </c>
      <c r="D183" s="10"/>
      <c r="E183" s="11" t="n">
        <f>1379</f>
        <v>1379.0</v>
      </c>
      <c r="F183" s="10"/>
      <c r="G183" s="11" t="n">
        <f>537810350</f>
        <v>5.3781035E8</v>
      </c>
      <c r="H183" s="10"/>
      <c r="I183" s="11" t="str">
        <f>"－"</f>
        <v>－</v>
      </c>
      <c r="J183" s="10"/>
      <c r="K183" s="11" t="n">
        <f>2844</f>
        <v>2844.0</v>
      </c>
    </row>
    <row r="184">
      <c r="A184" s="8" t="s">
        <v>49</v>
      </c>
      <c r="B184" s="9" t="s">
        <v>59</v>
      </c>
      <c r="C184" s="9" t="s">
        <v>60</v>
      </c>
      <c r="D184" s="10"/>
      <c r="E184" s="11" t="n">
        <f>2299</f>
        <v>2299.0</v>
      </c>
      <c r="F184" s="10"/>
      <c r="G184" s="11" t="n">
        <f>908503450</f>
        <v>9.0850345E8</v>
      </c>
      <c r="H184" s="10"/>
      <c r="I184" s="11" t="str">
        <f>"－"</f>
        <v>－</v>
      </c>
      <c r="J184" s="10"/>
      <c r="K184" s="11" t="n">
        <f>2927</f>
        <v>2927.0</v>
      </c>
    </row>
    <row r="185">
      <c r="A185" s="8" t="s">
        <v>50</v>
      </c>
      <c r="B185" s="9" t="s">
        <v>59</v>
      </c>
      <c r="C185" s="9" t="s">
        <v>60</v>
      </c>
      <c r="D185" s="10"/>
      <c r="E185" s="11" t="n">
        <f>2240</f>
        <v>2240.0</v>
      </c>
      <c r="F185" s="10"/>
      <c r="G185" s="11" t="n">
        <f>891094800</f>
        <v>8.910948E8</v>
      </c>
      <c r="H185" s="10"/>
      <c r="I185" s="11" t="str">
        <f>"－"</f>
        <v>－</v>
      </c>
      <c r="J185" s="10"/>
      <c r="K185" s="11" t="n">
        <f>2886</f>
        <v>2886.0</v>
      </c>
    </row>
    <row r="186">
      <c r="A186" s="8" t="s">
        <v>16</v>
      </c>
      <c r="B186" s="9" t="s">
        <v>61</v>
      </c>
      <c r="C186" s="9" t="s">
        <v>62</v>
      </c>
      <c r="D186" s="10"/>
      <c r="E186" s="11" t="n">
        <f>580</f>
        <v>580.0</v>
      </c>
      <c r="F186" s="10"/>
      <c r="G186" s="11" t="n">
        <f>231888600</f>
        <v>2.318886E8</v>
      </c>
      <c r="H186" s="10" t="s">
        <v>19</v>
      </c>
      <c r="I186" s="11" t="str">
        <f>"－"</f>
        <v>－</v>
      </c>
      <c r="J186" s="10" t="s">
        <v>20</v>
      </c>
      <c r="K186" s="11" t="n">
        <f>15623</f>
        <v>15623.0</v>
      </c>
    </row>
    <row r="187">
      <c r="A187" s="8" t="s">
        <v>21</v>
      </c>
      <c r="B187" s="9" t="s">
        <v>61</v>
      </c>
      <c r="C187" s="9" t="s">
        <v>62</v>
      </c>
      <c r="D187" s="10"/>
      <c r="E187" s="11" t="n">
        <f>1099</f>
        <v>1099.0</v>
      </c>
      <c r="F187" s="10"/>
      <c r="G187" s="11" t="n">
        <f>449619600</f>
        <v>4.496196E8</v>
      </c>
      <c r="H187" s="10"/>
      <c r="I187" s="11" t="str">
        <f>"－"</f>
        <v>－</v>
      </c>
      <c r="J187" s="10"/>
      <c r="K187" s="11" t="n">
        <f>15472</f>
        <v>15472.0</v>
      </c>
    </row>
    <row r="188">
      <c r="A188" s="8" t="s">
        <v>22</v>
      </c>
      <c r="B188" s="9" t="s">
        <v>61</v>
      </c>
      <c r="C188" s="9" t="s">
        <v>62</v>
      </c>
      <c r="D188" s="10" t="s">
        <v>20</v>
      </c>
      <c r="E188" s="11" t="n">
        <f>2071</f>
        <v>2071.0</v>
      </c>
      <c r="F188" s="10" t="s">
        <v>20</v>
      </c>
      <c r="G188" s="11" t="n">
        <f>865195800</f>
        <v>8.651958E8</v>
      </c>
      <c r="H188" s="10"/>
      <c r="I188" s="11" t="str">
        <f>"－"</f>
        <v>－</v>
      </c>
      <c r="J188" s="10"/>
      <c r="K188" s="11" t="n">
        <f>14626</f>
        <v>14626.0</v>
      </c>
    </row>
    <row r="189">
      <c r="A189" s="8" t="s">
        <v>23</v>
      </c>
      <c r="B189" s="9" t="s">
        <v>61</v>
      </c>
      <c r="C189" s="9" t="s">
        <v>62</v>
      </c>
      <c r="D189" s="10"/>
      <c r="E189" s="11"/>
      <c r="F189" s="10"/>
      <c r="G189" s="11"/>
      <c r="H189" s="10"/>
      <c r="I189" s="11"/>
      <c r="J189" s="10"/>
      <c r="K189" s="11"/>
    </row>
    <row r="190">
      <c r="A190" s="8" t="s">
        <v>24</v>
      </c>
      <c r="B190" s="9" t="s">
        <v>61</v>
      </c>
      <c r="C190" s="9" t="s">
        <v>62</v>
      </c>
      <c r="D190" s="10"/>
      <c r="E190" s="11"/>
      <c r="F190" s="10"/>
      <c r="G190" s="11"/>
      <c r="H190" s="10"/>
      <c r="I190" s="11"/>
      <c r="J190" s="10"/>
      <c r="K190" s="11"/>
    </row>
    <row r="191">
      <c r="A191" s="8" t="s">
        <v>25</v>
      </c>
      <c r="B191" s="9" t="s">
        <v>61</v>
      </c>
      <c r="C191" s="9" t="s">
        <v>62</v>
      </c>
      <c r="D191" s="10"/>
      <c r="E191" s="11" t="n">
        <f>952</f>
        <v>952.0</v>
      </c>
      <c r="F191" s="10"/>
      <c r="G191" s="11" t="n">
        <f>401843600</f>
        <v>4.018436E8</v>
      </c>
      <c r="H191" s="10"/>
      <c r="I191" s="11" t="str">
        <f>"－"</f>
        <v>－</v>
      </c>
      <c r="J191" s="10"/>
      <c r="K191" s="11" t="n">
        <f>14558</f>
        <v>14558.0</v>
      </c>
    </row>
    <row r="192">
      <c r="A192" s="8" t="s">
        <v>26</v>
      </c>
      <c r="B192" s="9" t="s">
        <v>61</v>
      </c>
      <c r="C192" s="9" t="s">
        <v>62</v>
      </c>
      <c r="D192" s="10"/>
      <c r="E192" s="11" t="n">
        <f>1129</f>
        <v>1129.0</v>
      </c>
      <c r="F192" s="10"/>
      <c r="G192" s="11" t="n">
        <f>479843500</f>
        <v>4.798435E8</v>
      </c>
      <c r="H192" s="10"/>
      <c r="I192" s="11" t="str">
        <f>"－"</f>
        <v>－</v>
      </c>
      <c r="J192" s="10"/>
      <c r="K192" s="11" t="n">
        <f>14414</f>
        <v>14414.0</v>
      </c>
    </row>
    <row r="193">
      <c r="A193" s="8" t="s">
        <v>27</v>
      </c>
      <c r="B193" s="9" t="s">
        <v>61</v>
      </c>
      <c r="C193" s="9" t="s">
        <v>62</v>
      </c>
      <c r="D193" s="10"/>
      <c r="E193" s="11" t="n">
        <f>1530</f>
        <v>1530.0</v>
      </c>
      <c r="F193" s="10"/>
      <c r="G193" s="11" t="n">
        <f>649720100</f>
        <v>6.497201E8</v>
      </c>
      <c r="H193" s="10"/>
      <c r="I193" s="11" t="str">
        <f>"－"</f>
        <v>－</v>
      </c>
      <c r="J193" s="10"/>
      <c r="K193" s="11" t="n">
        <f>14106</f>
        <v>14106.0</v>
      </c>
    </row>
    <row r="194">
      <c r="A194" s="8" t="s">
        <v>28</v>
      </c>
      <c r="B194" s="9" t="s">
        <v>61</v>
      </c>
      <c r="C194" s="9" t="s">
        <v>62</v>
      </c>
      <c r="D194" s="10"/>
      <c r="E194" s="11" t="n">
        <f>1687</f>
        <v>1687.0</v>
      </c>
      <c r="F194" s="10"/>
      <c r="G194" s="11" t="n">
        <f>715596800</f>
        <v>7.155968E8</v>
      </c>
      <c r="H194" s="10"/>
      <c r="I194" s="11" t="str">
        <f>"－"</f>
        <v>－</v>
      </c>
      <c r="J194" s="10"/>
      <c r="K194" s="11" t="n">
        <f>13933</f>
        <v>13933.0</v>
      </c>
    </row>
    <row r="195">
      <c r="A195" s="8" t="s">
        <v>29</v>
      </c>
      <c r="B195" s="9" t="s">
        <v>61</v>
      </c>
      <c r="C195" s="9" t="s">
        <v>62</v>
      </c>
      <c r="D195" s="10"/>
      <c r="E195" s="11" t="n">
        <f>1742</f>
        <v>1742.0</v>
      </c>
      <c r="F195" s="10"/>
      <c r="G195" s="11" t="n">
        <f>722067200</f>
        <v>7.220672E8</v>
      </c>
      <c r="H195" s="10"/>
      <c r="I195" s="11" t="str">
        <f>"－"</f>
        <v>－</v>
      </c>
      <c r="J195" s="10"/>
      <c r="K195" s="11" t="n">
        <f>14001</f>
        <v>14001.0</v>
      </c>
    </row>
    <row r="196">
      <c r="A196" s="8" t="s">
        <v>30</v>
      </c>
      <c r="B196" s="9" t="s">
        <v>61</v>
      </c>
      <c r="C196" s="9" t="s">
        <v>62</v>
      </c>
      <c r="D196" s="10"/>
      <c r="E196" s="11"/>
      <c r="F196" s="10"/>
      <c r="G196" s="11"/>
      <c r="H196" s="10"/>
      <c r="I196" s="11"/>
      <c r="J196" s="10"/>
      <c r="K196" s="11"/>
    </row>
    <row r="197">
      <c r="A197" s="8" t="s">
        <v>31</v>
      </c>
      <c r="B197" s="9" t="s">
        <v>61</v>
      </c>
      <c r="C197" s="9" t="s">
        <v>62</v>
      </c>
      <c r="D197" s="10"/>
      <c r="E197" s="11"/>
      <c r="F197" s="10"/>
      <c r="G197" s="11"/>
      <c r="H197" s="10"/>
      <c r="I197" s="11"/>
      <c r="J197" s="10"/>
      <c r="K197" s="11"/>
    </row>
    <row r="198">
      <c r="A198" s="8" t="s">
        <v>32</v>
      </c>
      <c r="B198" s="9" t="s">
        <v>61</v>
      </c>
      <c r="C198" s="9" t="s">
        <v>62</v>
      </c>
      <c r="D198" s="10"/>
      <c r="E198" s="11" t="n">
        <f>1020</f>
        <v>1020.0</v>
      </c>
      <c r="F198" s="10"/>
      <c r="G198" s="11" t="n">
        <f>420841300</f>
        <v>4.208413E8</v>
      </c>
      <c r="H198" s="10"/>
      <c r="I198" s="11" t="str">
        <f>"－"</f>
        <v>－</v>
      </c>
      <c r="J198" s="10" t="s">
        <v>41</v>
      </c>
      <c r="K198" s="11" t="n">
        <f>13705</f>
        <v>13705.0</v>
      </c>
    </row>
    <row r="199">
      <c r="A199" s="8" t="s">
        <v>33</v>
      </c>
      <c r="B199" s="9" t="s">
        <v>61</v>
      </c>
      <c r="C199" s="9" t="s">
        <v>62</v>
      </c>
      <c r="D199" s="10"/>
      <c r="E199" s="11" t="n">
        <f>1124</f>
        <v>1124.0</v>
      </c>
      <c r="F199" s="10"/>
      <c r="G199" s="11" t="n">
        <f>454792700</f>
        <v>4.547927E8</v>
      </c>
      <c r="H199" s="10"/>
      <c r="I199" s="11" t="str">
        <f>"－"</f>
        <v>－</v>
      </c>
      <c r="J199" s="10"/>
      <c r="K199" s="11" t="n">
        <f>13973</f>
        <v>13973.0</v>
      </c>
    </row>
    <row r="200">
      <c r="A200" s="8" t="s">
        <v>34</v>
      </c>
      <c r="B200" s="9" t="s">
        <v>61</v>
      </c>
      <c r="C200" s="9" t="s">
        <v>62</v>
      </c>
      <c r="D200" s="10"/>
      <c r="E200" s="11" t="n">
        <f>690</f>
        <v>690.0</v>
      </c>
      <c r="F200" s="10"/>
      <c r="G200" s="11" t="n">
        <f>278185900</f>
        <v>2.781859E8</v>
      </c>
      <c r="H200" s="10"/>
      <c r="I200" s="11" t="str">
        <f>"－"</f>
        <v>－</v>
      </c>
      <c r="J200" s="10"/>
      <c r="K200" s="11" t="n">
        <f>14041</f>
        <v>14041.0</v>
      </c>
    </row>
    <row r="201">
      <c r="A201" s="8" t="s">
        <v>35</v>
      </c>
      <c r="B201" s="9" t="s">
        <v>61</v>
      </c>
      <c r="C201" s="9" t="s">
        <v>62</v>
      </c>
      <c r="D201" s="10"/>
      <c r="E201" s="11" t="n">
        <f>613</f>
        <v>613.0</v>
      </c>
      <c r="F201" s="10"/>
      <c r="G201" s="11" t="n">
        <f>249707900</f>
        <v>2.497079E8</v>
      </c>
      <c r="H201" s="10"/>
      <c r="I201" s="11" t="str">
        <f>"－"</f>
        <v>－</v>
      </c>
      <c r="J201" s="10"/>
      <c r="K201" s="11" t="n">
        <f>14133</f>
        <v>14133.0</v>
      </c>
    </row>
    <row r="202">
      <c r="A202" s="8" t="s">
        <v>36</v>
      </c>
      <c r="B202" s="9" t="s">
        <v>61</v>
      </c>
      <c r="C202" s="9" t="s">
        <v>62</v>
      </c>
      <c r="D202" s="10"/>
      <c r="E202" s="11" t="n">
        <f>589</f>
        <v>589.0</v>
      </c>
      <c r="F202" s="10"/>
      <c r="G202" s="11" t="n">
        <f>238858300</f>
        <v>2.388583E8</v>
      </c>
      <c r="H202" s="10"/>
      <c r="I202" s="11" t="str">
        <f>"－"</f>
        <v>－</v>
      </c>
      <c r="J202" s="10"/>
      <c r="K202" s="11" t="n">
        <f>14210</f>
        <v>14210.0</v>
      </c>
    </row>
    <row r="203">
      <c r="A203" s="8" t="s">
        <v>37</v>
      </c>
      <c r="B203" s="9" t="s">
        <v>61</v>
      </c>
      <c r="C203" s="9" t="s">
        <v>62</v>
      </c>
      <c r="D203" s="10"/>
      <c r="E203" s="11"/>
      <c r="F203" s="10"/>
      <c r="G203" s="11"/>
      <c r="H203" s="10"/>
      <c r="I203" s="11"/>
      <c r="J203" s="10"/>
      <c r="K203" s="11"/>
    </row>
    <row r="204">
      <c r="A204" s="8" t="s">
        <v>38</v>
      </c>
      <c r="B204" s="9" t="s">
        <v>61</v>
      </c>
      <c r="C204" s="9" t="s">
        <v>62</v>
      </c>
      <c r="D204" s="10"/>
      <c r="E204" s="11"/>
      <c r="F204" s="10"/>
      <c r="G204" s="11"/>
      <c r="H204" s="10"/>
      <c r="I204" s="11"/>
      <c r="J204" s="10"/>
      <c r="K204" s="11"/>
    </row>
    <row r="205">
      <c r="A205" s="8" t="s">
        <v>39</v>
      </c>
      <c r="B205" s="9" t="s">
        <v>61</v>
      </c>
      <c r="C205" s="9" t="s">
        <v>62</v>
      </c>
      <c r="D205" s="10"/>
      <c r="E205" s="11" t="n">
        <f>674</f>
        <v>674.0</v>
      </c>
      <c r="F205" s="10"/>
      <c r="G205" s="11" t="n">
        <f>274637400</f>
        <v>2.746374E8</v>
      </c>
      <c r="H205" s="10"/>
      <c r="I205" s="11" t="str">
        <f>"－"</f>
        <v>－</v>
      </c>
      <c r="J205" s="10"/>
      <c r="K205" s="11" t="n">
        <f>14310</f>
        <v>14310.0</v>
      </c>
    </row>
    <row r="206">
      <c r="A206" s="8" t="s">
        <v>40</v>
      </c>
      <c r="B206" s="9" t="s">
        <v>61</v>
      </c>
      <c r="C206" s="9" t="s">
        <v>62</v>
      </c>
      <c r="D206" s="10" t="s">
        <v>41</v>
      </c>
      <c r="E206" s="11" t="n">
        <f>219</f>
        <v>219.0</v>
      </c>
      <c r="F206" s="10" t="s">
        <v>41</v>
      </c>
      <c r="G206" s="11" t="n">
        <f>89336000</f>
        <v>8.9336E7</v>
      </c>
      <c r="H206" s="10"/>
      <c r="I206" s="11" t="str">
        <f>"－"</f>
        <v>－</v>
      </c>
      <c r="J206" s="10"/>
      <c r="K206" s="11" t="n">
        <f>14194</f>
        <v>14194.0</v>
      </c>
    </row>
    <row r="207">
      <c r="A207" s="8" t="s">
        <v>42</v>
      </c>
      <c r="B207" s="9" t="s">
        <v>61</v>
      </c>
      <c r="C207" s="9" t="s">
        <v>62</v>
      </c>
      <c r="D207" s="10"/>
      <c r="E207" s="11" t="n">
        <f>929</f>
        <v>929.0</v>
      </c>
      <c r="F207" s="10"/>
      <c r="G207" s="11" t="n">
        <f>382135000</f>
        <v>3.82135E8</v>
      </c>
      <c r="H207" s="10"/>
      <c r="I207" s="11" t="str">
        <f>"－"</f>
        <v>－</v>
      </c>
      <c r="J207" s="10"/>
      <c r="K207" s="11" t="n">
        <f>14387</f>
        <v>14387.0</v>
      </c>
    </row>
    <row r="208">
      <c r="A208" s="8" t="s">
        <v>43</v>
      </c>
      <c r="B208" s="9" t="s">
        <v>61</v>
      </c>
      <c r="C208" s="9" t="s">
        <v>62</v>
      </c>
      <c r="D208" s="10"/>
      <c r="E208" s="11" t="n">
        <f>540</f>
        <v>540.0</v>
      </c>
      <c r="F208" s="10"/>
      <c r="G208" s="11" t="n">
        <f>220230300</f>
        <v>2.202303E8</v>
      </c>
      <c r="H208" s="10"/>
      <c r="I208" s="11" t="str">
        <f>"－"</f>
        <v>－</v>
      </c>
      <c r="J208" s="10"/>
      <c r="K208" s="11" t="n">
        <f>14328</f>
        <v>14328.0</v>
      </c>
    </row>
    <row r="209">
      <c r="A209" s="8" t="s">
        <v>44</v>
      </c>
      <c r="B209" s="9" t="s">
        <v>61</v>
      </c>
      <c r="C209" s="9" t="s">
        <v>62</v>
      </c>
      <c r="D209" s="10"/>
      <c r="E209" s="11" t="n">
        <f>975</f>
        <v>975.0</v>
      </c>
      <c r="F209" s="10"/>
      <c r="G209" s="11" t="n">
        <f>391225800</f>
        <v>3.912258E8</v>
      </c>
      <c r="H209" s="10"/>
      <c r="I209" s="11" t="str">
        <f>"－"</f>
        <v>－</v>
      </c>
      <c r="J209" s="10"/>
      <c r="K209" s="11" t="n">
        <f>14715</f>
        <v>14715.0</v>
      </c>
    </row>
    <row r="210">
      <c r="A210" s="8" t="s">
        <v>45</v>
      </c>
      <c r="B210" s="9" t="s">
        <v>61</v>
      </c>
      <c r="C210" s="9" t="s">
        <v>62</v>
      </c>
      <c r="D210" s="10"/>
      <c r="E210" s="11"/>
      <c r="F210" s="10"/>
      <c r="G210" s="11"/>
      <c r="H210" s="10"/>
      <c r="I210" s="11"/>
      <c r="J210" s="10"/>
      <c r="K210" s="11"/>
    </row>
    <row r="211">
      <c r="A211" s="8" t="s">
        <v>46</v>
      </c>
      <c r="B211" s="9" t="s">
        <v>61</v>
      </c>
      <c r="C211" s="9" t="s">
        <v>62</v>
      </c>
      <c r="D211" s="10"/>
      <c r="E211" s="11"/>
      <c r="F211" s="10"/>
      <c r="G211" s="11"/>
      <c r="H211" s="10"/>
      <c r="I211" s="11"/>
      <c r="J211" s="10"/>
      <c r="K211" s="11"/>
    </row>
    <row r="212">
      <c r="A212" s="8" t="s">
        <v>47</v>
      </c>
      <c r="B212" s="9" t="s">
        <v>61</v>
      </c>
      <c r="C212" s="9" t="s">
        <v>62</v>
      </c>
      <c r="D212" s="10"/>
      <c r="E212" s="11" t="n">
        <f>336</f>
        <v>336.0</v>
      </c>
      <c r="F212" s="10"/>
      <c r="G212" s="11" t="n">
        <f>134603000</f>
        <v>1.34603E8</v>
      </c>
      <c r="H212" s="10"/>
      <c r="I212" s="11" t="str">
        <f>"－"</f>
        <v>－</v>
      </c>
      <c r="J212" s="10"/>
      <c r="K212" s="11" t="n">
        <f>14868</f>
        <v>14868.0</v>
      </c>
    </row>
    <row r="213">
      <c r="A213" s="8" t="s">
        <v>48</v>
      </c>
      <c r="B213" s="9" t="s">
        <v>61</v>
      </c>
      <c r="C213" s="9" t="s">
        <v>62</v>
      </c>
      <c r="D213" s="10"/>
      <c r="E213" s="11" t="n">
        <f>777</f>
        <v>777.0</v>
      </c>
      <c r="F213" s="10"/>
      <c r="G213" s="11" t="n">
        <f>309210300</f>
        <v>3.092103E8</v>
      </c>
      <c r="H213" s="10"/>
      <c r="I213" s="11" t="str">
        <f>"－"</f>
        <v>－</v>
      </c>
      <c r="J213" s="10"/>
      <c r="K213" s="11" t="n">
        <f>15139</f>
        <v>15139.0</v>
      </c>
    </row>
    <row r="214">
      <c r="A214" s="8" t="s">
        <v>49</v>
      </c>
      <c r="B214" s="9" t="s">
        <v>61</v>
      </c>
      <c r="C214" s="9" t="s">
        <v>62</v>
      </c>
      <c r="D214" s="10"/>
      <c r="E214" s="11" t="n">
        <f>496</f>
        <v>496.0</v>
      </c>
      <c r="F214" s="10"/>
      <c r="G214" s="11" t="n">
        <f>199773300</f>
        <v>1.997733E8</v>
      </c>
      <c r="H214" s="10"/>
      <c r="I214" s="11" t="str">
        <f>"－"</f>
        <v>－</v>
      </c>
      <c r="J214" s="10"/>
      <c r="K214" s="11" t="n">
        <f>15262</f>
        <v>15262.0</v>
      </c>
    </row>
    <row r="215">
      <c r="A215" s="8" t="s">
        <v>50</v>
      </c>
      <c r="B215" s="9" t="s">
        <v>61</v>
      </c>
      <c r="C215" s="9" t="s">
        <v>62</v>
      </c>
      <c r="D215" s="10"/>
      <c r="E215" s="11" t="n">
        <f>417</f>
        <v>417.0</v>
      </c>
      <c r="F215" s="10"/>
      <c r="G215" s="11" t="n">
        <f>169072900</f>
        <v>1.690729E8</v>
      </c>
      <c r="H215" s="10"/>
      <c r="I215" s="11" t="str">
        <f>"－"</f>
        <v>－</v>
      </c>
      <c r="J215" s="10"/>
      <c r="K215" s="11" t="n">
        <f>15190</f>
        <v>15190.0</v>
      </c>
    </row>
    <row r="216">
      <c r="A216" s="8" t="s">
        <v>16</v>
      </c>
      <c r="B216" s="9" t="s">
        <v>63</v>
      </c>
      <c r="C216" s="9" t="s">
        <v>64</v>
      </c>
      <c r="D216" s="10" t="s">
        <v>20</v>
      </c>
      <c r="E216" s="11" t="n">
        <f>1</f>
        <v>1.0</v>
      </c>
      <c r="F216" s="10"/>
      <c r="G216" s="11" t="n">
        <f>4200000</f>
        <v>4200000.0</v>
      </c>
      <c r="H216" s="10" t="s">
        <v>19</v>
      </c>
      <c r="I216" s="11" t="str">
        <f>"－"</f>
        <v>－</v>
      </c>
      <c r="J216" s="10"/>
      <c r="K216" s="11" t="n">
        <f>38</f>
        <v>38.0</v>
      </c>
    </row>
    <row r="217">
      <c r="A217" s="8" t="s">
        <v>21</v>
      </c>
      <c r="B217" s="9" t="s">
        <v>63</v>
      </c>
      <c r="C217" s="9" t="s">
        <v>64</v>
      </c>
      <c r="D217" s="10" t="s">
        <v>41</v>
      </c>
      <c r="E217" s="11" t="str">
        <f>"－"</f>
        <v>－</v>
      </c>
      <c r="F217" s="10" t="s">
        <v>41</v>
      </c>
      <c r="G217" s="11" t="str">
        <f>"－"</f>
        <v>－</v>
      </c>
      <c r="H217" s="10"/>
      <c r="I217" s="11" t="str">
        <f>"－"</f>
        <v>－</v>
      </c>
      <c r="J217" s="10"/>
      <c r="K217" s="11" t="n">
        <f>38</f>
        <v>38.0</v>
      </c>
    </row>
    <row r="218">
      <c r="A218" s="8" t="s">
        <v>22</v>
      </c>
      <c r="B218" s="9" t="s">
        <v>63</v>
      </c>
      <c r="C218" s="9" t="s">
        <v>64</v>
      </c>
      <c r="D218" s="10"/>
      <c r="E218" s="11" t="str">
        <f>"－"</f>
        <v>－</v>
      </c>
      <c r="F218" s="10"/>
      <c r="G218" s="11" t="str">
        <f>"－"</f>
        <v>－</v>
      </c>
      <c r="H218" s="10"/>
      <c r="I218" s="11" t="str">
        <f>"－"</f>
        <v>－</v>
      </c>
      <c r="J218" s="10"/>
      <c r="K218" s="11" t="n">
        <f>38</f>
        <v>38.0</v>
      </c>
    </row>
    <row r="219">
      <c r="A219" s="8" t="s">
        <v>23</v>
      </c>
      <c r="B219" s="9" t="s">
        <v>63</v>
      </c>
      <c r="C219" s="9" t="s">
        <v>64</v>
      </c>
      <c r="D219" s="10"/>
      <c r="E219" s="11"/>
      <c r="F219" s="10"/>
      <c r="G219" s="11"/>
      <c r="H219" s="10"/>
      <c r="I219" s="11"/>
      <c r="J219" s="10"/>
      <c r="K219" s="11"/>
    </row>
    <row r="220">
      <c r="A220" s="8" t="s">
        <v>24</v>
      </c>
      <c r="B220" s="9" t="s">
        <v>63</v>
      </c>
      <c r="C220" s="9" t="s">
        <v>64</v>
      </c>
      <c r="D220" s="10"/>
      <c r="E220" s="11"/>
      <c r="F220" s="10"/>
      <c r="G220" s="11"/>
      <c r="H220" s="10"/>
      <c r="I220" s="11"/>
      <c r="J220" s="10"/>
      <c r="K220" s="11"/>
    </row>
    <row r="221">
      <c r="A221" s="8" t="s">
        <v>25</v>
      </c>
      <c r="B221" s="9" t="s">
        <v>63</v>
      </c>
      <c r="C221" s="9" t="s">
        <v>64</v>
      </c>
      <c r="D221" s="10"/>
      <c r="E221" s="11" t="str">
        <f>"－"</f>
        <v>－</v>
      </c>
      <c r="F221" s="10"/>
      <c r="G221" s="11" t="str">
        <f>"－"</f>
        <v>－</v>
      </c>
      <c r="H221" s="10"/>
      <c r="I221" s="11" t="str">
        <f>"－"</f>
        <v>－</v>
      </c>
      <c r="J221" s="10"/>
      <c r="K221" s="11" t="n">
        <f>38</f>
        <v>38.0</v>
      </c>
    </row>
    <row r="222">
      <c r="A222" s="8" t="s">
        <v>26</v>
      </c>
      <c r="B222" s="9" t="s">
        <v>63</v>
      </c>
      <c r="C222" s="9" t="s">
        <v>64</v>
      </c>
      <c r="D222" s="10"/>
      <c r="E222" s="11" t="str">
        <f>"－"</f>
        <v>－</v>
      </c>
      <c r="F222" s="10"/>
      <c r="G222" s="11" t="str">
        <f>"－"</f>
        <v>－</v>
      </c>
      <c r="H222" s="10"/>
      <c r="I222" s="11" t="str">
        <f>"－"</f>
        <v>－</v>
      </c>
      <c r="J222" s="10"/>
      <c r="K222" s="11" t="n">
        <f>38</f>
        <v>38.0</v>
      </c>
    </row>
    <row r="223">
      <c r="A223" s="8" t="s">
        <v>27</v>
      </c>
      <c r="B223" s="9" t="s">
        <v>63</v>
      </c>
      <c r="C223" s="9" t="s">
        <v>64</v>
      </c>
      <c r="D223" s="10"/>
      <c r="E223" s="11" t="str">
        <f>"－"</f>
        <v>－</v>
      </c>
      <c r="F223" s="10"/>
      <c r="G223" s="11" t="str">
        <f>"－"</f>
        <v>－</v>
      </c>
      <c r="H223" s="10"/>
      <c r="I223" s="11" t="str">
        <f>"－"</f>
        <v>－</v>
      </c>
      <c r="J223" s="10"/>
      <c r="K223" s="11" t="n">
        <f>38</f>
        <v>38.0</v>
      </c>
    </row>
    <row r="224">
      <c r="A224" s="8" t="s">
        <v>28</v>
      </c>
      <c r="B224" s="9" t="s">
        <v>63</v>
      </c>
      <c r="C224" s="9" t="s">
        <v>64</v>
      </c>
      <c r="D224" s="10"/>
      <c r="E224" s="11" t="str">
        <f>"－"</f>
        <v>－</v>
      </c>
      <c r="F224" s="10"/>
      <c r="G224" s="11" t="str">
        <f>"－"</f>
        <v>－</v>
      </c>
      <c r="H224" s="10"/>
      <c r="I224" s="11" t="str">
        <f>"－"</f>
        <v>－</v>
      </c>
      <c r="J224" s="10"/>
      <c r="K224" s="11" t="n">
        <f>38</f>
        <v>38.0</v>
      </c>
    </row>
    <row r="225">
      <c r="A225" s="8" t="s">
        <v>29</v>
      </c>
      <c r="B225" s="9" t="s">
        <v>63</v>
      </c>
      <c r="C225" s="9" t="s">
        <v>64</v>
      </c>
      <c r="D225" s="10"/>
      <c r="E225" s="11" t="str">
        <f>"－"</f>
        <v>－</v>
      </c>
      <c r="F225" s="10"/>
      <c r="G225" s="11" t="str">
        <f>"－"</f>
        <v>－</v>
      </c>
      <c r="H225" s="10"/>
      <c r="I225" s="11" t="str">
        <f>"－"</f>
        <v>－</v>
      </c>
      <c r="J225" s="10"/>
      <c r="K225" s="11" t="n">
        <f>38</f>
        <v>38.0</v>
      </c>
    </row>
    <row r="226">
      <c r="A226" s="8" t="s">
        <v>30</v>
      </c>
      <c r="B226" s="9" t="s">
        <v>63</v>
      </c>
      <c r="C226" s="9" t="s">
        <v>64</v>
      </c>
      <c r="D226" s="10"/>
      <c r="E226" s="11"/>
      <c r="F226" s="10"/>
      <c r="G226" s="11"/>
      <c r="H226" s="10"/>
      <c r="I226" s="11"/>
      <c r="J226" s="10"/>
      <c r="K226" s="11"/>
    </row>
    <row r="227">
      <c r="A227" s="8" t="s">
        <v>31</v>
      </c>
      <c r="B227" s="9" t="s">
        <v>63</v>
      </c>
      <c r="C227" s="9" t="s">
        <v>64</v>
      </c>
      <c r="D227" s="10"/>
      <c r="E227" s="11"/>
      <c r="F227" s="10"/>
      <c r="G227" s="11"/>
      <c r="H227" s="10"/>
      <c r="I227" s="11"/>
      <c r="J227" s="10"/>
      <c r="K227" s="11"/>
    </row>
    <row r="228">
      <c r="A228" s="8" t="s">
        <v>32</v>
      </c>
      <c r="B228" s="9" t="s">
        <v>63</v>
      </c>
      <c r="C228" s="9" t="s">
        <v>64</v>
      </c>
      <c r="D228" s="10"/>
      <c r="E228" s="11" t="n">
        <f>1</f>
        <v>1.0</v>
      </c>
      <c r="F228" s="10" t="s">
        <v>20</v>
      </c>
      <c r="G228" s="11" t="n">
        <f>4300000</f>
        <v>4300000.0</v>
      </c>
      <c r="H228" s="10"/>
      <c r="I228" s="11" t="str">
        <f>"－"</f>
        <v>－</v>
      </c>
      <c r="J228" s="10" t="s">
        <v>20</v>
      </c>
      <c r="K228" s="11" t="n">
        <f>39</f>
        <v>39.0</v>
      </c>
    </row>
    <row r="229">
      <c r="A229" s="8" t="s">
        <v>33</v>
      </c>
      <c r="B229" s="9" t="s">
        <v>63</v>
      </c>
      <c r="C229" s="9" t="s">
        <v>64</v>
      </c>
      <c r="D229" s="10"/>
      <c r="E229" s="11" t="str">
        <f>"－"</f>
        <v>－</v>
      </c>
      <c r="F229" s="10"/>
      <c r="G229" s="11" t="str">
        <f>"－"</f>
        <v>－</v>
      </c>
      <c r="H229" s="10"/>
      <c r="I229" s="11" t="str">
        <f>"－"</f>
        <v>－</v>
      </c>
      <c r="J229" s="10"/>
      <c r="K229" s="11" t="n">
        <f>39</f>
        <v>39.0</v>
      </c>
    </row>
    <row r="230">
      <c r="A230" s="8" t="s">
        <v>34</v>
      </c>
      <c r="B230" s="9" t="s">
        <v>63</v>
      </c>
      <c r="C230" s="9" t="s">
        <v>64</v>
      </c>
      <c r="D230" s="10"/>
      <c r="E230" s="11" t="str">
        <f>"－"</f>
        <v>－</v>
      </c>
      <c r="F230" s="10"/>
      <c r="G230" s="11" t="str">
        <f>"－"</f>
        <v>－</v>
      </c>
      <c r="H230" s="10"/>
      <c r="I230" s="11" t="str">
        <f>"－"</f>
        <v>－</v>
      </c>
      <c r="J230" s="10"/>
      <c r="K230" s="11" t="n">
        <f>39</f>
        <v>39.0</v>
      </c>
    </row>
    <row r="231">
      <c r="A231" s="8" t="s">
        <v>35</v>
      </c>
      <c r="B231" s="9" t="s">
        <v>63</v>
      </c>
      <c r="C231" s="9" t="s">
        <v>64</v>
      </c>
      <c r="D231" s="10"/>
      <c r="E231" s="11" t="n">
        <f>1</f>
        <v>1.0</v>
      </c>
      <c r="F231" s="10"/>
      <c r="G231" s="11" t="n">
        <f>4300000</f>
        <v>4300000.0</v>
      </c>
      <c r="H231" s="10"/>
      <c r="I231" s="11" t="str">
        <f>"－"</f>
        <v>－</v>
      </c>
      <c r="J231" s="10"/>
      <c r="K231" s="11" t="n">
        <f>38</f>
        <v>38.0</v>
      </c>
    </row>
    <row r="232">
      <c r="A232" s="8" t="s">
        <v>36</v>
      </c>
      <c r="B232" s="9" t="s">
        <v>63</v>
      </c>
      <c r="C232" s="9" t="s">
        <v>64</v>
      </c>
      <c r="D232" s="10"/>
      <c r="E232" s="11" t="str">
        <f>"－"</f>
        <v>－</v>
      </c>
      <c r="F232" s="10"/>
      <c r="G232" s="11" t="str">
        <f>"－"</f>
        <v>－</v>
      </c>
      <c r="H232" s="10"/>
      <c r="I232" s="11" t="str">
        <f>"－"</f>
        <v>－</v>
      </c>
      <c r="J232" s="10"/>
      <c r="K232" s="11" t="n">
        <f>38</f>
        <v>38.0</v>
      </c>
    </row>
    <row r="233">
      <c r="A233" s="8" t="s">
        <v>37</v>
      </c>
      <c r="B233" s="9" t="s">
        <v>63</v>
      </c>
      <c r="C233" s="9" t="s">
        <v>64</v>
      </c>
      <c r="D233" s="10"/>
      <c r="E233" s="11"/>
      <c r="F233" s="10"/>
      <c r="G233" s="11"/>
      <c r="H233" s="10"/>
      <c r="I233" s="11"/>
      <c r="J233" s="10"/>
      <c r="K233" s="11"/>
    </row>
    <row r="234">
      <c r="A234" s="8" t="s">
        <v>38</v>
      </c>
      <c r="B234" s="9" t="s">
        <v>63</v>
      </c>
      <c r="C234" s="9" t="s">
        <v>64</v>
      </c>
      <c r="D234" s="10"/>
      <c r="E234" s="11"/>
      <c r="F234" s="10"/>
      <c r="G234" s="11"/>
      <c r="H234" s="10"/>
      <c r="I234" s="11"/>
      <c r="J234" s="10"/>
      <c r="K234" s="11"/>
    </row>
    <row r="235">
      <c r="A235" s="8" t="s">
        <v>39</v>
      </c>
      <c r="B235" s="9" t="s">
        <v>63</v>
      </c>
      <c r="C235" s="9" t="s">
        <v>64</v>
      </c>
      <c r="D235" s="10"/>
      <c r="E235" s="11" t="str">
        <f>"－"</f>
        <v>－</v>
      </c>
      <c r="F235" s="10"/>
      <c r="G235" s="11" t="str">
        <f>"－"</f>
        <v>－</v>
      </c>
      <c r="H235" s="10"/>
      <c r="I235" s="11" t="str">
        <f>"－"</f>
        <v>－</v>
      </c>
      <c r="J235" s="10"/>
      <c r="K235" s="11" t="n">
        <f>38</f>
        <v>38.0</v>
      </c>
    </row>
    <row r="236">
      <c r="A236" s="8" t="s">
        <v>40</v>
      </c>
      <c r="B236" s="9" t="s">
        <v>63</v>
      </c>
      <c r="C236" s="9" t="s">
        <v>64</v>
      </c>
      <c r="D236" s="10"/>
      <c r="E236" s="11" t="str">
        <f>"－"</f>
        <v>－</v>
      </c>
      <c r="F236" s="10"/>
      <c r="G236" s="11" t="str">
        <f>"－"</f>
        <v>－</v>
      </c>
      <c r="H236" s="10"/>
      <c r="I236" s="11" t="str">
        <f>"－"</f>
        <v>－</v>
      </c>
      <c r="J236" s="10"/>
      <c r="K236" s="11" t="n">
        <f>38</f>
        <v>38.0</v>
      </c>
    </row>
    <row r="237">
      <c r="A237" s="8" t="s">
        <v>42</v>
      </c>
      <c r="B237" s="9" t="s">
        <v>63</v>
      </c>
      <c r="C237" s="9" t="s">
        <v>64</v>
      </c>
      <c r="D237" s="10"/>
      <c r="E237" s="11" t="str">
        <f>"－"</f>
        <v>－</v>
      </c>
      <c r="F237" s="10"/>
      <c r="G237" s="11" t="str">
        <f>"－"</f>
        <v>－</v>
      </c>
      <c r="H237" s="10"/>
      <c r="I237" s="11" t="str">
        <f>"－"</f>
        <v>－</v>
      </c>
      <c r="J237" s="10"/>
      <c r="K237" s="11" t="n">
        <f>38</f>
        <v>38.0</v>
      </c>
    </row>
    <row r="238">
      <c r="A238" s="8" t="s">
        <v>43</v>
      </c>
      <c r="B238" s="9" t="s">
        <v>63</v>
      </c>
      <c r="C238" s="9" t="s">
        <v>64</v>
      </c>
      <c r="D238" s="10"/>
      <c r="E238" s="11" t="n">
        <f>1</f>
        <v>1.0</v>
      </c>
      <c r="F238" s="10"/>
      <c r="G238" s="11" t="n">
        <f>4075000</f>
        <v>4075000.0</v>
      </c>
      <c r="H238" s="10"/>
      <c r="I238" s="11" t="str">
        <f>"－"</f>
        <v>－</v>
      </c>
      <c r="J238" s="10"/>
      <c r="K238" s="11" t="n">
        <f>38</f>
        <v>38.0</v>
      </c>
    </row>
    <row r="239">
      <c r="A239" s="8" t="s">
        <v>44</v>
      </c>
      <c r="B239" s="9" t="s">
        <v>63</v>
      </c>
      <c r="C239" s="9" t="s">
        <v>64</v>
      </c>
      <c r="D239" s="10"/>
      <c r="E239" s="11" t="str">
        <f>"－"</f>
        <v>－</v>
      </c>
      <c r="F239" s="10"/>
      <c r="G239" s="11" t="str">
        <f>"－"</f>
        <v>－</v>
      </c>
      <c r="H239" s="10"/>
      <c r="I239" s="11" t="str">
        <f>"－"</f>
        <v>－</v>
      </c>
      <c r="J239" s="10"/>
      <c r="K239" s="11" t="n">
        <f>38</f>
        <v>38.0</v>
      </c>
    </row>
    <row r="240">
      <c r="A240" s="8" t="s">
        <v>45</v>
      </c>
      <c r="B240" s="9" t="s">
        <v>63</v>
      </c>
      <c r="C240" s="9" t="s">
        <v>64</v>
      </c>
      <c r="D240" s="10"/>
      <c r="E240" s="11"/>
      <c r="F240" s="10"/>
      <c r="G240" s="11"/>
      <c r="H240" s="10"/>
      <c r="I240" s="11"/>
      <c r="J240" s="10"/>
      <c r="K240" s="11"/>
    </row>
    <row r="241">
      <c r="A241" s="8" t="s">
        <v>46</v>
      </c>
      <c r="B241" s="9" t="s">
        <v>63</v>
      </c>
      <c r="C241" s="9" t="s">
        <v>64</v>
      </c>
      <c r="D241" s="10"/>
      <c r="E241" s="11"/>
      <c r="F241" s="10"/>
      <c r="G241" s="11"/>
      <c r="H241" s="10"/>
      <c r="I241" s="11"/>
      <c r="J241" s="10"/>
      <c r="K241" s="11"/>
    </row>
    <row r="242">
      <c r="A242" s="8" t="s">
        <v>47</v>
      </c>
      <c r="B242" s="9" t="s">
        <v>63</v>
      </c>
      <c r="C242" s="9" t="s">
        <v>64</v>
      </c>
      <c r="D242" s="10"/>
      <c r="E242" s="11" t="str">
        <f>"－"</f>
        <v>－</v>
      </c>
      <c r="F242" s="10"/>
      <c r="G242" s="11" t="str">
        <f>"－"</f>
        <v>－</v>
      </c>
      <c r="H242" s="10"/>
      <c r="I242" s="11" t="str">
        <f>"－"</f>
        <v>－</v>
      </c>
      <c r="J242" s="10"/>
      <c r="K242" s="11" t="n">
        <f>38</f>
        <v>38.0</v>
      </c>
    </row>
    <row r="243">
      <c r="A243" s="8" t="s">
        <v>48</v>
      </c>
      <c r="B243" s="9" t="s">
        <v>63</v>
      </c>
      <c r="C243" s="9" t="s">
        <v>64</v>
      </c>
      <c r="D243" s="10"/>
      <c r="E243" s="11" t="n">
        <f>1</f>
        <v>1.0</v>
      </c>
      <c r="F243" s="10"/>
      <c r="G243" s="11" t="n">
        <f>4050000</f>
        <v>4050000.0</v>
      </c>
      <c r="H243" s="10"/>
      <c r="I243" s="11" t="str">
        <f>"－"</f>
        <v>－</v>
      </c>
      <c r="J243" s="10" t="s">
        <v>41</v>
      </c>
      <c r="K243" s="11" t="n">
        <f>33</f>
        <v>33.0</v>
      </c>
    </row>
    <row r="244">
      <c r="A244" s="8" t="s">
        <v>49</v>
      </c>
      <c r="B244" s="9" t="s">
        <v>63</v>
      </c>
      <c r="C244" s="9" t="s">
        <v>64</v>
      </c>
      <c r="D244" s="10"/>
      <c r="E244" s="11" t="str">
        <f>"－"</f>
        <v>－</v>
      </c>
      <c r="F244" s="10"/>
      <c r="G244" s="11" t="str">
        <f>"－"</f>
        <v>－</v>
      </c>
      <c r="H244" s="10"/>
      <c r="I244" s="11" t="str">
        <f>"－"</f>
        <v>－</v>
      </c>
      <c r="J244" s="10"/>
      <c r="K244" s="11" t="n">
        <f>33</f>
        <v>33.0</v>
      </c>
    </row>
    <row r="245">
      <c r="A245" s="8" t="s">
        <v>50</v>
      </c>
      <c r="B245" s="9" t="s">
        <v>63</v>
      </c>
      <c r="C245" s="9" t="s">
        <v>64</v>
      </c>
      <c r="D245" s="10"/>
      <c r="E245" s="11" t="str">
        <f>"－"</f>
        <v>－</v>
      </c>
      <c r="F245" s="10"/>
      <c r="G245" s="11" t="str">
        <f>"－"</f>
        <v>－</v>
      </c>
      <c r="H245" s="10"/>
      <c r="I245" s="11" t="str">
        <f>"－"</f>
        <v>－</v>
      </c>
      <c r="J245" s="10"/>
      <c r="K245" s="11" t="n">
        <f>33</f>
        <v>33.0</v>
      </c>
    </row>
    <row r="246">
      <c r="A246" s="8" t="s">
        <v>16</v>
      </c>
      <c r="B246" s="9" t="s">
        <v>65</v>
      </c>
      <c r="C246" s="9" t="s">
        <v>66</v>
      </c>
      <c r="D246" s="10" t="s">
        <v>41</v>
      </c>
      <c r="E246" s="11" t="str">
        <f>"－"</f>
        <v>－</v>
      </c>
      <c r="F246" s="10" t="s">
        <v>41</v>
      </c>
      <c r="G246" s="11" t="str">
        <f>"－"</f>
        <v>－</v>
      </c>
      <c r="H246" s="10" t="s">
        <v>19</v>
      </c>
      <c r="I246" s="11" t="str">
        <f>"－"</f>
        <v>－</v>
      </c>
      <c r="J246" s="10" t="s">
        <v>20</v>
      </c>
      <c r="K246" s="11" t="n">
        <f>38</f>
        <v>38.0</v>
      </c>
    </row>
    <row r="247">
      <c r="A247" s="8" t="s">
        <v>21</v>
      </c>
      <c r="B247" s="9" t="s">
        <v>65</v>
      </c>
      <c r="C247" s="9" t="s">
        <v>66</v>
      </c>
      <c r="D247" s="10"/>
      <c r="E247" s="11" t="str">
        <f>"－"</f>
        <v>－</v>
      </c>
      <c r="F247" s="10"/>
      <c r="G247" s="11" t="str">
        <f>"－"</f>
        <v>－</v>
      </c>
      <c r="H247" s="10"/>
      <c r="I247" s="11" t="str">
        <f>"－"</f>
        <v>－</v>
      </c>
      <c r="J247" s="10"/>
      <c r="K247" s="11" t="n">
        <f>38</f>
        <v>38.0</v>
      </c>
    </row>
    <row r="248">
      <c r="A248" s="8" t="s">
        <v>22</v>
      </c>
      <c r="B248" s="9" t="s">
        <v>65</v>
      </c>
      <c r="C248" s="9" t="s">
        <v>66</v>
      </c>
      <c r="D248" s="10"/>
      <c r="E248" s="11" t="str">
        <f>"－"</f>
        <v>－</v>
      </c>
      <c r="F248" s="10"/>
      <c r="G248" s="11" t="str">
        <f>"－"</f>
        <v>－</v>
      </c>
      <c r="H248" s="10"/>
      <c r="I248" s="11" t="str">
        <f>"－"</f>
        <v>－</v>
      </c>
      <c r="J248" s="10"/>
      <c r="K248" s="11" t="n">
        <f>28</f>
        <v>28.0</v>
      </c>
    </row>
    <row r="249">
      <c r="A249" s="8" t="s">
        <v>23</v>
      </c>
      <c r="B249" s="9" t="s">
        <v>65</v>
      </c>
      <c r="C249" s="9" t="s">
        <v>66</v>
      </c>
      <c r="D249" s="10"/>
      <c r="E249" s="11"/>
      <c r="F249" s="10"/>
      <c r="G249" s="11"/>
      <c r="H249" s="10"/>
      <c r="I249" s="11"/>
      <c r="J249" s="10"/>
      <c r="K249" s="11"/>
    </row>
    <row r="250">
      <c r="A250" s="8" t="s">
        <v>24</v>
      </c>
      <c r="B250" s="9" t="s">
        <v>65</v>
      </c>
      <c r="C250" s="9" t="s">
        <v>66</v>
      </c>
      <c r="D250" s="10"/>
      <c r="E250" s="11"/>
      <c r="F250" s="10"/>
      <c r="G250" s="11"/>
      <c r="H250" s="10"/>
      <c r="I250" s="11"/>
      <c r="J250" s="10"/>
      <c r="K250" s="11"/>
    </row>
    <row r="251">
      <c r="A251" s="8" t="s">
        <v>25</v>
      </c>
      <c r="B251" s="9" t="s">
        <v>65</v>
      </c>
      <c r="C251" s="9" t="s">
        <v>66</v>
      </c>
      <c r="D251" s="10"/>
      <c r="E251" s="11" t="n">
        <f>2</f>
        <v>2.0</v>
      </c>
      <c r="F251" s="10"/>
      <c r="G251" s="11" t="n">
        <f>5500000</f>
        <v>5500000.0</v>
      </c>
      <c r="H251" s="10"/>
      <c r="I251" s="11" t="str">
        <f>"－"</f>
        <v>－</v>
      </c>
      <c r="J251" s="10"/>
      <c r="K251" s="11" t="n">
        <f>28</f>
        <v>28.0</v>
      </c>
    </row>
    <row r="252">
      <c r="A252" s="8" t="s">
        <v>26</v>
      </c>
      <c r="B252" s="9" t="s">
        <v>65</v>
      </c>
      <c r="C252" s="9" t="s">
        <v>66</v>
      </c>
      <c r="D252" s="10"/>
      <c r="E252" s="11" t="n">
        <f>4</f>
        <v>4.0</v>
      </c>
      <c r="F252" s="10"/>
      <c r="G252" s="11" t="n">
        <f>11805500</f>
        <v>1.18055E7</v>
      </c>
      <c r="H252" s="10"/>
      <c r="I252" s="11" t="str">
        <f>"－"</f>
        <v>－</v>
      </c>
      <c r="J252" s="10"/>
      <c r="K252" s="11" t="n">
        <f>31</f>
        <v>31.0</v>
      </c>
    </row>
    <row r="253">
      <c r="A253" s="8" t="s">
        <v>27</v>
      </c>
      <c r="B253" s="9" t="s">
        <v>65</v>
      </c>
      <c r="C253" s="9" t="s">
        <v>66</v>
      </c>
      <c r="D253" s="10"/>
      <c r="E253" s="11" t="n">
        <f>1</f>
        <v>1.0</v>
      </c>
      <c r="F253" s="10"/>
      <c r="G253" s="11" t="n">
        <f>2855000</f>
        <v>2855000.0</v>
      </c>
      <c r="H253" s="10"/>
      <c r="I253" s="11" t="str">
        <f>"－"</f>
        <v>－</v>
      </c>
      <c r="J253" s="10"/>
      <c r="K253" s="11" t="n">
        <f>30</f>
        <v>30.0</v>
      </c>
    </row>
    <row r="254">
      <c r="A254" s="8" t="s">
        <v>28</v>
      </c>
      <c r="B254" s="9" t="s">
        <v>65</v>
      </c>
      <c r="C254" s="9" t="s">
        <v>66</v>
      </c>
      <c r="D254" s="10"/>
      <c r="E254" s="11" t="str">
        <f>"－"</f>
        <v>－</v>
      </c>
      <c r="F254" s="10"/>
      <c r="G254" s="11" t="str">
        <f>"－"</f>
        <v>－</v>
      </c>
      <c r="H254" s="10"/>
      <c r="I254" s="11" t="str">
        <f>"－"</f>
        <v>－</v>
      </c>
      <c r="J254" s="10"/>
      <c r="K254" s="11" t="n">
        <f>30</f>
        <v>30.0</v>
      </c>
    </row>
    <row r="255">
      <c r="A255" s="8" t="s">
        <v>29</v>
      </c>
      <c r="B255" s="9" t="s">
        <v>65</v>
      </c>
      <c r="C255" s="9" t="s">
        <v>66</v>
      </c>
      <c r="D255" s="10"/>
      <c r="E255" s="11" t="str">
        <f>"－"</f>
        <v>－</v>
      </c>
      <c r="F255" s="10"/>
      <c r="G255" s="11" t="str">
        <f>"－"</f>
        <v>－</v>
      </c>
      <c r="H255" s="10"/>
      <c r="I255" s="11" t="str">
        <f>"－"</f>
        <v>－</v>
      </c>
      <c r="J255" s="10"/>
      <c r="K255" s="11" t="n">
        <f>30</f>
        <v>30.0</v>
      </c>
    </row>
    <row r="256">
      <c r="A256" s="8" t="s">
        <v>30</v>
      </c>
      <c r="B256" s="9" t="s">
        <v>65</v>
      </c>
      <c r="C256" s="9" t="s">
        <v>66</v>
      </c>
      <c r="D256" s="10"/>
      <c r="E256" s="11"/>
      <c r="F256" s="10"/>
      <c r="G256" s="11"/>
      <c r="H256" s="10"/>
      <c r="I256" s="11"/>
      <c r="J256" s="10"/>
      <c r="K256" s="11"/>
    </row>
    <row r="257">
      <c r="A257" s="8" t="s">
        <v>31</v>
      </c>
      <c r="B257" s="9" t="s">
        <v>65</v>
      </c>
      <c r="C257" s="9" t="s">
        <v>66</v>
      </c>
      <c r="D257" s="10"/>
      <c r="E257" s="11"/>
      <c r="F257" s="10"/>
      <c r="G257" s="11"/>
      <c r="H257" s="10"/>
      <c r="I257" s="11"/>
      <c r="J257" s="10"/>
      <c r="K257" s="11"/>
    </row>
    <row r="258">
      <c r="A258" s="8" t="s">
        <v>32</v>
      </c>
      <c r="B258" s="9" t="s">
        <v>65</v>
      </c>
      <c r="C258" s="9" t="s">
        <v>66</v>
      </c>
      <c r="D258" s="10"/>
      <c r="E258" s="11" t="str">
        <f>"－"</f>
        <v>－</v>
      </c>
      <c r="F258" s="10"/>
      <c r="G258" s="11" t="str">
        <f>"－"</f>
        <v>－</v>
      </c>
      <c r="H258" s="10"/>
      <c r="I258" s="11" t="str">
        <f>"－"</f>
        <v>－</v>
      </c>
      <c r="J258" s="10"/>
      <c r="K258" s="11" t="n">
        <f>30</f>
        <v>30.0</v>
      </c>
    </row>
    <row r="259">
      <c r="A259" s="8" t="s">
        <v>33</v>
      </c>
      <c r="B259" s="9" t="s">
        <v>65</v>
      </c>
      <c r="C259" s="9" t="s">
        <v>66</v>
      </c>
      <c r="D259" s="10"/>
      <c r="E259" s="11" t="str">
        <f>"－"</f>
        <v>－</v>
      </c>
      <c r="F259" s="10"/>
      <c r="G259" s="11" t="str">
        <f>"－"</f>
        <v>－</v>
      </c>
      <c r="H259" s="10"/>
      <c r="I259" s="11" t="str">
        <f>"－"</f>
        <v>－</v>
      </c>
      <c r="J259" s="10"/>
      <c r="K259" s="11" t="n">
        <f>30</f>
        <v>30.0</v>
      </c>
    </row>
    <row r="260">
      <c r="A260" s="8" t="s">
        <v>34</v>
      </c>
      <c r="B260" s="9" t="s">
        <v>65</v>
      </c>
      <c r="C260" s="9" t="s">
        <v>66</v>
      </c>
      <c r="D260" s="10"/>
      <c r="E260" s="11" t="str">
        <f>"－"</f>
        <v>－</v>
      </c>
      <c r="F260" s="10"/>
      <c r="G260" s="11" t="str">
        <f>"－"</f>
        <v>－</v>
      </c>
      <c r="H260" s="10"/>
      <c r="I260" s="11" t="str">
        <f>"－"</f>
        <v>－</v>
      </c>
      <c r="J260" s="10"/>
      <c r="K260" s="11" t="n">
        <f>30</f>
        <v>30.0</v>
      </c>
    </row>
    <row r="261">
      <c r="A261" s="8" t="s">
        <v>35</v>
      </c>
      <c r="B261" s="9" t="s">
        <v>65</v>
      </c>
      <c r="C261" s="9" t="s">
        <v>66</v>
      </c>
      <c r="D261" s="10"/>
      <c r="E261" s="11" t="str">
        <f>"－"</f>
        <v>－</v>
      </c>
      <c r="F261" s="10"/>
      <c r="G261" s="11" t="str">
        <f>"－"</f>
        <v>－</v>
      </c>
      <c r="H261" s="10"/>
      <c r="I261" s="11" t="str">
        <f>"－"</f>
        <v>－</v>
      </c>
      <c r="J261" s="10"/>
      <c r="K261" s="11" t="n">
        <f>30</f>
        <v>30.0</v>
      </c>
    </row>
    <row r="262">
      <c r="A262" s="8" t="s">
        <v>36</v>
      </c>
      <c r="B262" s="9" t="s">
        <v>65</v>
      </c>
      <c r="C262" s="9" t="s">
        <v>66</v>
      </c>
      <c r="D262" s="10" t="s">
        <v>20</v>
      </c>
      <c r="E262" s="11" t="n">
        <f>22</f>
        <v>22.0</v>
      </c>
      <c r="F262" s="10" t="s">
        <v>20</v>
      </c>
      <c r="G262" s="11" t="n">
        <f>63025000</f>
        <v>6.3025E7</v>
      </c>
      <c r="H262" s="10"/>
      <c r="I262" s="11" t="str">
        <f>"－"</f>
        <v>－</v>
      </c>
      <c r="J262" s="10"/>
      <c r="K262" s="11" t="n">
        <f>28</f>
        <v>28.0</v>
      </c>
    </row>
    <row r="263">
      <c r="A263" s="8" t="s">
        <v>37</v>
      </c>
      <c r="B263" s="9" t="s">
        <v>65</v>
      </c>
      <c r="C263" s="9" t="s">
        <v>66</v>
      </c>
      <c r="D263" s="10"/>
      <c r="E263" s="11"/>
      <c r="F263" s="10"/>
      <c r="G263" s="11"/>
      <c r="H263" s="10"/>
      <c r="I263" s="11"/>
      <c r="J263" s="10"/>
      <c r="K263" s="11"/>
    </row>
    <row r="264">
      <c r="A264" s="8" t="s">
        <v>38</v>
      </c>
      <c r="B264" s="9" t="s">
        <v>65</v>
      </c>
      <c r="C264" s="9" t="s">
        <v>66</v>
      </c>
      <c r="D264" s="10"/>
      <c r="E264" s="11"/>
      <c r="F264" s="10"/>
      <c r="G264" s="11"/>
      <c r="H264" s="10"/>
      <c r="I264" s="11"/>
      <c r="J264" s="10"/>
      <c r="K264" s="11"/>
    </row>
    <row r="265">
      <c r="A265" s="8" t="s">
        <v>39</v>
      </c>
      <c r="B265" s="9" t="s">
        <v>65</v>
      </c>
      <c r="C265" s="9" t="s">
        <v>66</v>
      </c>
      <c r="D265" s="10"/>
      <c r="E265" s="11" t="n">
        <f>1</f>
        <v>1.0</v>
      </c>
      <c r="F265" s="10"/>
      <c r="G265" s="11" t="n">
        <f>2800000</f>
        <v>2800000.0</v>
      </c>
      <c r="H265" s="10"/>
      <c r="I265" s="11" t="str">
        <f>"－"</f>
        <v>－</v>
      </c>
      <c r="J265" s="10"/>
      <c r="K265" s="11" t="n">
        <f>27</f>
        <v>27.0</v>
      </c>
    </row>
    <row r="266">
      <c r="A266" s="8" t="s">
        <v>40</v>
      </c>
      <c r="B266" s="9" t="s">
        <v>65</v>
      </c>
      <c r="C266" s="9" t="s">
        <v>66</v>
      </c>
      <c r="D266" s="10"/>
      <c r="E266" s="11" t="n">
        <f>1</f>
        <v>1.0</v>
      </c>
      <c r="F266" s="10"/>
      <c r="G266" s="11" t="n">
        <f>2740500</f>
        <v>2740500.0</v>
      </c>
      <c r="H266" s="10"/>
      <c r="I266" s="11" t="str">
        <f>"－"</f>
        <v>－</v>
      </c>
      <c r="J266" s="10"/>
      <c r="K266" s="11" t="n">
        <f>26</f>
        <v>26.0</v>
      </c>
    </row>
    <row r="267">
      <c r="A267" s="8" t="s">
        <v>42</v>
      </c>
      <c r="B267" s="9" t="s">
        <v>65</v>
      </c>
      <c r="C267" s="9" t="s">
        <v>66</v>
      </c>
      <c r="D267" s="10"/>
      <c r="E267" s="11" t="str">
        <f>"－"</f>
        <v>－</v>
      </c>
      <c r="F267" s="10"/>
      <c r="G267" s="11" t="str">
        <f>"－"</f>
        <v>－</v>
      </c>
      <c r="H267" s="10"/>
      <c r="I267" s="11" t="str">
        <f>"－"</f>
        <v>－</v>
      </c>
      <c r="J267" s="10"/>
      <c r="K267" s="11" t="n">
        <f>26</f>
        <v>26.0</v>
      </c>
    </row>
    <row r="268">
      <c r="A268" s="8" t="s">
        <v>43</v>
      </c>
      <c r="B268" s="9" t="s">
        <v>65</v>
      </c>
      <c r="C268" s="9" t="s">
        <v>66</v>
      </c>
      <c r="D268" s="10"/>
      <c r="E268" s="11" t="str">
        <f>"－"</f>
        <v>－</v>
      </c>
      <c r="F268" s="10"/>
      <c r="G268" s="11" t="str">
        <f>"－"</f>
        <v>－</v>
      </c>
      <c r="H268" s="10"/>
      <c r="I268" s="11" t="str">
        <f>"－"</f>
        <v>－</v>
      </c>
      <c r="J268" s="10"/>
      <c r="K268" s="11" t="n">
        <f>26</f>
        <v>26.0</v>
      </c>
    </row>
    <row r="269">
      <c r="A269" s="8" t="s">
        <v>44</v>
      </c>
      <c r="B269" s="9" t="s">
        <v>65</v>
      </c>
      <c r="C269" s="9" t="s">
        <v>66</v>
      </c>
      <c r="D269" s="10"/>
      <c r="E269" s="11" t="str">
        <f>"－"</f>
        <v>－</v>
      </c>
      <c r="F269" s="10"/>
      <c r="G269" s="11" t="str">
        <f>"－"</f>
        <v>－</v>
      </c>
      <c r="H269" s="10"/>
      <c r="I269" s="11" t="str">
        <f>"－"</f>
        <v>－</v>
      </c>
      <c r="J269" s="10"/>
      <c r="K269" s="11" t="n">
        <f>26</f>
        <v>26.0</v>
      </c>
    </row>
    <row r="270">
      <c r="A270" s="8" t="s">
        <v>45</v>
      </c>
      <c r="B270" s="9" t="s">
        <v>65</v>
      </c>
      <c r="C270" s="9" t="s">
        <v>66</v>
      </c>
      <c r="D270" s="10"/>
      <c r="E270" s="11"/>
      <c r="F270" s="10"/>
      <c r="G270" s="11"/>
      <c r="H270" s="10"/>
      <c r="I270" s="11"/>
      <c r="J270" s="10"/>
      <c r="K270" s="11"/>
    </row>
    <row r="271">
      <c r="A271" s="8" t="s">
        <v>46</v>
      </c>
      <c r="B271" s="9" t="s">
        <v>65</v>
      </c>
      <c r="C271" s="9" t="s">
        <v>66</v>
      </c>
      <c r="D271" s="10"/>
      <c r="E271" s="11"/>
      <c r="F271" s="10"/>
      <c r="G271" s="11"/>
      <c r="H271" s="10"/>
      <c r="I271" s="11"/>
      <c r="J271" s="10"/>
      <c r="K271" s="11"/>
    </row>
    <row r="272">
      <c r="A272" s="8" t="s">
        <v>47</v>
      </c>
      <c r="B272" s="9" t="s">
        <v>65</v>
      </c>
      <c r="C272" s="9" t="s">
        <v>66</v>
      </c>
      <c r="D272" s="10"/>
      <c r="E272" s="11" t="str">
        <f>"－"</f>
        <v>－</v>
      </c>
      <c r="F272" s="10"/>
      <c r="G272" s="11" t="str">
        <f>"－"</f>
        <v>－</v>
      </c>
      <c r="H272" s="10"/>
      <c r="I272" s="11" t="str">
        <f>"－"</f>
        <v>－</v>
      </c>
      <c r="J272" s="10"/>
      <c r="K272" s="11" t="n">
        <f>26</f>
        <v>26.0</v>
      </c>
    </row>
    <row r="273">
      <c r="A273" s="8" t="s">
        <v>48</v>
      </c>
      <c r="B273" s="9" t="s">
        <v>65</v>
      </c>
      <c r="C273" s="9" t="s">
        <v>66</v>
      </c>
      <c r="D273" s="10"/>
      <c r="E273" s="11" t="n">
        <f>1</f>
        <v>1.0</v>
      </c>
      <c r="F273" s="10"/>
      <c r="G273" s="11" t="n">
        <f>2724500</f>
        <v>2724500.0</v>
      </c>
      <c r="H273" s="10"/>
      <c r="I273" s="11" t="str">
        <f>"－"</f>
        <v>－</v>
      </c>
      <c r="J273" s="10"/>
      <c r="K273" s="11" t="n">
        <f>26</f>
        <v>26.0</v>
      </c>
    </row>
    <row r="274">
      <c r="A274" s="8" t="s">
        <v>49</v>
      </c>
      <c r="B274" s="9" t="s">
        <v>65</v>
      </c>
      <c r="C274" s="9" t="s">
        <v>66</v>
      </c>
      <c r="D274" s="10"/>
      <c r="E274" s="11" t="n">
        <f>20</f>
        <v>20.0</v>
      </c>
      <c r="F274" s="10"/>
      <c r="G274" s="11" t="n">
        <f>56860000</f>
        <v>5.686E7</v>
      </c>
      <c r="H274" s="10"/>
      <c r="I274" s="11" t="str">
        <f>"－"</f>
        <v>－</v>
      </c>
      <c r="J274" s="10" t="s">
        <v>41</v>
      </c>
      <c r="K274" s="11" t="n">
        <f>18</f>
        <v>18.0</v>
      </c>
    </row>
    <row r="275">
      <c r="A275" s="8" t="s">
        <v>50</v>
      </c>
      <c r="B275" s="9" t="s">
        <v>65</v>
      </c>
      <c r="C275" s="9" t="s">
        <v>66</v>
      </c>
      <c r="D275" s="10"/>
      <c r="E275" s="11" t="str">
        <f>"－"</f>
        <v>－</v>
      </c>
      <c r="F275" s="10"/>
      <c r="G275" s="11" t="str">
        <f>"－"</f>
        <v>－</v>
      </c>
      <c r="H275" s="10"/>
      <c r="I275" s="11" t="str">
        <f>"－"</f>
        <v>－</v>
      </c>
      <c r="J275" s="10"/>
      <c r="K275" s="11" t="n">
        <f>18</f>
        <v>18.0</v>
      </c>
    </row>
    <row r="276">
      <c r="A276" s="8" t="s">
        <v>16</v>
      </c>
      <c r="B276" s="9" t="s">
        <v>67</v>
      </c>
      <c r="C276" s="9" t="s">
        <v>68</v>
      </c>
      <c r="D276" s="10" t="s">
        <v>20</v>
      </c>
      <c r="E276" s="11" t="n">
        <f>4453</f>
        <v>4453.0</v>
      </c>
      <c r="F276" s="10"/>
      <c r="G276" s="11" t="n">
        <f>5595780500</f>
        <v>5.5957805E9</v>
      </c>
      <c r="H276" s="10" t="s">
        <v>19</v>
      </c>
      <c r="I276" s="11" t="str">
        <f>"－"</f>
        <v>－</v>
      </c>
      <c r="J276" s="10" t="s">
        <v>20</v>
      </c>
      <c r="K276" s="11" t="n">
        <f>8914</f>
        <v>8914.0</v>
      </c>
    </row>
    <row r="277">
      <c r="A277" s="8" t="s">
        <v>21</v>
      </c>
      <c r="B277" s="9" t="s">
        <v>67</v>
      </c>
      <c r="C277" s="9" t="s">
        <v>68</v>
      </c>
      <c r="D277" s="10"/>
      <c r="E277" s="11" t="n">
        <f>3169</f>
        <v>3169.0</v>
      </c>
      <c r="F277" s="10"/>
      <c r="G277" s="11" t="n">
        <f>4040839000</f>
        <v>4.040839E9</v>
      </c>
      <c r="H277" s="10"/>
      <c r="I277" s="11" t="str">
        <f>"－"</f>
        <v>－</v>
      </c>
      <c r="J277" s="10"/>
      <c r="K277" s="11" t="n">
        <f>8696</f>
        <v>8696.0</v>
      </c>
    </row>
    <row r="278">
      <c r="A278" s="8" t="s">
        <v>22</v>
      </c>
      <c r="B278" s="9" t="s">
        <v>67</v>
      </c>
      <c r="C278" s="9" t="s">
        <v>68</v>
      </c>
      <c r="D278" s="10"/>
      <c r="E278" s="11" t="n">
        <f>3018</f>
        <v>3018.0</v>
      </c>
      <c r="F278" s="10"/>
      <c r="G278" s="11" t="n">
        <f>3895071500</f>
        <v>3.8950715E9</v>
      </c>
      <c r="H278" s="10"/>
      <c r="I278" s="11" t="str">
        <f>"－"</f>
        <v>－</v>
      </c>
      <c r="J278" s="10"/>
      <c r="K278" s="11" t="n">
        <f>8884</f>
        <v>8884.0</v>
      </c>
    </row>
    <row r="279">
      <c r="A279" s="8" t="s">
        <v>23</v>
      </c>
      <c r="B279" s="9" t="s">
        <v>67</v>
      </c>
      <c r="C279" s="9" t="s">
        <v>68</v>
      </c>
      <c r="D279" s="10"/>
      <c r="E279" s="11"/>
      <c r="F279" s="10"/>
      <c r="G279" s="11"/>
      <c r="H279" s="10"/>
      <c r="I279" s="11"/>
      <c r="J279" s="10"/>
      <c r="K279" s="11"/>
    </row>
    <row r="280">
      <c r="A280" s="8" t="s">
        <v>24</v>
      </c>
      <c r="B280" s="9" t="s">
        <v>67</v>
      </c>
      <c r="C280" s="9" t="s">
        <v>68</v>
      </c>
      <c r="D280" s="10"/>
      <c r="E280" s="11"/>
      <c r="F280" s="10"/>
      <c r="G280" s="11"/>
      <c r="H280" s="10"/>
      <c r="I280" s="11"/>
      <c r="J280" s="10"/>
      <c r="K280" s="11"/>
    </row>
    <row r="281">
      <c r="A281" s="8" t="s">
        <v>25</v>
      </c>
      <c r="B281" s="9" t="s">
        <v>67</v>
      </c>
      <c r="C281" s="9" t="s">
        <v>68</v>
      </c>
      <c r="D281" s="10"/>
      <c r="E281" s="11" t="n">
        <f>3816</f>
        <v>3816.0</v>
      </c>
      <c r="F281" s="10"/>
      <c r="G281" s="11" t="n">
        <f>4986657000</f>
        <v>4.986657E9</v>
      </c>
      <c r="H281" s="10"/>
      <c r="I281" s="11" t="str">
        <f>"－"</f>
        <v>－</v>
      </c>
      <c r="J281" s="10"/>
      <c r="K281" s="11" t="n">
        <f>8852</f>
        <v>8852.0</v>
      </c>
    </row>
    <row r="282">
      <c r="A282" s="8" t="s">
        <v>26</v>
      </c>
      <c r="B282" s="9" t="s">
        <v>67</v>
      </c>
      <c r="C282" s="9" t="s">
        <v>68</v>
      </c>
      <c r="D282" s="10"/>
      <c r="E282" s="11" t="n">
        <f>3041</f>
        <v>3041.0</v>
      </c>
      <c r="F282" s="10"/>
      <c r="G282" s="11" t="n">
        <f>3953537500</f>
        <v>3.9535375E9</v>
      </c>
      <c r="H282" s="10"/>
      <c r="I282" s="11" t="str">
        <f>"－"</f>
        <v>－</v>
      </c>
      <c r="J282" s="10"/>
      <c r="K282" s="11" t="n">
        <f>8421</f>
        <v>8421.0</v>
      </c>
    </row>
    <row r="283">
      <c r="A283" s="8" t="s">
        <v>27</v>
      </c>
      <c r="B283" s="9" t="s">
        <v>67</v>
      </c>
      <c r="C283" s="9" t="s">
        <v>68</v>
      </c>
      <c r="D283" s="10"/>
      <c r="E283" s="11" t="n">
        <f>2450</f>
        <v>2450.0</v>
      </c>
      <c r="F283" s="10"/>
      <c r="G283" s="11" t="n">
        <f>3180443000</f>
        <v>3.180443E9</v>
      </c>
      <c r="H283" s="10"/>
      <c r="I283" s="11" t="str">
        <f>"－"</f>
        <v>－</v>
      </c>
      <c r="J283" s="10"/>
      <c r="K283" s="11" t="n">
        <f>8267</f>
        <v>8267.0</v>
      </c>
    </row>
    <row r="284">
      <c r="A284" s="8" t="s">
        <v>28</v>
      </c>
      <c r="B284" s="9" t="s">
        <v>67</v>
      </c>
      <c r="C284" s="9" t="s">
        <v>68</v>
      </c>
      <c r="D284" s="10"/>
      <c r="E284" s="11" t="n">
        <f>2734</f>
        <v>2734.0</v>
      </c>
      <c r="F284" s="10"/>
      <c r="G284" s="11" t="n">
        <f>3612225500</f>
        <v>3.6122255E9</v>
      </c>
      <c r="H284" s="10"/>
      <c r="I284" s="11" t="str">
        <f>"－"</f>
        <v>－</v>
      </c>
      <c r="J284" s="10"/>
      <c r="K284" s="11" t="n">
        <f>8254</f>
        <v>8254.0</v>
      </c>
    </row>
    <row r="285">
      <c r="A285" s="8" t="s">
        <v>29</v>
      </c>
      <c r="B285" s="9" t="s">
        <v>67</v>
      </c>
      <c r="C285" s="9" t="s">
        <v>68</v>
      </c>
      <c r="D285" s="10"/>
      <c r="E285" s="11" t="n">
        <f>2041</f>
        <v>2041.0</v>
      </c>
      <c r="F285" s="10"/>
      <c r="G285" s="11" t="n">
        <f>2684524000</f>
        <v>2.684524E9</v>
      </c>
      <c r="H285" s="10"/>
      <c r="I285" s="11" t="str">
        <f>"－"</f>
        <v>－</v>
      </c>
      <c r="J285" s="10"/>
      <c r="K285" s="11" t="n">
        <f>8222</f>
        <v>8222.0</v>
      </c>
    </row>
    <row r="286">
      <c r="A286" s="8" t="s">
        <v>30</v>
      </c>
      <c r="B286" s="9" t="s">
        <v>67</v>
      </c>
      <c r="C286" s="9" t="s">
        <v>68</v>
      </c>
      <c r="D286" s="10"/>
      <c r="E286" s="11"/>
      <c r="F286" s="10"/>
      <c r="G286" s="11"/>
      <c r="H286" s="10"/>
      <c r="I286" s="11"/>
      <c r="J286" s="10"/>
      <c r="K286" s="11"/>
    </row>
    <row r="287">
      <c r="A287" s="8" t="s">
        <v>31</v>
      </c>
      <c r="B287" s="9" t="s">
        <v>67</v>
      </c>
      <c r="C287" s="9" t="s">
        <v>68</v>
      </c>
      <c r="D287" s="10"/>
      <c r="E287" s="11"/>
      <c r="F287" s="10"/>
      <c r="G287" s="11"/>
      <c r="H287" s="10"/>
      <c r="I287" s="11"/>
      <c r="J287" s="10"/>
      <c r="K287" s="11"/>
    </row>
    <row r="288">
      <c r="A288" s="8" t="s">
        <v>32</v>
      </c>
      <c r="B288" s="9" t="s">
        <v>67</v>
      </c>
      <c r="C288" s="9" t="s">
        <v>68</v>
      </c>
      <c r="D288" s="10"/>
      <c r="E288" s="11" t="n">
        <f>2066</f>
        <v>2066.0</v>
      </c>
      <c r="F288" s="10"/>
      <c r="G288" s="11" t="n">
        <f>2678063500</f>
        <v>2.6780635E9</v>
      </c>
      <c r="H288" s="10"/>
      <c r="I288" s="11" t="str">
        <f>"－"</f>
        <v>－</v>
      </c>
      <c r="J288" s="10"/>
      <c r="K288" s="11" t="n">
        <f>8250</f>
        <v>8250.0</v>
      </c>
    </row>
    <row r="289">
      <c r="A289" s="8" t="s">
        <v>33</v>
      </c>
      <c r="B289" s="9" t="s">
        <v>67</v>
      </c>
      <c r="C289" s="9" t="s">
        <v>68</v>
      </c>
      <c r="D289" s="10"/>
      <c r="E289" s="11" t="n">
        <f>2214</f>
        <v>2214.0</v>
      </c>
      <c r="F289" s="10"/>
      <c r="G289" s="11" t="n">
        <f>2809611500</f>
        <v>2.8096115E9</v>
      </c>
      <c r="H289" s="10"/>
      <c r="I289" s="11" t="str">
        <f>"－"</f>
        <v>－</v>
      </c>
      <c r="J289" s="10"/>
      <c r="K289" s="11" t="n">
        <f>8266</f>
        <v>8266.0</v>
      </c>
    </row>
    <row r="290">
      <c r="A290" s="8" t="s">
        <v>34</v>
      </c>
      <c r="B290" s="9" t="s">
        <v>67</v>
      </c>
      <c r="C290" s="9" t="s">
        <v>68</v>
      </c>
      <c r="D290" s="10"/>
      <c r="E290" s="11" t="n">
        <f>1709</f>
        <v>1709.0</v>
      </c>
      <c r="F290" s="10"/>
      <c r="G290" s="11" t="n">
        <f>2169802000</f>
        <v>2.169802E9</v>
      </c>
      <c r="H290" s="10"/>
      <c r="I290" s="11" t="str">
        <f>"－"</f>
        <v>－</v>
      </c>
      <c r="J290" s="10"/>
      <c r="K290" s="11" t="n">
        <f>8378</f>
        <v>8378.0</v>
      </c>
    </row>
    <row r="291">
      <c r="A291" s="8" t="s">
        <v>35</v>
      </c>
      <c r="B291" s="9" t="s">
        <v>67</v>
      </c>
      <c r="C291" s="9" t="s">
        <v>68</v>
      </c>
      <c r="D291" s="10"/>
      <c r="E291" s="11" t="n">
        <f>1712</f>
        <v>1712.0</v>
      </c>
      <c r="F291" s="10"/>
      <c r="G291" s="11" t="n">
        <f>2175129000</f>
        <v>2.175129E9</v>
      </c>
      <c r="H291" s="10"/>
      <c r="I291" s="11" t="str">
        <f>"－"</f>
        <v>－</v>
      </c>
      <c r="J291" s="10"/>
      <c r="K291" s="11" t="n">
        <f>8523</f>
        <v>8523.0</v>
      </c>
    </row>
    <row r="292">
      <c r="A292" s="8" t="s">
        <v>36</v>
      </c>
      <c r="B292" s="9" t="s">
        <v>67</v>
      </c>
      <c r="C292" s="9" t="s">
        <v>68</v>
      </c>
      <c r="D292" s="10"/>
      <c r="E292" s="11" t="n">
        <f>1397</f>
        <v>1397.0</v>
      </c>
      <c r="F292" s="10"/>
      <c r="G292" s="11" t="n">
        <f>1775094000</f>
        <v>1.775094E9</v>
      </c>
      <c r="H292" s="10"/>
      <c r="I292" s="11" t="str">
        <f>"－"</f>
        <v>－</v>
      </c>
      <c r="J292" s="10"/>
      <c r="K292" s="11" t="n">
        <f>8524</f>
        <v>8524.0</v>
      </c>
    </row>
    <row r="293">
      <c r="A293" s="8" t="s">
        <v>37</v>
      </c>
      <c r="B293" s="9" t="s">
        <v>67</v>
      </c>
      <c r="C293" s="9" t="s">
        <v>68</v>
      </c>
      <c r="D293" s="10"/>
      <c r="E293" s="11"/>
      <c r="F293" s="10"/>
      <c r="G293" s="11"/>
      <c r="H293" s="10"/>
      <c r="I293" s="11"/>
      <c r="J293" s="10"/>
      <c r="K293" s="11"/>
    </row>
    <row r="294">
      <c r="A294" s="8" t="s">
        <v>38</v>
      </c>
      <c r="B294" s="9" t="s">
        <v>67</v>
      </c>
      <c r="C294" s="9" t="s">
        <v>68</v>
      </c>
      <c r="D294" s="10"/>
      <c r="E294" s="11"/>
      <c r="F294" s="10"/>
      <c r="G294" s="11"/>
      <c r="H294" s="10"/>
      <c r="I294" s="11"/>
      <c r="J294" s="10"/>
      <c r="K294" s="11"/>
    </row>
    <row r="295">
      <c r="A295" s="8" t="s">
        <v>39</v>
      </c>
      <c r="B295" s="9" t="s">
        <v>67</v>
      </c>
      <c r="C295" s="9" t="s">
        <v>68</v>
      </c>
      <c r="D295" s="10"/>
      <c r="E295" s="11" t="n">
        <f>1027</f>
        <v>1027.0</v>
      </c>
      <c r="F295" s="10"/>
      <c r="G295" s="11" t="n">
        <f>1306624500</f>
        <v>1.3066245E9</v>
      </c>
      <c r="H295" s="10"/>
      <c r="I295" s="11" t="str">
        <f>"－"</f>
        <v>－</v>
      </c>
      <c r="J295" s="10"/>
      <c r="K295" s="11" t="n">
        <f>8484</f>
        <v>8484.0</v>
      </c>
    </row>
    <row r="296">
      <c r="A296" s="8" t="s">
        <v>40</v>
      </c>
      <c r="B296" s="9" t="s">
        <v>67</v>
      </c>
      <c r="C296" s="9" t="s">
        <v>68</v>
      </c>
      <c r="D296" s="10"/>
      <c r="E296" s="11" t="n">
        <f>1858</f>
        <v>1858.0</v>
      </c>
      <c r="F296" s="10"/>
      <c r="G296" s="11" t="n">
        <f>2370043500</f>
        <v>2.3700435E9</v>
      </c>
      <c r="H296" s="10"/>
      <c r="I296" s="11" t="str">
        <f>"－"</f>
        <v>－</v>
      </c>
      <c r="J296" s="10"/>
      <c r="K296" s="11" t="n">
        <f>8373</f>
        <v>8373.0</v>
      </c>
    </row>
    <row r="297">
      <c r="A297" s="8" t="s">
        <v>42</v>
      </c>
      <c r="B297" s="9" t="s">
        <v>67</v>
      </c>
      <c r="C297" s="9" t="s">
        <v>68</v>
      </c>
      <c r="D297" s="10"/>
      <c r="E297" s="11" t="n">
        <f>1214</f>
        <v>1214.0</v>
      </c>
      <c r="F297" s="10"/>
      <c r="G297" s="11" t="n">
        <f>1550141000</f>
        <v>1.550141E9</v>
      </c>
      <c r="H297" s="10"/>
      <c r="I297" s="11" t="str">
        <f>"－"</f>
        <v>－</v>
      </c>
      <c r="J297" s="10"/>
      <c r="K297" s="11" t="n">
        <f>8340</f>
        <v>8340.0</v>
      </c>
    </row>
    <row r="298">
      <c r="A298" s="8" t="s">
        <v>43</v>
      </c>
      <c r="B298" s="9" t="s">
        <v>67</v>
      </c>
      <c r="C298" s="9" t="s">
        <v>68</v>
      </c>
      <c r="D298" s="10"/>
      <c r="E298" s="11" t="n">
        <f>1723</f>
        <v>1723.0</v>
      </c>
      <c r="F298" s="10"/>
      <c r="G298" s="11" t="n">
        <f>2194776000</f>
        <v>2.194776E9</v>
      </c>
      <c r="H298" s="10"/>
      <c r="I298" s="11" t="str">
        <f>"－"</f>
        <v>－</v>
      </c>
      <c r="J298" s="10"/>
      <c r="K298" s="11" t="n">
        <f>8349</f>
        <v>8349.0</v>
      </c>
    </row>
    <row r="299">
      <c r="A299" s="8" t="s">
        <v>44</v>
      </c>
      <c r="B299" s="9" t="s">
        <v>67</v>
      </c>
      <c r="C299" s="9" t="s">
        <v>68</v>
      </c>
      <c r="D299" s="10" t="s">
        <v>41</v>
      </c>
      <c r="E299" s="11" t="n">
        <f>755</f>
        <v>755.0</v>
      </c>
      <c r="F299" s="10" t="s">
        <v>41</v>
      </c>
      <c r="G299" s="11" t="n">
        <f>959746000</f>
        <v>9.59746E8</v>
      </c>
      <c r="H299" s="10"/>
      <c r="I299" s="11" t="str">
        <f>"－"</f>
        <v>－</v>
      </c>
      <c r="J299" s="10"/>
      <c r="K299" s="11" t="n">
        <f>8289</f>
        <v>8289.0</v>
      </c>
    </row>
    <row r="300">
      <c r="A300" s="8" t="s">
        <v>45</v>
      </c>
      <c r="B300" s="9" t="s">
        <v>67</v>
      </c>
      <c r="C300" s="9" t="s">
        <v>68</v>
      </c>
      <c r="D300" s="10"/>
      <c r="E300" s="11"/>
      <c r="F300" s="10"/>
      <c r="G300" s="11"/>
      <c r="H300" s="10"/>
      <c r="I300" s="11"/>
      <c r="J300" s="10"/>
      <c r="K300" s="11"/>
    </row>
    <row r="301">
      <c r="A301" s="8" t="s">
        <v>46</v>
      </c>
      <c r="B301" s="9" t="s">
        <v>67</v>
      </c>
      <c r="C301" s="9" t="s">
        <v>68</v>
      </c>
      <c r="D301" s="10"/>
      <c r="E301" s="11"/>
      <c r="F301" s="10"/>
      <c r="G301" s="11"/>
      <c r="H301" s="10"/>
      <c r="I301" s="11"/>
      <c r="J301" s="10"/>
      <c r="K301" s="11"/>
    </row>
    <row r="302">
      <c r="A302" s="8" t="s">
        <v>47</v>
      </c>
      <c r="B302" s="9" t="s">
        <v>67</v>
      </c>
      <c r="C302" s="9" t="s">
        <v>68</v>
      </c>
      <c r="D302" s="10"/>
      <c r="E302" s="11" t="n">
        <f>1448</f>
        <v>1448.0</v>
      </c>
      <c r="F302" s="10"/>
      <c r="G302" s="11" t="n">
        <f>1865504500</f>
        <v>1.8655045E9</v>
      </c>
      <c r="H302" s="10"/>
      <c r="I302" s="11" t="str">
        <f>"－"</f>
        <v>－</v>
      </c>
      <c r="J302" s="10" t="s">
        <v>41</v>
      </c>
      <c r="K302" s="11" t="n">
        <f>8069</f>
        <v>8069.0</v>
      </c>
    </row>
    <row r="303">
      <c r="A303" s="8" t="s">
        <v>48</v>
      </c>
      <c r="B303" s="9" t="s">
        <v>67</v>
      </c>
      <c r="C303" s="9" t="s">
        <v>68</v>
      </c>
      <c r="D303" s="10"/>
      <c r="E303" s="11" t="n">
        <f>1066</f>
        <v>1066.0</v>
      </c>
      <c r="F303" s="10"/>
      <c r="G303" s="11" t="n">
        <f>1377026000</f>
        <v>1.377026E9</v>
      </c>
      <c r="H303" s="10"/>
      <c r="I303" s="11" t="str">
        <f>"－"</f>
        <v>－</v>
      </c>
      <c r="J303" s="10"/>
      <c r="K303" s="11" t="n">
        <f>8166</f>
        <v>8166.0</v>
      </c>
    </row>
    <row r="304">
      <c r="A304" s="8" t="s">
        <v>49</v>
      </c>
      <c r="B304" s="9" t="s">
        <v>67</v>
      </c>
      <c r="C304" s="9" t="s">
        <v>68</v>
      </c>
      <c r="D304" s="10"/>
      <c r="E304" s="11" t="n">
        <f>2722</f>
        <v>2722.0</v>
      </c>
      <c r="F304" s="10"/>
      <c r="G304" s="11" t="n">
        <f>3526592500</f>
        <v>3.5265925E9</v>
      </c>
      <c r="H304" s="10"/>
      <c r="I304" s="11" t="str">
        <f>"－"</f>
        <v>－</v>
      </c>
      <c r="J304" s="10"/>
      <c r="K304" s="11" t="n">
        <f>8294</f>
        <v>8294.0</v>
      </c>
    </row>
    <row r="305">
      <c r="A305" s="8" t="s">
        <v>50</v>
      </c>
      <c r="B305" s="9" t="s">
        <v>67</v>
      </c>
      <c r="C305" s="9" t="s">
        <v>68</v>
      </c>
      <c r="D305" s="10"/>
      <c r="E305" s="11" t="n">
        <f>4443</f>
        <v>4443.0</v>
      </c>
      <c r="F305" s="10" t="s">
        <v>20</v>
      </c>
      <c r="G305" s="11" t="n">
        <f>5706318000</f>
        <v>5.706318E9</v>
      </c>
      <c r="H305" s="10"/>
      <c r="I305" s="11" t="str">
        <f>"－"</f>
        <v>－</v>
      </c>
      <c r="J305" s="10"/>
      <c r="K305" s="11" t="n">
        <f>8613</f>
        <v>8613.0</v>
      </c>
    </row>
    <row r="306">
      <c r="A306" s="8" t="s">
        <v>16</v>
      </c>
      <c r="B306" s="9" t="s">
        <v>69</v>
      </c>
      <c r="C306" s="9" t="s">
        <v>70</v>
      </c>
      <c r="D306" s="10"/>
      <c r="E306" s="11" t="n">
        <f>6</f>
        <v>6.0</v>
      </c>
      <c r="F306" s="10"/>
      <c r="G306" s="11" t="n">
        <f>6352500</f>
        <v>6352500.0</v>
      </c>
      <c r="H306" s="10" t="s">
        <v>19</v>
      </c>
      <c r="I306" s="11" t="str">
        <f>"－"</f>
        <v>－</v>
      </c>
      <c r="J306" s="10" t="s">
        <v>20</v>
      </c>
      <c r="K306" s="11" t="n">
        <f>6</f>
        <v>6.0</v>
      </c>
    </row>
    <row r="307">
      <c r="A307" s="8" t="s">
        <v>21</v>
      </c>
      <c r="B307" s="9" t="s">
        <v>69</v>
      </c>
      <c r="C307" s="9" t="s">
        <v>70</v>
      </c>
      <c r="D307" s="10" t="s">
        <v>20</v>
      </c>
      <c r="E307" s="11" t="n">
        <f>9</f>
        <v>9.0</v>
      </c>
      <c r="F307" s="10" t="s">
        <v>20</v>
      </c>
      <c r="G307" s="11" t="n">
        <f>9712500</f>
        <v>9712500.0</v>
      </c>
      <c r="H307" s="10"/>
      <c r="I307" s="11" t="str">
        <f>"－"</f>
        <v>－</v>
      </c>
      <c r="J307" s="10"/>
      <c r="K307" s="11" t="n">
        <f>6</f>
        <v>6.0</v>
      </c>
    </row>
    <row r="308">
      <c r="A308" s="8" t="s">
        <v>22</v>
      </c>
      <c r="B308" s="9" t="s">
        <v>69</v>
      </c>
      <c r="C308" s="9" t="s">
        <v>70</v>
      </c>
      <c r="D308" s="10" t="s">
        <v>41</v>
      </c>
      <c r="E308" s="11" t="str">
        <f>"－"</f>
        <v>－</v>
      </c>
      <c r="F308" s="10" t="s">
        <v>41</v>
      </c>
      <c r="G308" s="11" t="str">
        <f>"－"</f>
        <v>－</v>
      </c>
      <c r="H308" s="10"/>
      <c r="I308" s="11" t="str">
        <f>"－"</f>
        <v>－</v>
      </c>
      <c r="J308" s="10"/>
      <c r="K308" s="11" t="n">
        <f>6</f>
        <v>6.0</v>
      </c>
    </row>
    <row r="309">
      <c r="A309" s="8" t="s">
        <v>23</v>
      </c>
      <c r="B309" s="9" t="s">
        <v>69</v>
      </c>
      <c r="C309" s="9" t="s">
        <v>70</v>
      </c>
      <c r="D309" s="10"/>
      <c r="E309" s="11"/>
      <c r="F309" s="10"/>
      <c r="G309" s="11"/>
      <c r="H309" s="10"/>
      <c r="I309" s="11"/>
      <c r="J309" s="10"/>
      <c r="K309" s="11"/>
    </row>
    <row r="310">
      <c r="A310" s="8" t="s">
        <v>24</v>
      </c>
      <c r="B310" s="9" t="s">
        <v>69</v>
      </c>
      <c r="C310" s="9" t="s">
        <v>70</v>
      </c>
      <c r="D310" s="10"/>
      <c r="E310" s="11"/>
      <c r="F310" s="10"/>
      <c r="G310" s="11"/>
      <c r="H310" s="10"/>
      <c r="I310" s="11"/>
      <c r="J310" s="10"/>
      <c r="K310" s="11"/>
    </row>
    <row r="311">
      <c r="A311" s="8" t="s">
        <v>25</v>
      </c>
      <c r="B311" s="9" t="s">
        <v>69</v>
      </c>
      <c r="C311" s="9" t="s">
        <v>70</v>
      </c>
      <c r="D311" s="10"/>
      <c r="E311" s="11" t="str">
        <f>"－"</f>
        <v>－</v>
      </c>
      <c r="F311" s="10"/>
      <c r="G311" s="11" t="str">
        <f>"－"</f>
        <v>－</v>
      </c>
      <c r="H311" s="10"/>
      <c r="I311" s="11" t="str">
        <f>"－"</f>
        <v>－</v>
      </c>
      <c r="J311" s="10"/>
      <c r="K311" s="11" t="n">
        <f>6</f>
        <v>6.0</v>
      </c>
    </row>
    <row r="312">
      <c r="A312" s="8" t="s">
        <v>26</v>
      </c>
      <c r="B312" s="9" t="s">
        <v>69</v>
      </c>
      <c r="C312" s="9" t="s">
        <v>70</v>
      </c>
      <c r="D312" s="10"/>
      <c r="E312" s="11" t="str">
        <f>"－"</f>
        <v>－</v>
      </c>
      <c r="F312" s="10"/>
      <c r="G312" s="11" t="str">
        <f>"－"</f>
        <v>－</v>
      </c>
      <c r="H312" s="10"/>
      <c r="I312" s="11" t="str">
        <f>"－"</f>
        <v>－</v>
      </c>
      <c r="J312" s="10"/>
      <c r="K312" s="11" t="n">
        <f>6</f>
        <v>6.0</v>
      </c>
    </row>
    <row r="313">
      <c r="A313" s="8" t="s">
        <v>27</v>
      </c>
      <c r="B313" s="9" t="s">
        <v>69</v>
      </c>
      <c r="C313" s="9" t="s">
        <v>70</v>
      </c>
      <c r="D313" s="10"/>
      <c r="E313" s="11" t="n">
        <f>3</f>
        <v>3.0</v>
      </c>
      <c r="F313" s="10"/>
      <c r="G313" s="11" t="n">
        <f>3298500</f>
        <v>3298500.0</v>
      </c>
      <c r="H313" s="10"/>
      <c r="I313" s="11" t="str">
        <f>"－"</f>
        <v>－</v>
      </c>
      <c r="J313" s="10"/>
      <c r="K313" s="11" t="n">
        <f>3</f>
        <v>3.0</v>
      </c>
    </row>
    <row r="314">
      <c r="A314" s="8" t="s">
        <v>28</v>
      </c>
      <c r="B314" s="9" t="s">
        <v>69</v>
      </c>
      <c r="C314" s="9" t="s">
        <v>70</v>
      </c>
      <c r="D314" s="10"/>
      <c r="E314" s="11" t="str">
        <f>"－"</f>
        <v>－</v>
      </c>
      <c r="F314" s="10"/>
      <c r="G314" s="11" t="str">
        <f>"－"</f>
        <v>－</v>
      </c>
      <c r="H314" s="10"/>
      <c r="I314" s="11" t="str">
        <f>"－"</f>
        <v>－</v>
      </c>
      <c r="J314" s="10"/>
      <c r="K314" s="11" t="n">
        <f>3</f>
        <v>3.0</v>
      </c>
    </row>
    <row r="315">
      <c r="A315" s="8" t="s">
        <v>29</v>
      </c>
      <c r="B315" s="9" t="s">
        <v>69</v>
      </c>
      <c r="C315" s="9" t="s">
        <v>70</v>
      </c>
      <c r="D315" s="10"/>
      <c r="E315" s="11" t="n">
        <f>6</f>
        <v>6.0</v>
      </c>
      <c r="F315" s="10"/>
      <c r="G315" s="11" t="n">
        <f>6655500</f>
        <v>6655500.0</v>
      </c>
      <c r="H315" s="10"/>
      <c r="I315" s="11" t="str">
        <f>"－"</f>
        <v>－</v>
      </c>
      <c r="J315" s="10" t="s">
        <v>41</v>
      </c>
      <c r="K315" s="11" t="str">
        <f>"－"</f>
        <v>－</v>
      </c>
    </row>
    <row r="316">
      <c r="A316" s="8" t="s">
        <v>30</v>
      </c>
      <c r="B316" s="9" t="s">
        <v>69</v>
      </c>
      <c r="C316" s="9" t="s">
        <v>70</v>
      </c>
      <c r="D316" s="10"/>
      <c r="E316" s="11"/>
      <c r="F316" s="10"/>
      <c r="G316" s="11"/>
      <c r="H316" s="10"/>
      <c r="I316" s="11"/>
      <c r="J316" s="10"/>
      <c r="K316" s="11"/>
    </row>
    <row r="317">
      <c r="A317" s="8" t="s">
        <v>31</v>
      </c>
      <c r="B317" s="9" t="s">
        <v>69</v>
      </c>
      <c r="C317" s="9" t="s">
        <v>70</v>
      </c>
      <c r="D317" s="10"/>
      <c r="E317" s="11"/>
      <c r="F317" s="10"/>
      <c r="G317" s="11"/>
      <c r="H317" s="10"/>
      <c r="I317" s="11"/>
      <c r="J317" s="10"/>
      <c r="K317" s="11"/>
    </row>
    <row r="318">
      <c r="A318" s="8" t="s">
        <v>32</v>
      </c>
      <c r="B318" s="9" t="s">
        <v>69</v>
      </c>
      <c r="C318" s="9" t="s">
        <v>70</v>
      </c>
      <c r="D318" s="10"/>
      <c r="E318" s="11" t="str">
        <f>"－"</f>
        <v>－</v>
      </c>
      <c r="F318" s="10"/>
      <c r="G318" s="11" t="str">
        <f>"－"</f>
        <v>－</v>
      </c>
      <c r="H318" s="10"/>
      <c r="I318" s="11" t="str">
        <f>"－"</f>
        <v>－</v>
      </c>
      <c r="J318" s="10"/>
      <c r="K318" s="11" t="str">
        <f>"－"</f>
        <v>－</v>
      </c>
    </row>
    <row r="319">
      <c r="A319" s="8" t="s">
        <v>33</v>
      </c>
      <c r="B319" s="9" t="s">
        <v>69</v>
      </c>
      <c r="C319" s="9" t="s">
        <v>70</v>
      </c>
      <c r="D319" s="10"/>
      <c r="E319" s="11" t="n">
        <f>3</f>
        <v>3.0</v>
      </c>
      <c r="F319" s="10"/>
      <c r="G319" s="11" t="n">
        <f>3204000</f>
        <v>3204000.0</v>
      </c>
      <c r="H319" s="10"/>
      <c r="I319" s="11" t="str">
        <f>"－"</f>
        <v>－</v>
      </c>
      <c r="J319" s="10"/>
      <c r="K319" s="11" t="n">
        <f>3</f>
        <v>3.0</v>
      </c>
    </row>
    <row r="320">
      <c r="A320" s="8" t="s">
        <v>34</v>
      </c>
      <c r="B320" s="9" t="s">
        <v>69</v>
      </c>
      <c r="C320" s="9" t="s">
        <v>70</v>
      </c>
      <c r="D320" s="10"/>
      <c r="E320" s="11" t="n">
        <f>6</f>
        <v>6.0</v>
      </c>
      <c r="F320" s="10"/>
      <c r="G320" s="11" t="n">
        <f>6459000</f>
        <v>6459000.0</v>
      </c>
      <c r="H320" s="10"/>
      <c r="I320" s="11" t="str">
        <f>"－"</f>
        <v>－</v>
      </c>
      <c r="J320" s="10"/>
      <c r="K320" s="11" t="str">
        <f>"－"</f>
        <v>－</v>
      </c>
    </row>
    <row r="321">
      <c r="A321" s="8" t="s">
        <v>35</v>
      </c>
      <c r="B321" s="9" t="s">
        <v>69</v>
      </c>
      <c r="C321" s="9" t="s">
        <v>70</v>
      </c>
      <c r="D321" s="10"/>
      <c r="E321" s="11" t="n">
        <f>6</f>
        <v>6.0</v>
      </c>
      <c r="F321" s="10"/>
      <c r="G321" s="11" t="n">
        <f>6471000</f>
        <v>6471000.0</v>
      </c>
      <c r="H321" s="10"/>
      <c r="I321" s="11" t="str">
        <f>"－"</f>
        <v>－</v>
      </c>
      <c r="J321" s="10"/>
      <c r="K321" s="11" t="str">
        <f>"－"</f>
        <v>－</v>
      </c>
    </row>
    <row r="322">
      <c r="A322" s="8" t="s">
        <v>36</v>
      </c>
      <c r="B322" s="9" t="s">
        <v>69</v>
      </c>
      <c r="C322" s="9" t="s">
        <v>70</v>
      </c>
      <c r="D322" s="10"/>
      <c r="E322" s="11" t="str">
        <f>"－"</f>
        <v>－</v>
      </c>
      <c r="F322" s="10"/>
      <c r="G322" s="11" t="str">
        <f>"－"</f>
        <v>－</v>
      </c>
      <c r="H322" s="10"/>
      <c r="I322" s="11" t="str">
        <f>"－"</f>
        <v>－</v>
      </c>
      <c r="J322" s="10"/>
      <c r="K322" s="11" t="str">
        <f>"－"</f>
        <v>－</v>
      </c>
    </row>
    <row r="323">
      <c r="A323" s="8" t="s">
        <v>37</v>
      </c>
      <c r="B323" s="9" t="s">
        <v>69</v>
      </c>
      <c r="C323" s="9" t="s">
        <v>70</v>
      </c>
      <c r="D323" s="10"/>
      <c r="E323" s="11"/>
      <c r="F323" s="10"/>
      <c r="G323" s="11"/>
      <c r="H323" s="10"/>
      <c r="I323" s="11"/>
      <c r="J323" s="10"/>
      <c r="K323" s="11"/>
    </row>
    <row r="324">
      <c r="A324" s="8" t="s">
        <v>38</v>
      </c>
      <c r="B324" s="9" t="s">
        <v>69</v>
      </c>
      <c r="C324" s="9" t="s">
        <v>70</v>
      </c>
      <c r="D324" s="10"/>
      <c r="E324" s="11"/>
      <c r="F324" s="10"/>
      <c r="G324" s="11"/>
      <c r="H324" s="10"/>
      <c r="I324" s="11"/>
      <c r="J324" s="10"/>
      <c r="K324" s="11"/>
    </row>
    <row r="325">
      <c r="A325" s="8" t="s">
        <v>39</v>
      </c>
      <c r="B325" s="9" t="s">
        <v>69</v>
      </c>
      <c r="C325" s="9" t="s">
        <v>70</v>
      </c>
      <c r="D325" s="10"/>
      <c r="E325" s="11" t="str">
        <f>"－"</f>
        <v>－</v>
      </c>
      <c r="F325" s="10"/>
      <c r="G325" s="11" t="str">
        <f>"－"</f>
        <v>－</v>
      </c>
      <c r="H325" s="10"/>
      <c r="I325" s="11" t="str">
        <f>"－"</f>
        <v>－</v>
      </c>
      <c r="J325" s="10"/>
      <c r="K325" s="11" t="str">
        <f>"－"</f>
        <v>－</v>
      </c>
    </row>
    <row r="326">
      <c r="A326" s="8" t="s">
        <v>40</v>
      </c>
      <c r="B326" s="9" t="s">
        <v>69</v>
      </c>
      <c r="C326" s="9" t="s">
        <v>70</v>
      </c>
      <c r="D326" s="10"/>
      <c r="E326" s="11" t="str">
        <f>"－"</f>
        <v>－</v>
      </c>
      <c r="F326" s="10"/>
      <c r="G326" s="11" t="str">
        <f>"－"</f>
        <v>－</v>
      </c>
      <c r="H326" s="10"/>
      <c r="I326" s="11" t="str">
        <f>"－"</f>
        <v>－</v>
      </c>
      <c r="J326" s="10"/>
      <c r="K326" s="11" t="str">
        <f>"－"</f>
        <v>－</v>
      </c>
    </row>
    <row r="327">
      <c r="A327" s="8" t="s">
        <v>42</v>
      </c>
      <c r="B327" s="9" t="s">
        <v>69</v>
      </c>
      <c r="C327" s="9" t="s">
        <v>70</v>
      </c>
      <c r="D327" s="10"/>
      <c r="E327" s="11" t="str">
        <f>"－"</f>
        <v>－</v>
      </c>
      <c r="F327" s="10"/>
      <c r="G327" s="11" t="str">
        <f>"－"</f>
        <v>－</v>
      </c>
      <c r="H327" s="10"/>
      <c r="I327" s="11" t="str">
        <f>"－"</f>
        <v>－</v>
      </c>
      <c r="J327" s="10"/>
      <c r="K327" s="11" t="str">
        <f>"－"</f>
        <v>－</v>
      </c>
    </row>
    <row r="328">
      <c r="A328" s="8" t="s">
        <v>43</v>
      </c>
      <c r="B328" s="9" t="s">
        <v>69</v>
      </c>
      <c r="C328" s="9" t="s">
        <v>70</v>
      </c>
      <c r="D328" s="10"/>
      <c r="E328" s="11" t="n">
        <f>6</f>
        <v>6.0</v>
      </c>
      <c r="F328" s="10"/>
      <c r="G328" s="11" t="n">
        <f>6370500</f>
        <v>6370500.0</v>
      </c>
      <c r="H328" s="10"/>
      <c r="I328" s="11" t="str">
        <f>"－"</f>
        <v>－</v>
      </c>
      <c r="J328" s="10"/>
      <c r="K328" s="11" t="str">
        <f>"－"</f>
        <v>－</v>
      </c>
    </row>
    <row r="329">
      <c r="A329" s="8" t="s">
        <v>44</v>
      </c>
      <c r="B329" s="9" t="s">
        <v>69</v>
      </c>
      <c r="C329" s="9" t="s">
        <v>70</v>
      </c>
      <c r="D329" s="10"/>
      <c r="E329" s="11" t="str">
        <f>"－"</f>
        <v>－</v>
      </c>
      <c r="F329" s="10"/>
      <c r="G329" s="11" t="str">
        <f>"－"</f>
        <v>－</v>
      </c>
      <c r="H329" s="10"/>
      <c r="I329" s="11" t="str">
        <f>"－"</f>
        <v>－</v>
      </c>
      <c r="J329" s="10"/>
      <c r="K329" s="11" t="str">
        <f>"－"</f>
        <v>－</v>
      </c>
    </row>
    <row r="330">
      <c r="A330" s="8" t="s">
        <v>45</v>
      </c>
      <c r="B330" s="9" t="s">
        <v>69</v>
      </c>
      <c r="C330" s="9" t="s">
        <v>70</v>
      </c>
      <c r="D330" s="10"/>
      <c r="E330" s="11"/>
      <c r="F330" s="10"/>
      <c r="G330" s="11"/>
      <c r="H330" s="10"/>
      <c r="I330" s="11"/>
      <c r="J330" s="10"/>
      <c r="K330" s="11"/>
    </row>
    <row r="331">
      <c r="A331" s="8" t="s">
        <v>46</v>
      </c>
      <c r="B331" s="9" t="s">
        <v>69</v>
      </c>
      <c r="C331" s="9" t="s">
        <v>70</v>
      </c>
      <c r="D331" s="10"/>
      <c r="E331" s="11"/>
      <c r="F331" s="10"/>
      <c r="G331" s="11"/>
      <c r="H331" s="10"/>
      <c r="I331" s="11"/>
      <c r="J331" s="10"/>
      <c r="K331" s="11"/>
    </row>
    <row r="332">
      <c r="A332" s="8" t="s">
        <v>47</v>
      </c>
      <c r="B332" s="9" t="s">
        <v>69</v>
      </c>
      <c r="C332" s="9" t="s">
        <v>70</v>
      </c>
      <c r="D332" s="10"/>
      <c r="E332" s="11" t="str">
        <f>"－"</f>
        <v>－</v>
      </c>
      <c r="F332" s="10"/>
      <c r="G332" s="11" t="str">
        <f>"－"</f>
        <v>－</v>
      </c>
      <c r="H332" s="10"/>
      <c r="I332" s="11" t="str">
        <f>"－"</f>
        <v>－</v>
      </c>
      <c r="J332" s="10"/>
      <c r="K332" s="11" t="str">
        <f>"－"</f>
        <v>－</v>
      </c>
    </row>
    <row r="333">
      <c r="A333" s="8" t="s">
        <v>48</v>
      </c>
      <c r="B333" s="9" t="s">
        <v>69</v>
      </c>
      <c r="C333" s="9" t="s">
        <v>70</v>
      </c>
      <c r="D333" s="10"/>
      <c r="E333" s="11" t="str">
        <f>"－"</f>
        <v>－</v>
      </c>
      <c r="F333" s="10"/>
      <c r="G333" s="11" t="str">
        <f>"－"</f>
        <v>－</v>
      </c>
      <c r="H333" s="10"/>
      <c r="I333" s="11" t="str">
        <f>"－"</f>
        <v>－</v>
      </c>
      <c r="J333" s="10"/>
      <c r="K333" s="11" t="str">
        <f>"－"</f>
        <v>－</v>
      </c>
    </row>
    <row r="334">
      <c r="A334" s="8" t="s">
        <v>49</v>
      </c>
      <c r="B334" s="9" t="s">
        <v>69</v>
      </c>
      <c r="C334" s="9" t="s">
        <v>70</v>
      </c>
      <c r="D334" s="10"/>
      <c r="E334" s="11" t="str">
        <f>"－"</f>
        <v>－</v>
      </c>
      <c r="F334" s="10"/>
      <c r="G334" s="11" t="str">
        <f>"－"</f>
        <v>－</v>
      </c>
      <c r="H334" s="10"/>
      <c r="I334" s="11" t="str">
        <f>"－"</f>
        <v>－</v>
      </c>
      <c r="J334" s="10"/>
      <c r="K334" s="11" t="str">
        <f>"－"</f>
        <v>－</v>
      </c>
    </row>
    <row r="335">
      <c r="A335" s="8" t="s">
        <v>50</v>
      </c>
      <c r="B335" s="9" t="s">
        <v>69</v>
      </c>
      <c r="C335" s="9" t="s">
        <v>70</v>
      </c>
      <c r="D335" s="10"/>
      <c r="E335" s="11" t="str">
        <f>"－"</f>
        <v>－</v>
      </c>
      <c r="F335" s="10"/>
      <c r="G335" s="11" t="str">
        <f>"－"</f>
        <v>－</v>
      </c>
      <c r="H335" s="10"/>
      <c r="I335" s="11" t="str">
        <f>"－"</f>
        <v>－</v>
      </c>
      <c r="J335" s="10"/>
      <c r="K335" s="11" t="str">
        <f>"－"</f>
        <v>－</v>
      </c>
    </row>
    <row r="336">
      <c r="A336" s="8" t="s">
        <v>16</v>
      </c>
      <c r="B336" s="9" t="s">
        <v>71</v>
      </c>
      <c r="C336" s="9" t="s">
        <v>72</v>
      </c>
      <c r="D336" s="10"/>
      <c r="E336" s="11" t="n">
        <f>341</f>
        <v>341.0</v>
      </c>
      <c r="F336" s="10"/>
      <c r="G336" s="11" t="n">
        <f>901015500</f>
        <v>9.010155E8</v>
      </c>
      <c r="H336" s="10" t="s">
        <v>19</v>
      </c>
      <c r="I336" s="11" t="str">
        <f>"－"</f>
        <v>－</v>
      </c>
      <c r="J336" s="10"/>
      <c r="K336" s="11" t="n">
        <f>2041</f>
        <v>2041.0</v>
      </c>
    </row>
    <row r="337">
      <c r="A337" s="8" t="s">
        <v>21</v>
      </c>
      <c r="B337" s="9" t="s">
        <v>71</v>
      </c>
      <c r="C337" s="9" t="s">
        <v>72</v>
      </c>
      <c r="D337" s="10" t="s">
        <v>20</v>
      </c>
      <c r="E337" s="11" t="n">
        <f>443</f>
        <v>443.0</v>
      </c>
      <c r="F337" s="10" t="s">
        <v>20</v>
      </c>
      <c r="G337" s="11" t="n">
        <f>1150200500</f>
        <v>1.1502005E9</v>
      </c>
      <c r="H337" s="10"/>
      <c r="I337" s="11" t="str">
        <f>"－"</f>
        <v>－</v>
      </c>
      <c r="J337" s="10"/>
      <c r="K337" s="11" t="n">
        <f>2021</f>
        <v>2021.0</v>
      </c>
    </row>
    <row r="338">
      <c r="A338" s="8" t="s">
        <v>22</v>
      </c>
      <c r="B338" s="9" t="s">
        <v>71</v>
      </c>
      <c r="C338" s="9" t="s">
        <v>72</v>
      </c>
      <c r="D338" s="10"/>
      <c r="E338" s="11" t="n">
        <f>153</f>
        <v>153.0</v>
      </c>
      <c r="F338" s="10"/>
      <c r="G338" s="11" t="n">
        <f>400776000</f>
        <v>4.00776E8</v>
      </c>
      <c r="H338" s="10"/>
      <c r="I338" s="11" t="str">
        <f>"－"</f>
        <v>－</v>
      </c>
      <c r="J338" s="10"/>
      <c r="K338" s="11" t="n">
        <f>2006</f>
        <v>2006.0</v>
      </c>
    </row>
    <row r="339">
      <c r="A339" s="8" t="s">
        <v>23</v>
      </c>
      <c r="B339" s="9" t="s">
        <v>71</v>
      </c>
      <c r="C339" s="9" t="s">
        <v>72</v>
      </c>
      <c r="D339" s="10"/>
      <c r="E339" s="11"/>
      <c r="F339" s="10"/>
      <c r="G339" s="11"/>
      <c r="H339" s="10"/>
      <c r="I339" s="11"/>
      <c r="J339" s="10"/>
      <c r="K339" s="11"/>
    </row>
    <row r="340">
      <c r="A340" s="8" t="s">
        <v>24</v>
      </c>
      <c r="B340" s="9" t="s">
        <v>71</v>
      </c>
      <c r="C340" s="9" t="s">
        <v>72</v>
      </c>
      <c r="D340" s="10"/>
      <c r="E340" s="11"/>
      <c r="F340" s="10"/>
      <c r="G340" s="11"/>
      <c r="H340" s="10"/>
      <c r="I340" s="11"/>
      <c r="J340" s="10"/>
      <c r="K340" s="11"/>
    </row>
    <row r="341">
      <c r="A341" s="8" t="s">
        <v>25</v>
      </c>
      <c r="B341" s="9" t="s">
        <v>71</v>
      </c>
      <c r="C341" s="9" t="s">
        <v>72</v>
      </c>
      <c r="D341" s="10"/>
      <c r="E341" s="11" t="n">
        <f>354</f>
        <v>354.0</v>
      </c>
      <c r="F341" s="10"/>
      <c r="G341" s="11" t="n">
        <f>949712000</f>
        <v>9.49712E8</v>
      </c>
      <c r="H341" s="10"/>
      <c r="I341" s="11" t="str">
        <f>"－"</f>
        <v>－</v>
      </c>
      <c r="J341" s="10"/>
      <c r="K341" s="11" t="n">
        <f>1968</f>
        <v>1968.0</v>
      </c>
    </row>
    <row r="342">
      <c r="A342" s="8" t="s">
        <v>26</v>
      </c>
      <c r="B342" s="9" t="s">
        <v>71</v>
      </c>
      <c r="C342" s="9" t="s">
        <v>72</v>
      </c>
      <c r="D342" s="10"/>
      <c r="E342" s="11" t="n">
        <f>267</f>
        <v>267.0</v>
      </c>
      <c r="F342" s="10"/>
      <c r="G342" s="11" t="n">
        <f>732399500</f>
        <v>7.323995E8</v>
      </c>
      <c r="H342" s="10"/>
      <c r="I342" s="11" t="str">
        <f>"－"</f>
        <v>－</v>
      </c>
      <c r="J342" s="10"/>
      <c r="K342" s="11" t="n">
        <f>1963</f>
        <v>1963.0</v>
      </c>
    </row>
    <row r="343">
      <c r="A343" s="8" t="s">
        <v>27</v>
      </c>
      <c r="B343" s="9" t="s">
        <v>71</v>
      </c>
      <c r="C343" s="9" t="s">
        <v>72</v>
      </c>
      <c r="D343" s="10"/>
      <c r="E343" s="11" t="n">
        <f>270</f>
        <v>270.0</v>
      </c>
      <c r="F343" s="10"/>
      <c r="G343" s="11" t="n">
        <f>755387500</f>
        <v>7.553875E8</v>
      </c>
      <c r="H343" s="10"/>
      <c r="I343" s="11" t="str">
        <f>"－"</f>
        <v>－</v>
      </c>
      <c r="J343" s="10"/>
      <c r="K343" s="11" t="n">
        <f>1967</f>
        <v>1967.0</v>
      </c>
    </row>
    <row r="344">
      <c r="A344" s="8" t="s">
        <v>28</v>
      </c>
      <c r="B344" s="9" t="s">
        <v>71</v>
      </c>
      <c r="C344" s="9" t="s">
        <v>72</v>
      </c>
      <c r="D344" s="10"/>
      <c r="E344" s="11" t="n">
        <f>389</f>
        <v>389.0</v>
      </c>
      <c r="F344" s="10"/>
      <c r="G344" s="11" t="n">
        <f>1107758500</f>
        <v>1.1077585E9</v>
      </c>
      <c r="H344" s="10"/>
      <c r="I344" s="11" t="str">
        <f>"－"</f>
        <v>－</v>
      </c>
      <c r="J344" s="10"/>
      <c r="K344" s="11" t="n">
        <f>1930</f>
        <v>1930.0</v>
      </c>
    </row>
    <row r="345">
      <c r="A345" s="8" t="s">
        <v>29</v>
      </c>
      <c r="B345" s="9" t="s">
        <v>71</v>
      </c>
      <c r="C345" s="9" t="s">
        <v>72</v>
      </c>
      <c r="D345" s="10"/>
      <c r="E345" s="11" t="n">
        <f>321</f>
        <v>321.0</v>
      </c>
      <c r="F345" s="10"/>
      <c r="G345" s="11" t="n">
        <f>891439500</f>
        <v>8.914395E8</v>
      </c>
      <c r="H345" s="10"/>
      <c r="I345" s="11" t="str">
        <f>"－"</f>
        <v>－</v>
      </c>
      <c r="J345" s="10"/>
      <c r="K345" s="11" t="n">
        <f>1927</f>
        <v>1927.0</v>
      </c>
    </row>
    <row r="346">
      <c r="A346" s="8" t="s">
        <v>30</v>
      </c>
      <c r="B346" s="9" t="s">
        <v>71</v>
      </c>
      <c r="C346" s="9" t="s">
        <v>72</v>
      </c>
      <c r="D346" s="10"/>
      <c r="E346" s="11"/>
      <c r="F346" s="10"/>
      <c r="G346" s="11"/>
      <c r="H346" s="10"/>
      <c r="I346" s="11"/>
      <c r="J346" s="10"/>
      <c r="K346" s="11"/>
    </row>
    <row r="347">
      <c r="A347" s="8" t="s">
        <v>31</v>
      </c>
      <c r="B347" s="9" t="s">
        <v>71</v>
      </c>
      <c r="C347" s="9" t="s">
        <v>72</v>
      </c>
      <c r="D347" s="10"/>
      <c r="E347" s="11"/>
      <c r="F347" s="10"/>
      <c r="G347" s="11"/>
      <c r="H347" s="10"/>
      <c r="I347" s="11"/>
      <c r="J347" s="10"/>
      <c r="K347" s="11"/>
    </row>
    <row r="348">
      <c r="A348" s="8" t="s">
        <v>32</v>
      </c>
      <c r="B348" s="9" t="s">
        <v>71</v>
      </c>
      <c r="C348" s="9" t="s">
        <v>72</v>
      </c>
      <c r="D348" s="10"/>
      <c r="E348" s="11" t="n">
        <f>176</f>
        <v>176.0</v>
      </c>
      <c r="F348" s="10"/>
      <c r="G348" s="11" t="n">
        <f>491394500</f>
        <v>4.913945E8</v>
      </c>
      <c r="H348" s="10"/>
      <c r="I348" s="11" t="str">
        <f>"－"</f>
        <v>－</v>
      </c>
      <c r="J348" s="10" t="s">
        <v>41</v>
      </c>
      <c r="K348" s="11" t="n">
        <f>1908</f>
        <v>1908.0</v>
      </c>
    </row>
    <row r="349">
      <c r="A349" s="8" t="s">
        <v>33</v>
      </c>
      <c r="B349" s="9" t="s">
        <v>71</v>
      </c>
      <c r="C349" s="9" t="s">
        <v>72</v>
      </c>
      <c r="D349" s="10"/>
      <c r="E349" s="11" t="n">
        <f>285</f>
        <v>285.0</v>
      </c>
      <c r="F349" s="10"/>
      <c r="G349" s="11" t="n">
        <f>790276500</f>
        <v>7.902765E8</v>
      </c>
      <c r="H349" s="10"/>
      <c r="I349" s="11" t="str">
        <f>"－"</f>
        <v>－</v>
      </c>
      <c r="J349" s="10"/>
      <c r="K349" s="11" t="n">
        <f>1914</f>
        <v>1914.0</v>
      </c>
    </row>
    <row r="350">
      <c r="A350" s="8" t="s">
        <v>34</v>
      </c>
      <c r="B350" s="9" t="s">
        <v>71</v>
      </c>
      <c r="C350" s="9" t="s">
        <v>72</v>
      </c>
      <c r="D350" s="10"/>
      <c r="E350" s="11" t="n">
        <f>122</f>
        <v>122.0</v>
      </c>
      <c r="F350" s="10"/>
      <c r="G350" s="11" t="n">
        <f>339110000</f>
        <v>3.3911E8</v>
      </c>
      <c r="H350" s="10"/>
      <c r="I350" s="11" t="str">
        <f>"－"</f>
        <v>－</v>
      </c>
      <c r="J350" s="10"/>
      <c r="K350" s="11" t="n">
        <f>1908</f>
        <v>1908.0</v>
      </c>
    </row>
    <row r="351">
      <c r="A351" s="8" t="s">
        <v>35</v>
      </c>
      <c r="B351" s="9" t="s">
        <v>71</v>
      </c>
      <c r="C351" s="9" t="s">
        <v>72</v>
      </c>
      <c r="D351" s="10"/>
      <c r="E351" s="11" t="n">
        <f>191</f>
        <v>191.0</v>
      </c>
      <c r="F351" s="10"/>
      <c r="G351" s="11" t="n">
        <f>531485000</f>
        <v>5.31485E8</v>
      </c>
      <c r="H351" s="10"/>
      <c r="I351" s="11" t="str">
        <f>"－"</f>
        <v>－</v>
      </c>
      <c r="J351" s="10"/>
      <c r="K351" s="11" t="n">
        <f>1952</f>
        <v>1952.0</v>
      </c>
    </row>
    <row r="352">
      <c r="A352" s="8" t="s">
        <v>36</v>
      </c>
      <c r="B352" s="9" t="s">
        <v>71</v>
      </c>
      <c r="C352" s="9" t="s">
        <v>72</v>
      </c>
      <c r="D352" s="10"/>
      <c r="E352" s="11" t="n">
        <f>170</f>
        <v>170.0</v>
      </c>
      <c r="F352" s="10"/>
      <c r="G352" s="11" t="n">
        <f>469910500</f>
        <v>4.699105E8</v>
      </c>
      <c r="H352" s="10"/>
      <c r="I352" s="11" t="str">
        <f>"－"</f>
        <v>－</v>
      </c>
      <c r="J352" s="10"/>
      <c r="K352" s="11" t="n">
        <f>1956</f>
        <v>1956.0</v>
      </c>
    </row>
    <row r="353">
      <c r="A353" s="8" t="s">
        <v>37</v>
      </c>
      <c r="B353" s="9" t="s">
        <v>71</v>
      </c>
      <c r="C353" s="9" t="s">
        <v>72</v>
      </c>
      <c r="D353" s="10"/>
      <c r="E353" s="11"/>
      <c r="F353" s="10"/>
      <c r="G353" s="11"/>
      <c r="H353" s="10"/>
      <c r="I353" s="11"/>
      <c r="J353" s="10"/>
      <c r="K353" s="11"/>
    </row>
    <row r="354">
      <c r="A354" s="8" t="s">
        <v>38</v>
      </c>
      <c r="B354" s="9" t="s">
        <v>71</v>
      </c>
      <c r="C354" s="9" t="s">
        <v>72</v>
      </c>
      <c r="D354" s="10"/>
      <c r="E354" s="11"/>
      <c r="F354" s="10"/>
      <c r="G354" s="11"/>
      <c r="H354" s="10"/>
      <c r="I354" s="11"/>
      <c r="J354" s="10"/>
      <c r="K354" s="11"/>
    </row>
    <row r="355">
      <c r="A355" s="8" t="s">
        <v>39</v>
      </c>
      <c r="B355" s="9" t="s">
        <v>71</v>
      </c>
      <c r="C355" s="9" t="s">
        <v>72</v>
      </c>
      <c r="D355" s="10"/>
      <c r="E355" s="11" t="n">
        <f>162</f>
        <v>162.0</v>
      </c>
      <c r="F355" s="10"/>
      <c r="G355" s="11" t="n">
        <f>455816000</f>
        <v>4.55816E8</v>
      </c>
      <c r="H355" s="10"/>
      <c r="I355" s="11" t="str">
        <f>"－"</f>
        <v>－</v>
      </c>
      <c r="J355" s="10"/>
      <c r="K355" s="11" t="n">
        <f>1953</f>
        <v>1953.0</v>
      </c>
    </row>
    <row r="356">
      <c r="A356" s="8" t="s">
        <v>40</v>
      </c>
      <c r="B356" s="9" t="s">
        <v>71</v>
      </c>
      <c r="C356" s="9" t="s">
        <v>72</v>
      </c>
      <c r="D356" s="10"/>
      <c r="E356" s="11" t="n">
        <f>225</f>
        <v>225.0</v>
      </c>
      <c r="F356" s="10"/>
      <c r="G356" s="11" t="n">
        <f>620194000</f>
        <v>6.20194E8</v>
      </c>
      <c r="H356" s="10"/>
      <c r="I356" s="11" t="str">
        <f>"－"</f>
        <v>－</v>
      </c>
      <c r="J356" s="10"/>
      <c r="K356" s="11" t="n">
        <f>1992</f>
        <v>1992.0</v>
      </c>
    </row>
    <row r="357">
      <c r="A357" s="8" t="s">
        <v>42</v>
      </c>
      <c r="B357" s="9" t="s">
        <v>71</v>
      </c>
      <c r="C357" s="9" t="s">
        <v>72</v>
      </c>
      <c r="D357" s="10"/>
      <c r="E357" s="11" t="n">
        <f>188</f>
        <v>188.0</v>
      </c>
      <c r="F357" s="10"/>
      <c r="G357" s="11" t="n">
        <f>512579500</f>
        <v>5.125795E8</v>
      </c>
      <c r="H357" s="10"/>
      <c r="I357" s="11" t="str">
        <f>"－"</f>
        <v>－</v>
      </c>
      <c r="J357" s="10"/>
      <c r="K357" s="11" t="n">
        <f>1993</f>
        <v>1993.0</v>
      </c>
    </row>
    <row r="358">
      <c r="A358" s="8" t="s">
        <v>43</v>
      </c>
      <c r="B358" s="9" t="s">
        <v>71</v>
      </c>
      <c r="C358" s="9" t="s">
        <v>72</v>
      </c>
      <c r="D358" s="10"/>
      <c r="E358" s="11" t="n">
        <f>314</f>
        <v>314.0</v>
      </c>
      <c r="F358" s="10"/>
      <c r="G358" s="11" t="n">
        <f>838726500</f>
        <v>8.387265E8</v>
      </c>
      <c r="H358" s="10"/>
      <c r="I358" s="11" t="str">
        <f>"－"</f>
        <v>－</v>
      </c>
      <c r="J358" s="10"/>
      <c r="K358" s="11" t="n">
        <f>2008</f>
        <v>2008.0</v>
      </c>
    </row>
    <row r="359">
      <c r="A359" s="8" t="s">
        <v>44</v>
      </c>
      <c r="B359" s="9" t="s">
        <v>71</v>
      </c>
      <c r="C359" s="9" t="s">
        <v>72</v>
      </c>
      <c r="D359" s="10"/>
      <c r="E359" s="11" t="n">
        <f>338</f>
        <v>338.0</v>
      </c>
      <c r="F359" s="10"/>
      <c r="G359" s="11" t="n">
        <f>878443000</f>
        <v>8.78443E8</v>
      </c>
      <c r="H359" s="10"/>
      <c r="I359" s="11" t="str">
        <f>"－"</f>
        <v>－</v>
      </c>
      <c r="J359" s="10"/>
      <c r="K359" s="11" t="n">
        <f>2001</f>
        <v>2001.0</v>
      </c>
    </row>
    <row r="360">
      <c r="A360" s="8" t="s">
        <v>45</v>
      </c>
      <c r="B360" s="9" t="s">
        <v>71</v>
      </c>
      <c r="C360" s="9" t="s">
        <v>72</v>
      </c>
      <c r="D360" s="10"/>
      <c r="E360" s="11"/>
      <c r="F360" s="10"/>
      <c r="G360" s="11"/>
      <c r="H360" s="10"/>
      <c r="I360" s="11"/>
      <c r="J360" s="10"/>
      <c r="K360" s="11"/>
    </row>
    <row r="361">
      <c r="A361" s="8" t="s">
        <v>46</v>
      </c>
      <c r="B361" s="9" t="s">
        <v>71</v>
      </c>
      <c r="C361" s="9" t="s">
        <v>72</v>
      </c>
      <c r="D361" s="10"/>
      <c r="E361" s="11"/>
      <c r="F361" s="10"/>
      <c r="G361" s="11"/>
      <c r="H361" s="10"/>
      <c r="I361" s="11"/>
      <c r="J361" s="10"/>
      <c r="K361" s="11"/>
    </row>
    <row r="362">
      <c r="A362" s="8" t="s">
        <v>47</v>
      </c>
      <c r="B362" s="9" t="s">
        <v>71</v>
      </c>
      <c r="C362" s="9" t="s">
        <v>72</v>
      </c>
      <c r="D362" s="10"/>
      <c r="E362" s="11" t="n">
        <f>243</f>
        <v>243.0</v>
      </c>
      <c r="F362" s="10"/>
      <c r="G362" s="11" t="n">
        <f>636474000</f>
        <v>6.36474E8</v>
      </c>
      <c r="H362" s="10"/>
      <c r="I362" s="11" t="str">
        <f>"－"</f>
        <v>－</v>
      </c>
      <c r="J362" s="10"/>
      <c r="K362" s="11" t="n">
        <f>2025</f>
        <v>2025.0</v>
      </c>
    </row>
    <row r="363">
      <c r="A363" s="8" t="s">
        <v>48</v>
      </c>
      <c r="B363" s="9" t="s">
        <v>71</v>
      </c>
      <c r="C363" s="9" t="s">
        <v>72</v>
      </c>
      <c r="D363" s="10"/>
      <c r="E363" s="11" t="n">
        <f>115</f>
        <v>115.0</v>
      </c>
      <c r="F363" s="10"/>
      <c r="G363" s="11" t="n">
        <f>300466500</f>
        <v>3.004665E8</v>
      </c>
      <c r="H363" s="10"/>
      <c r="I363" s="11" t="str">
        <f>"－"</f>
        <v>－</v>
      </c>
      <c r="J363" s="10"/>
      <c r="K363" s="11" t="n">
        <f>2032</f>
        <v>2032.0</v>
      </c>
    </row>
    <row r="364">
      <c r="A364" s="8" t="s">
        <v>49</v>
      </c>
      <c r="B364" s="9" t="s">
        <v>71</v>
      </c>
      <c r="C364" s="9" t="s">
        <v>72</v>
      </c>
      <c r="D364" s="10" t="s">
        <v>41</v>
      </c>
      <c r="E364" s="11" t="n">
        <f>100</f>
        <v>100.0</v>
      </c>
      <c r="F364" s="10" t="s">
        <v>41</v>
      </c>
      <c r="G364" s="11" t="n">
        <f>262904500</f>
        <v>2.629045E8</v>
      </c>
      <c r="H364" s="10"/>
      <c r="I364" s="11" t="str">
        <f>"－"</f>
        <v>－</v>
      </c>
      <c r="J364" s="10" t="s">
        <v>20</v>
      </c>
      <c r="K364" s="11" t="n">
        <f>2049</f>
        <v>2049.0</v>
      </c>
    </row>
    <row r="365">
      <c r="A365" s="8" t="s">
        <v>50</v>
      </c>
      <c r="B365" s="9" t="s">
        <v>71</v>
      </c>
      <c r="C365" s="9" t="s">
        <v>72</v>
      </c>
      <c r="D365" s="10"/>
      <c r="E365" s="11" t="n">
        <f>110</f>
        <v>110.0</v>
      </c>
      <c r="F365" s="10"/>
      <c r="G365" s="11" t="n">
        <f>287330000</f>
        <v>2.8733E8</v>
      </c>
      <c r="H365" s="10"/>
      <c r="I365" s="11" t="str">
        <f>"－"</f>
        <v>－</v>
      </c>
      <c r="J365" s="10"/>
      <c r="K365" s="11" t="n">
        <f>2049</f>
        <v>2049.0</v>
      </c>
    </row>
    <row r="366">
      <c r="A366" s="8" t="s">
        <v>16</v>
      </c>
      <c r="B366" s="9" t="s">
        <v>73</v>
      </c>
      <c r="C366" s="9" t="s">
        <v>74</v>
      </c>
      <c r="D366" s="10" t="s">
        <v>19</v>
      </c>
      <c r="E366" s="11" t="str">
        <f>"－"</f>
        <v>－</v>
      </c>
      <c r="F366" s="10" t="s">
        <v>19</v>
      </c>
      <c r="G366" s="11" t="str">
        <f>"－"</f>
        <v>－</v>
      </c>
      <c r="H366" s="10" t="s">
        <v>19</v>
      </c>
      <c r="I366" s="11" t="str">
        <f>"－"</f>
        <v>－</v>
      </c>
      <c r="J366" s="10" t="s">
        <v>19</v>
      </c>
      <c r="K366" s="11" t="str">
        <f>"－"</f>
        <v>－</v>
      </c>
    </row>
    <row r="367">
      <c r="A367" s="8" t="s">
        <v>21</v>
      </c>
      <c r="B367" s="9" t="s">
        <v>73</v>
      </c>
      <c r="C367" s="9" t="s">
        <v>74</v>
      </c>
      <c r="D367" s="10"/>
      <c r="E367" s="11" t="str">
        <f>"－"</f>
        <v>－</v>
      </c>
      <c r="F367" s="10"/>
      <c r="G367" s="11" t="str">
        <f>"－"</f>
        <v>－</v>
      </c>
      <c r="H367" s="10"/>
      <c r="I367" s="11" t="str">
        <f>"－"</f>
        <v>－</v>
      </c>
      <c r="J367" s="10"/>
      <c r="K367" s="11" t="str">
        <f>"－"</f>
        <v>－</v>
      </c>
    </row>
    <row r="368">
      <c r="A368" s="8" t="s">
        <v>22</v>
      </c>
      <c r="B368" s="9" t="s">
        <v>73</v>
      </c>
      <c r="C368" s="9" t="s">
        <v>74</v>
      </c>
      <c r="D368" s="10"/>
      <c r="E368" s="11" t="str">
        <f>"－"</f>
        <v>－</v>
      </c>
      <c r="F368" s="10"/>
      <c r="G368" s="11" t="str">
        <f>"－"</f>
        <v>－</v>
      </c>
      <c r="H368" s="10"/>
      <c r="I368" s="11" t="str">
        <f>"－"</f>
        <v>－</v>
      </c>
      <c r="J368" s="10"/>
      <c r="K368" s="11" t="str">
        <f>"－"</f>
        <v>－</v>
      </c>
    </row>
    <row r="369">
      <c r="A369" s="8" t="s">
        <v>23</v>
      </c>
      <c r="B369" s="9" t="s">
        <v>73</v>
      </c>
      <c r="C369" s="9" t="s">
        <v>74</v>
      </c>
      <c r="D369" s="10"/>
      <c r="E369" s="11"/>
      <c r="F369" s="10"/>
      <c r="G369" s="11"/>
      <c r="H369" s="10"/>
      <c r="I369" s="11"/>
      <c r="J369" s="10"/>
      <c r="K369" s="11"/>
    </row>
    <row r="370">
      <c r="A370" s="8" t="s">
        <v>24</v>
      </c>
      <c r="B370" s="9" t="s">
        <v>73</v>
      </c>
      <c r="C370" s="9" t="s">
        <v>74</v>
      </c>
      <c r="D370" s="10"/>
      <c r="E370" s="11"/>
      <c r="F370" s="10"/>
      <c r="G370" s="11"/>
      <c r="H370" s="10"/>
      <c r="I370" s="11"/>
      <c r="J370" s="10"/>
      <c r="K370" s="11"/>
    </row>
    <row r="371">
      <c r="A371" s="8" t="s">
        <v>25</v>
      </c>
      <c r="B371" s="9" t="s">
        <v>73</v>
      </c>
      <c r="C371" s="9" t="s">
        <v>74</v>
      </c>
      <c r="D371" s="10"/>
      <c r="E371" s="11" t="str">
        <f>"－"</f>
        <v>－</v>
      </c>
      <c r="F371" s="10"/>
      <c r="G371" s="11" t="str">
        <f>"－"</f>
        <v>－</v>
      </c>
      <c r="H371" s="10"/>
      <c r="I371" s="11" t="str">
        <f>"－"</f>
        <v>－</v>
      </c>
      <c r="J371" s="10"/>
      <c r="K371" s="11" t="str">
        <f>"－"</f>
        <v>－</v>
      </c>
    </row>
    <row r="372">
      <c r="A372" s="8" t="s">
        <v>26</v>
      </c>
      <c r="B372" s="9" t="s">
        <v>73</v>
      </c>
      <c r="C372" s="9" t="s">
        <v>74</v>
      </c>
      <c r="D372" s="10"/>
      <c r="E372" s="11" t="str">
        <f>"－"</f>
        <v>－</v>
      </c>
      <c r="F372" s="10"/>
      <c r="G372" s="11" t="str">
        <f>"－"</f>
        <v>－</v>
      </c>
      <c r="H372" s="10"/>
      <c r="I372" s="11" t="str">
        <f>"－"</f>
        <v>－</v>
      </c>
      <c r="J372" s="10"/>
      <c r="K372" s="11" t="str">
        <f>"－"</f>
        <v>－</v>
      </c>
    </row>
    <row r="373">
      <c r="A373" s="8" t="s">
        <v>27</v>
      </c>
      <c r="B373" s="9" t="s">
        <v>73</v>
      </c>
      <c r="C373" s="9" t="s">
        <v>74</v>
      </c>
      <c r="D373" s="10"/>
      <c r="E373" s="11" t="str">
        <f>"－"</f>
        <v>－</v>
      </c>
      <c r="F373" s="10"/>
      <c r="G373" s="11" t="str">
        <f>"－"</f>
        <v>－</v>
      </c>
      <c r="H373" s="10"/>
      <c r="I373" s="11" t="str">
        <f>"－"</f>
        <v>－</v>
      </c>
      <c r="J373" s="10"/>
      <c r="K373" s="11" t="str">
        <f>"－"</f>
        <v>－</v>
      </c>
    </row>
    <row r="374">
      <c r="A374" s="8" t="s">
        <v>28</v>
      </c>
      <c r="B374" s="9" t="s">
        <v>73</v>
      </c>
      <c r="C374" s="9" t="s">
        <v>74</v>
      </c>
      <c r="D374" s="10"/>
      <c r="E374" s="11" t="str">
        <f>"－"</f>
        <v>－</v>
      </c>
      <c r="F374" s="10"/>
      <c r="G374" s="11" t="str">
        <f>"－"</f>
        <v>－</v>
      </c>
      <c r="H374" s="10"/>
      <c r="I374" s="11" t="str">
        <f>"－"</f>
        <v>－</v>
      </c>
      <c r="J374" s="10"/>
      <c r="K374" s="11" t="str">
        <f>"－"</f>
        <v>－</v>
      </c>
    </row>
    <row r="375">
      <c r="A375" s="8" t="s">
        <v>29</v>
      </c>
      <c r="B375" s="9" t="s">
        <v>73</v>
      </c>
      <c r="C375" s="9" t="s">
        <v>74</v>
      </c>
      <c r="D375" s="10"/>
      <c r="E375" s="11" t="str">
        <f>"－"</f>
        <v>－</v>
      </c>
      <c r="F375" s="10"/>
      <c r="G375" s="11" t="str">
        <f>"－"</f>
        <v>－</v>
      </c>
      <c r="H375" s="10"/>
      <c r="I375" s="11" t="str">
        <f>"－"</f>
        <v>－</v>
      </c>
      <c r="J375" s="10"/>
      <c r="K375" s="11" t="str">
        <f>"－"</f>
        <v>－</v>
      </c>
    </row>
    <row r="376">
      <c r="A376" s="8" t="s">
        <v>30</v>
      </c>
      <c r="B376" s="9" t="s">
        <v>73</v>
      </c>
      <c r="C376" s="9" t="s">
        <v>74</v>
      </c>
      <c r="D376" s="10"/>
      <c r="E376" s="11"/>
      <c r="F376" s="10"/>
      <c r="G376" s="11"/>
      <c r="H376" s="10"/>
      <c r="I376" s="11"/>
      <c r="J376" s="10"/>
      <c r="K376" s="11"/>
    </row>
    <row r="377">
      <c r="A377" s="8" t="s">
        <v>31</v>
      </c>
      <c r="B377" s="9" t="s">
        <v>73</v>
      </c>
      <c r="C377" s="9" t="s">
        <v>74</v>
      </c>
      <c r="D377" s="10"/>
      <c r="E377" s="11"/>
      <c r="F377" s="10"/>
      <c r="G377" s="11"/>
      <c r="H377" s="10"/>
      <c r="I377" s="11"/>
      <c r="J377" s="10"/>
      <c r="K377" s="11"/>
    </row>
    <row r="378">
      <c r="A378" s="8" t="s">
        <v>32</v>
      </c>
      <c r="B378" s="9" t="s">
        <v>73</v>
      </c>
      <c r="C378" s="9" t="s">
        <v>74</v>
      </c>
      <c r="D378" s="10"/>
      <c r="E378" s="11" t="str">
        <f>"－"</f>
        <v>－</v>
      </c>
      <c r="F378" s="10"/>
      <c r="G378" s="11" t="str">
        <f>"－"</f>
        <v>－</v>
      </c>
      <c r="H378" s="10"/>
      <c r="I378" s="11" t="str">
        <f>"－"</f>
        <v>－</v>
      </c>
      <c r="J378" s="10"/>
      <c r="K378" s="11" t="str">
        <f>"－"</f>
        <v>－</v>
      </c>
    </row>
    <row r="379">
      <c r="A379" s="8" t="s">
        <v>33</v>
      </c>
      <c r="B379" s="9" t="s">
        <v>73</v>
      </c>
      <c r="C379" s="9" t="s">
        <v>74</v>
      </c>
      <c r="D379" s="10"/>
      <c r="E379" s="11" t="str">
        <f>"－"</f>
        <v>－</v>
      </c>
      <c r="F379" s="10"/>
      <c r="G379" s="11" t="str">
        <f>"－"</f>
        <v>－</v>
      </c>
      <c r="H379" s="10"/>
      <c r="I379" s="11" t="str">
        <f>"－"</f>
        <v>－</v>
      </c>
      <c r="J379" s="10"/>
      <c r="K379" s="11" t="str">
        <f>"－"</f>
        <v>－</v>
      </c>
    </row>
    <row r="380">
      <c r="A380" s="8" t="s">
        <v>34</v>
      </c>
      <c r="B380" s="9" t="s">
        <v>73</v>
      </c>
      <c r="C380" s="9" t="s">
        <v>74</v>
      </c>
      <c r="D380" s="10"/>
      <c r="E380" s="11" t="str">
        <f>"－"</f>
        <v>－</v>
      </c>
      <c r="F380" s="10"/>
      <c r="G380" s="11" t="str">
        <f>"－"</f>
        <v>－</v>
      </c>
      <c r="H380" s="10"/>
      <c r="I380" s="11" t="str">
        <f>"－"</f>
        <v>－</v>
      </c>
      <c r="J380" s="10"/>
      <c r="K380" s="11" t="str">
        <f>"－"</f>
        <v>－</v>
      </c>
    </row>
    <row r="381">
      <c r="A381" s="8" t="s">
        <v>35</v>
      </c>
      <c r="B381" s="9" t="s">
        <v>73</v>
      </c>
      <c r="C381" s="9" t="s">
        <v>74</v>
      </c>
      <c r="D381" s="10"/>
      <c r="E381" s="11" t="str">
        <f>"－"</f>
        <v>－</v>
      </c>
      <c r="F381" s="10"/>
      <c r="G381" s="11" t="str">
        <f>"－"</f>
        <v>－</v>
      </c>
      <c r="H381" s="10"/>
      <c r="I381" s="11" t="str">
        <f>"－"</f>
        <v>－</v>
      </c>
      <c r="J381" s="10"/>
      <c r="K381" s="11" t="str">
        <f>"－"</f>
        <v>－</v>
      </c>
    </row>
    <row r="382">
      <c r="A382" s="8" t="s">
        <v>36</v>
      </c>
      <c r="B382" s="9" t="s">
        <v>73</v>
      </c>
      <c r="C382" s="9" t="s">
        <v>74</v>
      </c>
      <c r="D382" s="10"/>
      <c r="E382" s="11" t="str">
        <f>"－"</f>
        <v>－</v>
      </c>
      <c r="F382" s="10"/>
      <c r="G382" s="11" t="str">
        <f>"－"</f>
        <v>－</v>
      </c>
      <c r="H382" s="10"/>
      <c r="I382" s="11" t="str">
        <f>"－"</f>
        <v>－</v>
      </c>
      <c r="J382" s="10"/>
      <c r="K382" s="11" t="str">
        <f>"－"</f>
        <v>－</v>
      </c>
    </row>
    <row r="383">
      <c r="A383" s="8" t="s">
        <v>37</v>
      </c>
      <c r="B383" s="9" t="s">
        <v>73</v>
      </c>
      <c r="C383" s="9" t="s">
        <v>74</v>
      </c>
      <c r="D383" s="10"/>
      <c r="E383" s="11"/>
      <c r="F383" s="10"/>
      <c r="G383" s="11"/>
      <c r="H383" s="10"/>
      <c r="I383" s="11"/>
      <c r="J383" s="10"/>
      <c r="K383" s="11"/>
    </row>
    <row r="384">
      <c r="A384" s="8" t="s">
        <v>38</v>
      </c>
      <c r="B384" s="9" t="s">
        <v>73</v>
      </c>
      <c r="C384" s="9" t="s">
        <v>74</v>
      </c>
      <c r="D384" s="10"/>
      <c r="E384" s="11"/>
      <c r="F384" s="10"/>
      <c r="G384" s="11"/>
      <c r="H384" s="10"/>
      <c r="I384" s="11"/>
      <c r="J384" s="10"/>
      <c r="K384" s="11"/>
    </row>
    <row r="385">
      <c r="A385" s="8" t="s">
        <v>39</v>
      </c>
      <c r="B385" s="9" t="s">
        <v>73</v>
      </c>
      <c r="C385" s="9" t="s">
        <v>74</v>
      </c>
      <c r="D385" s="10"/>
      <c r="E385" s="11" t="str">
        <f>"－"</f>
        <v>－</v>
      </c>
      <c r="F385" s="10"/>
      <c r="G385" s="11" t="str">
        <f>"－"</f>
        <v>－</v>
      </c>
      <c r="H385" s="10"/>
      <c r="I385" s="11" t="str">
        <f>"－"</f>
        <v>－</v>
      </c>
      <c r="J385" s="10"/>
      <c r="K385" s="11" t="str">
        <f>"－"</f>
        <v>－</v>
      </c>
    </row>
    <row r="386">
      <c r="A386" s="8" t="s">
        <v>40</v>
      </c>
      <c r="B386" s="9" t="s">
        <v>73</v>
      </c>
      <c r="C386" s="9" t="s">
        <v>74</v>
      </c>
      <c r="D386" s="10"/>
      <c r="E386" s="11" t="str">
        <f>"－"</f>
        <v>－</v>
      </c>
      <c r="F386" s="10"/>
      <c r="G386" s="11" t="str">
        <f>"－"</f>
        <v>－</v>
      </c>
      <c r="H386" s="10"/>
      <c r="I386" s="11" t="str">
        <f>"－"</f>
        <v>－</v>
      </c>
      <c r="J386" s="10"/>
      <c r="K386" s="11" t="str">
        <f>"－"</f>
        <v>－</v>
      </c>
    </row>
    <row r="387">
      <c r="A387" s="8" t="s">
        <v>42</v>
      </c>
      <c r="B387" s="9" t="s">
        <v>73</v>
      </c>
      <c r="C387" s="9" t="s">
        <v>74</v>
      </c>
      <c r="D387" s="10"/>
      <c r="E387" s="11" t="str">
        <f>"－"</f>
        <v>－</v>
      </c>
      <c r="F387" s="10"/>
      <c r="G387" s="11" t="str">
        <f>"－"</f>
        <v>－</v>
      </c>
      <c r="H387" s="10"/>
      <c r="I387" s="11" t="str">
        <f>"－"</f>
        <v>－</v>
      </c>
      <c r="J387" s="10"/>
      <c r="K387" s="11" t="str">
        <f>"－"</f>
        <v>－</v>
      </c>
    </row>
    <row r="388">
      <c r="A388" s="8" t="s">
        <v>43</v>
      </c>
      <c r="B388" s="9" t="s">
        <v>73</v>
      </c>
      <c r="C388" s="9" t="s">
        <v>74</v>
      </c>
      <c r="D388" s="10"/>
      <c r="E388" s="11" t="str">
        <f>"－"</f>
        <v>－</v>
      </c>
      <c r="F388" s="10"/>
      <c r="G388" s="11" t="str">
        <f>"－"</f>
        <v>－</v>
      </c>
      <c r="H388" s="10"/>
      <c r="I388" s="11" t="str">
        <f>"－"</f>
        <v>－</v>
      </c>
      <c r="J388" s="10"/>
      <c r="K388" s="11" t="str">
        <f>"－"</f>
        <v>－</v>
      </c>
    </row>
    <row r="389">
      <c r="A389" s="8" t="s">
        <v>44</v>
      </c>
      <c r="B389" s="9" t="s">
        <v>73</v>
      </c>
      <c r="C389" s="9" t="s">
        <v>74</v>
      </c>
      <c r="D389" s="10"/>
      <c r="E389" s="11" t="str">
        <f>"－"</f>
        <v>－</v>
      </c>
      <c r="F389" s="10"/>
      <c r="G389" s="11" t="str">
        <f>"－"</f>
        <v>－</v>
      </c>
      <c r="H389" s="10"/>
      <c r="I389" s="11" t="str">
        <f>"－"</f>
        <v>－</v>
      </c>
      <c r="J389" s="10"/>
      <c r="K389" s="11" t="str">
        <f>"－"</f>
        <v>－</v>
      </c>
    </row>
    <row r="390">
      <c r="A390" s="8" t="s">
        <v>45</v>
      </c>
      <c r="B390" s="9" t="s">
        <v>73</v>
      </c>
      <c r="C390" s="9" t="s">
        <v>74</v>
      </c>
      <c r="D390" s="10"/>
      <c r="E390" s="11"/>
      <c r="F390" s="10"/>
      <c r="G390" s="11"/>
      <c r="H390" s="10"/>
      <c r="I390" s="11"/>
      <c r="J390" s="10"/>
      <c r="K390" s="11"/>
    </row>
    <row r="391">
      <c r="A391" s="8" t="s">
        <v>46</v>
      </c>
      <c r="B391" s="9" t="s">
        <v>73</v>
      </c>
      <c r="C391" s="9" t="s">
        <v>74</v>
      </c>
      <c r="D391" s="10"/>
      <c r="E391" s="11"/>
      <c r="F391" s="10"/>
      <c r="G391" s="11"/>
      <c r="H391" s="10"/>
      <c r="I391" s="11"/>
      <c r="J391" s="10"/>
      <c r="K391" s="11"/>
    </row>
    <row r="392">
      <c r="A392" s="8" t="s">
        <v>47</v>
      </c>
      <c r="B392" s="9" t="s">
        <v>73</v>
      </c>
      <c r="C392" s="9" t="s">
        <v>74</v>
      </c>
      <c r="D392" s="10"/>
      <c r="E392" s="11" t="str">
        <f>"－"</f>
        <v>－</v>
      </c>
      <c r="F392" s="10"/>
      <c r="G392" s="11" t="str">
        <f>"－"</f>
        <v>－</v>
      </c>
      <c r="H392" s="10"/>
      <c r="I392" s="11" t="str">
        <f>"－"</f>
        <v>－</v>
      </c>
      <c r="J392" s="10"/>
      <c r="K392" s="11" t="str">
        <f>"－"</f>
        <v>－</v>
      </c>
    </row>
    <row r="393">
      <c r="A393" s="8" t="s">
        <v>48</v>
      </c>
      <c r="B393" s="9" t="s">
        <v>73</v>
      </c>
      <c r="C393" s="9" t="s">
        <v>74</v>
      </c>
      <c r="D393" s="10"/>
      <c r="E393" s="11" t="str">
        <f>"－"</f>
        <v>－</v>
      </c>
      <c r="F393" s="10"/>
      <c r="G393" s="11" t="str">
        <f>"－"</f>
        <v>－</v>
      </c>
      <c r="H393" s="10"/>
      <c r="I393" s="11" t="str">
        <f>"－"</f>
        <v>－</v>
      </c>
      <c r="J393" s="10"/>
      <c r="K393" s="11" t="str">
        <f>"－"</f>
        <v>－</v>
      </c>
    </row>
    <row r="394">
      <c r="A394" s="8" t="s">
        <v>49</v>
      </c>
      <c r="B394" s="9" t="s">
        <v>73</v>
      </c>
      <c r="C394" s="9" t="s">
        <v>74</v>
      </c>
      <c r="D394" s="10"/>
      <c r="E394" s="11" t="str">
        <f>"－"</f>
        <v>－</v>
      </c>
      <c r="F394" s="10"/>
      <c r="G394" s="11" t="str">
        <f>"－"</f>
        <v>－</v>
      </c>
      <c r="H394" s="10"/>
      <c r="I394" s="11" t="str">
        <f>"－"</f>
        <v>－</v>
      </c>
      <c r="J394" s="10"/>
      <c r="K394" s="11" t="str">
        <f>"－"</f>
        <v>－</v>
      </c>
    </row>
    <row r="395">
      <c r="A395" s="8" t="s">
        <v>50</v>
      </c>
      <c r="B395" s="9" t="s">
        <v>73</v>
      </c>
      <c r="C395" s="9" t="s">
        <v>74</v>
      </c>
      <c r="D395" s="10"/>
      <c r="E395" s="11" t="str">
        <f>"－"</f>
        <v>－</v>
      </c>
      <c r="F395" s="10"/>
      <c r="G395" s="11" t="str">
        <f>"－"</f>
        <v>－</v>
      </c>
      <c r="H395" s="10"/>
      <c r="I395" s="11" t="str">
        <f>"－"</f>
        <v>－</v>
      </c>
      <c r="J395" s="10"/>
      <c r="K395" s="11" t="str">
        <f>"－"</f>
        <v>－</v>
      </c>
    </row>
    <row r="396">
      <c r="A396" s="8" t="s">
        <v>16</v>
      </c>
      <c r="B396" s="9" t="s">
        <v>75</v>
      </c>
      <c r="C396" s="9" t="s">
        <v>76</v>
      </c>
      <c r="D396" s="10" t="s">
        <v>19</v>
      </c>
      <c r="E396" s="11" t="str">
        <f>"－"</f>
        <v>－</v>
      </c>
      <c r="F396" s="10" t="s">
        <v>19</v>
      </c>
      <c r="G396" s="11" t="str">
        <f>"－"</f>
        <v>－</v>
      </c>
      <c r="H396" s="10" t="s">
        <v>19</v>
      </c>
      <c r="I396" s="11" t="str">
        <f>"－"</f>
        <v>－</v>
      </c>
      <c r="J396" s="10" t="s">
        <v>19</v>
      </c>
      <c r="K396" s="11" t="str">
        <f>"－"</f>
        <v>－</v>
      </c>
    </row>
    <row r="397">
      <c r="A397" s="8" t="s">
        <v>21</v>
      </c>
      <c r="B397" s="9" t="s">
        <v>75</v>
      </c>
      <c r="C397" s="9" t="s">
        <v>76</v>
      </c>
      <c r="D397" s="10"/>
      <c r="E397" s="11" t="str">
        <f>"－"</f>
        <v>－</v>
      </c>
      <c r="F397" s="10"/>
      <c r="G397" s="11" t="str">
        <f>"－"</f>
        <v>－</v>
      </c>
      <c r="H397" s="10"/>
      <c r="I397" s="11" t="str">
        <f>"－"</f>
        <v>－</v>
      </c>
      <c r="J397" s="10"/>
      <c r="K397" s="11" t="str">
        <f>"－"</f>
        <v>－</v>
      </c>
    </row>
    <row r="398">
      <c r="A398" s="8" t="s">
        <v>22</v>
      </c>
      <c r="B398" s="9" t="s">
        <v>75</v>
      </c>
      <c r="C398" s="9" t="s">
        <v>76</v>
      </c>
      <c r="D398" s="10"/>
      <c r="E398" s="11" t="str">
        <f>"－"</f>
        <v>－</v>
      </c>
      <c r="F398" s="10"/>
      <c r="G398" s="11" t="str">
        <f>"－"</f>
        <v>－</v>
      </c>
      <c r="H398" s="10"/>
      <c r="I398" s="11" t="str">
        <f>"－"</f>
        <v>－</v>
      </c>
      <c r="J398" s="10"/>
      <c r="K398" s="11" t="str">
        <f>"－"</f>
        <v>－</v>
      </c>
    </row>
    <row r="399">
      <c r="A399" s="8" t="s">
        <v>23</v>
      </c>
      <c r="B399" s="9" t="s">
        <v>75</v>
      </c>
      <c r="C399" s="9" t="s">
        <v>76</v>
      </c>
      <c r="D399" s="10"/>
      <c r="E399" s="11"/>
      <c r="F399" s="10"/>
      <c r="G399" s="11"/>
      <c r="H399" s="10"/>
      <c r="I399" s="11"/>
      <c r="J399" s="10"/>
      <c r="K399" s="11"/>
    </row>
    <row r="400">
      <c r="A400" s="8" t="s">
        <v>24</v>
      </c>
      <c r="B400" s="9" t="s">
        <v>75</v>
      </c>
      <c r="C400" s="9" t="s">
        <v>76</v>
      </c>
      <c r="D400" s="10"/>
      <c r="E400" s="11"/>
      <c r="F400" s="10"/>
      <c r="G400" s="11"/>
      <c r="H400" s="10"/>
      <c r="I400" s="11"/>
      <c r="J400" s="10"/>
      <c r="K400" s="11"/>
    </row>
    <row r="401">
      <c r="A401" s="8" t="s">
        <v>25</v>
      </c>
      <c r="B401" s="9" t="s">
        <v>75</v>
      </c>
      <c r="C401" s="9" t="s">
        <v>76</v>
      </c>
      <c r="D401" s="10"/>
      <c r="E401" s="11" t="str">
        <f>"－"</f>
        <v>－</v>
      </c>
      <c r="F401" s="10"/>
      <c r="G401" s="11" t="str">
        <f>"－"</f>
        <v>－</v>
      </c>
      <c r="H401" s="10"/>
      <c r="I401" s="11" t="str">
        <f>"－"</f>
        <v>－</v>
      </c>
      <c r="J401" s="10"/>
      <c r="K401" s="11" t="str">
        <f>"－"</f>
        <v>－</v>
      </c>
    </row>
    <row r="402">
      <c r="A402" s="8" t="s">
        <v>26</v>
      </c>
      <c r="B402" s="9" t="s">
        <v>75</v>
      </c>
      <c r="C402" s="9" t="s">
        <v>76</v>
      </c>
      <c r="D402" s="10"/>
      <c r="E402" s="11" t="str">
        <f>"－"</f>
        <v>－</v>
      </c>
      <c r="F402" s="10"/>
      <c r="G402" s="11" t="str">
        <f>"－"</f>
        <v>－</v>
      </c>
      <c r="H402" s="10"/>
      <c r="I402" s="11" t="str">
        <f>"－"</f>
        <v>－</v>
      </c>
      <c r="J402" s="10"/>
      <c r="K402" s="11" t="str">
        <f>"－"</f>
        <v>－</v>
      </c>
    </row>
    <row r="403">
      <c r="A403" s="8" t="s">
        <v>27</v>
      </c>
      <c r="B403" s="9" t="s">
        <v>75</v>
      </c>
      <c r="C403" s="9" t="s">
        <v>76</v>
      </c>
      <c r="D403" s="10"/>
      <c r="E403" s="11" t="str">
        <f>"－"</f>
        <v>－</v>
      </c>
      <c r="F403" s="10"/>
      <c r="G403" s="11" t="str">
        <f>"－"</f>
        <v>－</v>
      </c>
      <c r="H403" s="10"/>
      <c r="I403" s="11" t="str">
        <f>"－"</f>
        <v>－</v>
      </c>
      <c r="J403" s="10"/>
      <c r="K403" s="11" t="str">
        <f>"－"</f>
        <v>－</v>
      </c>
    </row>
    <row r="404">
      <c r="A404" s="8" t="s">
        <v>28</v>
      </c>
      <c r="B404" s="9" t="s">
        <v>75</v>
      </c>
      <c r="C404" s="9" t="s">
        <v>76</v>
      </c>
      <c r="D404" s="10"/>
      <c r="E404" s="11" t="str">
        <f>"－"</f>
        <v>－</v>
      </c>
      <c r="F404" s="10"/>
      <c r="G404" s="11" t="str">
        <f>"－"</f>
        <v>－</v>
      </c>
      <c r="H404" s="10"/>
      <c r="I404" s="11" t="str">
        <f>"－"</f>
        <v>－</v>
      </c>
      <c r="J404" s="10"/>
      <c r="K404" s="11" t="str">
        <f>"－"</f>
        <v>－</v>
      </c>
    </row>
    <row r="405">
      <c r="A405" s="8" t="s">
        <v>29</v>
      </c>
      <c r="B405" s="9" t="s">
        <v>75</v>
      </c>
      <c r="C405" s="9" t="s">
        <v>76</v>
      </c>
      <c r="D405" s="10"/>
      <c r="E405" s="11" t="str">
        <f>"－"</f>
        <v>－</v>
      </c>
      <c r="F405" s="10"/>
      <c r="G405" s="11" t="str">
        <f>"－"</f>
        <v>－</v>
      </c>
      <c r="H405" s="10"/>
      <c r="I405" s="11" t="str">
        <f>"－"</f>
        <v>－</v>
      </c>
      <c r="J405" s="10"/>
      <c r="K405" s="11" t="str">
        <f>"－"</f>
        <v>－</v>
      </c>
    </row>
    <row r="406">
      <c r="A406" s="8" t="s">
        <v>30</v>
      </c>
      <c r="B406" s="9" t="s">
        <v>75</v>
      </c>
      <c r="C406" s="9" t="s">
        <v>76</v>
      </c>
      <c r="D406" s="10"/>
      <c r="E406" s="11"/>
      <c r="F406" s="10"/>
      <c r="G406" s="11"/>
      <c r="H406" s="10"/>
      <c r="I406" s="11"/>
      <c r="J406" s="10"/>
      <c r="K406" s="11"/>
    </row>
    <row r="407">
      <c r="A407" s="8" t="s">
        <v>31</v>
      </c>
      <c r="B407" s="9" t="s">
        <v>75</v>
      </c>
      <c r="C407" s="9" t="s">
        <v>76</v>
      </c>
      <c r="D407" s="10"/>
      <c r="E407" s="11"/>
      <c r="F407" s="10"/>
      <c r="G407" s="11"/>
      <c r="H407" s="10"/>
      <c r="I407" s="11"/>
      <c r="J407" s="10"/>
      <c r="K407" s="11"/>
    </row>
    <row r="408">
      <c r="A408" s="8" t="s">
        <v>32</v>
      </c>
      <c r="B408" s="9" t="s">
        <v>75</v>
      </c>
      <c r="C408" s="9" t="s">
        <v>76</v>
      </c>
      <c r="D408" s="10"/>
      <c r="E408" s="11" t="str">
        <f>"－"</f>
        <v>－</v>
      </c>
      <c r="F408" s="10"/>
      <c r="G408" s="11" t="str">
        <f>"－"</f>
        <v>－</v>
      </c>
      <c r="H408" s="10"/>
      <c r="I408" s="11" t="str">
        <f>"－"</f>
        <v>－</v>
      </c>
      <c r="J408" s="10"/>
      <c r="K408" s="11" t="str">
        <f>"－"</f>
        <v>－</v>
      </c>
    </row>
    <row r="409">
      <c r="A409" s="8" t="s">
        <v>33</v>
      </c>
      <c r="B409" s="9" t="s">
        <v>75</v>
      </c>
      <c r="C409" s="9" t="s">
        <v>76</v>
      </c>
      <c r="D409" s="10"/>
      <c r="E409" s="11" t="str">
        <f>"－"</f>
        <v>－</v>
      </c>
      <c r="F409" s="10"/>
      <c r="G409" s="11" t="str">
        <f>"－"</f>
        <v>－</v>
      </c>
      <c r="H409" s="10"/>
      <c r="I409" s="11" t="str">
        <f>"－"</f>
        <v>－</v>
      </c>
      <c r="J409" s="10"/>
      <c r="K409" s="11" t="str">
        <f>"－"</f>
        <v>－</v>
      </c>
    </row>
    <row r="410">
      <c r="A410" s="8" t="s">
        <v>34</v>
      </c>
      <c r="B410" s="9" t="s">
        <v>75</v>
      </c>
      <c r="C410" s="9" t="s">
        <v>76</v>
      </c>
      <c r="D410" s="10"/>
      <c r="E410" s="11" t="str">
        <f>"－"</f>
        <v>－</v>
      </c>
      <c r="F410" s="10"/>
      <c r="G410" s="11" t="str">
        <f>"－"</f>
        <v>－</v>
      </c>
      <c r="H410" s="10"/>
      <c r="I410" s="11" t="str">
        <f>"－"</f>
        <v>－</v>
      </c>
      <c r="J410" s="10"/>
      <c r="K410" s="11" t="str">
        <f>"－"</f>
        <v>－</v>
      </c>
    </row>
    <row r="411">
      <c r="A411" s="8" t="s">
        <v>35</v>
      </c>
      <c r="B411" s="9" t="s">
        <v>75</v>
      </c>
      <c r="C411" s="9" t="s">
        <v>76</v>
      </c>
      <c r="D411" s="10"/>
      <c r="E411" s="11" t="str">
        <f>"－"</f>
        <v>－</v>
      </c>
      <c r="F411" s="10"/>
      <c r="G411" s="11" t="str">
        <f>"－"</f>
        <v>－</v>
      </c>
      <c r="H411" s="10"/>
      <c r="I411" s="11" t="str">
        <f>"－"</f>
        <v>－</v>
      </c>
      <c r="J411" s="10"/>
      <c r="K411" s="11" t="str">
        <f>"－"</f>
        <v>－</v>
      </c>
    </row>
    <row r="412">
      <c r="A412" s="8" t="s">
        <v>36</v>
      </c>
      <c r="B412" s="9" t="s">
        <v>75</v>
      </c>
      <c r="C412" s="9" t="s">
        <v>76</v>
      </c>
      <c r="D412" s="10"/>
      <c r="E412" s="11" t="str">
        <f>"－"</f>
        <v>－</v>
      </c>
      <c r="F412" s="10"/>
      <c r="G412" s="11" t="str">
        <f>"－"</f>
        <v>－</v>
      </c>
      <c r="H412" s="10"/>
      <c r="I412" s="11" t="str">
        <f>"－"</f>
        <v>－</v>
      </c>
      <c r="J412" s="10"/>
      <c r="K412" s="11" t="str">
        <f>"－"</f>
        <v>－</v>
      </c>
    </row>
    <row r="413">
      <c r="A413" s="8" t="s">
        <v>37</v>
      </c>
      <c r="B413" s="9" t="s">
        <v>75</v>
      </c>
      <c r="C413" s="9" t="s">
        <v>76</v>
      </c>
      <c r="D413" s="10"/>
      <c r="E413" s="11"/>
      <c r="F413" s="10"/>
      <c r="G413" s="11"/>
      <c r="H413" s="10"/>
      <c r="I413" s="11"/>
      <c r="J413" s="10"/>
      <c r="K413" s="11"/>
    </row>
    <row r="414">
      <c r="A414" s="8" t="s">
        <v>38</v>
      </c>
      <c r="B414" s="9" t="s">
        <v>75</v>
      </c>
      <c r="C414" s="9" t="s">
        <v>76</v>
      </c>
      <c r="D414" s="10"/>
      <c r="E414" s="11"/>
      <c r="F414" s="10"/>
      <c r="G414" s="11"/>
      <c r="H414" s="10"/>
      <c r="I414" s="11"/>
      <c r="J414" s="10"/>
      <c r="K414" s="11"/>
    </row>
    <row r="415">
      <c r="A415" s="8" t="s">
        <v>39</v>
      </c>
      <c r="B415" s="9" t="s">
        <v>75</v>
      </c>
      <c r="C415" s="9" t="s">
        <v>76</v>
      </c>
      <c r="D415" s="10"/>
      <c r="E415" s="11" t="str">
        <f>"－"</f>
        <v>－</v>
      </c>
      <c r="F415" s="10"/>
      <c r="G415" s="11" t="str">
        <f>"－"</f>
        <v>－</v>
      </c>
      <c r="H415" s="10"/>
      <c r="I415" s="11" t="str">
        <f>"－"</f>
        <v>－</v>
      </c>
      <c r="J415" s="10"/>
      <c r="K415" s="11" t="str">
        <f>"－"</f>
        <v>－</v>
      </c>
    </row>
    <row r="416">
      <c r="A416" s="8" t="s">
        <v>40</v>
      </c>
      <c r="B416" s="9" t="s">
        <v>75</v>
      </c>
      <c r="C416" s="9" t="s">
        <v>76</v>
      </c>
      <c r="D416" s="10"/>
      <c r="E416" s="11" t="str">
        <f>"－"</f>
        <v>－</v>
      </c>
      <c r="F416" s="10"/>
      <c r="G416" s="11" t="str">
        <f>"－"</f>
        <v>－</v>
      </c>
      <c r="H416" s="10"/>
      <c r="I416" s="11" t="str">
        <f>"－"</f>
        <v>－</v>
      </c>
      <c r="J416" s="10"/>
      <c r="K416" s="11" t="str">
        <f>"－"</f>
        <v>－</v>
      </c>
    </row>
    <row r="417">
      <c r="A417" s="8" t="s">
        <v>42</v>
      </c>
      <c r="B417" s="9" t="s">
        <v>75</v>
      </c>
      <c r="C417" s="9" t="s">
        <v>76</v>
      </c>
      <c r="D417" s="10"/>
      <c r="E417" s="11" t="str">
        <f>"－"</f>
        <v>－</v>
      </c>
      <c r="F417" s="10"/>
      <c r="G417" s="11" t="str">
        <f>"－"</f>
        <v>－</v>
      </c>
      <c r="H417" s="10"/>
      <c r="I417" s="11" t="str">
        <f>"－"</f>
        <v>－</v>
      </c>
      <c r="J417" s="10"/>
      <c r="K417" s="11" t="str">
        <f>"－"</f>
        <v>－</v>
      </c>
    </row>
    <row r="418">
      <c r="A418" s="8" t="s">
        <v>43</v>
      </c>
      <c r="B418" s="9" t="s">
        <v>75</v>
      </c>
      <c r="C418" s="9" t="s">
        <v>76</v>
      </c>
      <c r="D418" s="10"/>
      <c r="E418" s="11" t="str">
        <f>"－"</f>
        <v>－</v>
      </c>
      <c r="F418" s="10"/>
      <c r="G418" s="11" t="str">
        <f>"－"</f>
        <v>－</v>
      </c>
      <c r="H418" s="10"/>
      <c r="I418" s="11" t="str">
        <f>"－"</f>
        <v>－</v>
      </c>
      <c r="J418" s="10"/>
      <c r="K418" s="11" t="str">
        <f>"－"</f>
        <v>－</v>
      </c>
    </row>
    <row r="419">
      <c r="A419" s="8" t="s">
        <v>44</v>
      </c>
      <c r="B419" s="9" t="s">
        <v>75</v>
      </c>
      <c r="C419" s="9" t="s">
        <v>76</v>
      </c>
      <c r="D419" s="10"/>
      <c r="E419" s="11" t="str">
        <f>"－"</f>
        <v>－</v>
      </c>
      <c r="F419" s="10"/>
      <c r="G419" s="11" t="str">
        <f>"－"</f>
        <v>－</v>
      </c>
      <c r="H419" s="10"/>
      <c r="I419" s="11" t="str">
        <f>"－"</f>
        <v>－</v>
      </c>
      <c r="J419" s="10"/>
      <c r="K419" s="11" t="str">
        <f>"－"</f>
        <v>－</v>
      </c>
    </row>
    <row r="420">
      <c r="A420" s="8" t="s">
        <v>45</v>
      </c>
      <c r="B420" s="9" t="s">
        <v>75</v>
      </c>
      <c r="C420" s="9" t="s">
        <v>76</v>
      </c>
      <c r="D420" s="10"/>
      <c r="E420" s="11"/>
      <c r="F420" s="10"/>
      <c r="G420" s="11"/>
      <c r="H420" s="10"/>
      <c r="I420" s="11"/>
      <c r="J420" s="10"/>
      <c r="K420" s="11"/>
    </row>
    <row r="421">
      <c r="A421" s="8" t="s">
        <v>46</v>
      </c>
      <c r="B421" s="9" t="s">
        <v>75</v>
      </c>
      <c r="C421" s="9" t="s">
        <v>76</v>
      </c>
      <c r="D421" s="10"/>
      <c r="E421" s="11"/>
      <c r="F421" s="10"/>
      <c r="G421" s="11"/>
      <c r="H421" s="10"/>
      <c r="I421" s="11"/>
      <c r="J421" s="10"/>
      <c r="K421" s="11"/>
    </row>
    <row r="422">
      <c r="A422" s="8" t="s">
        <v>47</v>
      </c>
      <c r="B422" s="9" t="s">
        <v>75</v>
      </c>
      <c r="C422" s="9" t="s">
        <v>76</v>
      </c>
      <c r="D422" s="10"/>
      <c r="E422" s="11" t="str">
        <f>"－"</f>
        <v>－</v>
      </c>
      <c r="F422" s="10"/>
      <c r="G422" s="11" t="str">
        <f>"－"</f>
        <v>－</v>
      </c>
      <c r="H422" s="10"/>
      <c r="I422" s="11" t="str">
        <f>"－"</f>
        <v>－</v>
      </c>
      <c r="J422" s="10"/>
      <c r="K422" s="11" t="str">
        <f>"－"</f>
        <v>－</v>
      </c>
    </row>
    <row r="423">
      <c r="A423" s="8" t="s">
        <v>48</v>
      </c>
      <c r="B423" s="9" t="s">
        <v>75</v>
      </c>
      <c r="C423" s="9" t="s">
        <v>76</v>
      </c>
      <c r="D423" s="10"/>
      <c r="E423" s="11" t="str">
        <f>"－"</f>
        <v>－</v>
      </c>
      <c r="F423" s="10"/>
      <c r="G423" s="11" t="str">
        <f>"－"</f>
        <v>－</v>
      </c>
      <c r="H423" s="10"/>
      <c r="I423" s="11" t="str">
        <f>"－"</f>
        <v>－</v>
      </c>
      <c r="J423" s="10"/>
      <c r="K423" s="11" t="str">
        <f>"－"</f>
        <v>－</v>
      </c>
    </row>
    <row r="424">
      <c r="A424" s="8" t="s">
        <v>49</v>
      </c>
      <c r="B424" s="9" t="s">
        <v>75</v>
      </c>
      <c r="C424" s="9" t="s">
        <v>76</v>
      </c>
      <c r="D424" s="10"/>
      <c r="E424" s="11" t="str">
        <f>"－"</f>
        <v>－</v>
      </c>
      <c r="F424" s="10"/>
      <c r="G424" s="11" t="str">
        <f>"－"</f>
        <v>－</v>
      </c>
      <c r="H424" s="10"/>
      <c r="I424" s="11" t="str">
        <f>"－"</f>
        <v>－</v>
      </c>
      <c r="J424" s="10"/>
      <c r="K424" s="11" t="str">
        <f>"－"</f>
        <v>－</v>
      </c>
    </row>
    <row r="425">
      <c r="A425" s="8" t="s">
        <v>50</v>
      </c>
      <c r="B425" s="9" t="s">
        <v>75</v>
      </c>
      <c r="C425" s="9" t="s">
        <v>76</v>
      </c>
      <c r="D425" s="10"/>
      <c r="E425" s="11" t="str">
        <f>"－"</f>
        <v>－</v>
      </c>
      <c r="F425" s="10"/>
      <c r="G425" s="11" t="str">
        <f>"－"</f>
        <v>－</v>
      </c>
      <c r="H425" s="10"/>
      <c r="I425" s="11" t="str">
        <f>"－"</f>
        <v>－</v>
      </c>
      <c r="J425" s="10"/>
      <c r="K425" s="11" t="str">
        <f>"－"</f>
        <v>－</v>
      </c>
    </row>
    <row r="426">
      <c r="A426" s="8" t="s">
        <v>16</v>
      </c>
      <c r="B426" s="9" t="s">
        <v>77</v>
      </c>
      <c r="C426" s="9" t="s">
        <v>78</v>
      </c>
      <c r="D426" s="10"/>
      <c r="E426" s="11" t="n">
        <f>3</f>
        <v>3.0</v>
      </c>
      <c r="F426" s="10"/>
      <c r="G426" s="11" t="n">
        <f>11655000</f>
        <v>1.1655E7</v>
      </c>
      <c r="H426" s="10" t="s">
        <v>19</v>
      </c>
      <c r="I426" s="11" t="str">
        <f>"－"</f>
        <v>－</v>
      </c>
      <c r="J426" s="10"/>
      <c r="K426" s="11" t="n">
        <f>89</f>
        <v>89.0</v>
      </c>
    </row>
    <row r="427">
      <c r="A427" s="8" t="s">
        <v>21</v>
      </c>
      <c r="B427" s="9" t="s">
        <v>77</v>
      </c>
      <c r="C427" s="9" t="s">
        <v>78</v>
      </c>
      <c r="D427" s="10"/>
      <c r="E427" s="11" t="n">
        <f>3</f>
        <v>3.0</v>
      </c>
      <c r="F427" s="10"/>
      <c r="G427" s="11" t="n">
        <f>11730000</f>
        <v>1.173E7</v>
      </c>
      <c r="H427" s="10"/>
      <c r="I427" s="11" t="str">
        <f>"－"</f>
        <v>－</v>
      </c>
      <c r="J427" s="10"/>
      <c r="K427" s="11" t="n">
        <f>89</f>
        <v>89.0</v>
      </c>
    </row>
    <row r="428">
      <c r="A428" s="8" t="s">
        <v>22</v>
      </c>
      <c r="B428" s="9" t="s">
        <v>77</v>
      </c>
      <c r="C428" s="9" t="s">
        <v>78</v>
      </c>
      <c r="D428" s="10"/>
      <c r="E428" s="11" t="n">
        <f>13</f>
        <v>13.0</v>
      </c>
      <c r="F428" s="10"/>
      <c r="G428" s="11" t="n">
        <f>51390000</f>
        <v>5.139E7</v>
      </c>
      <c r="H428" s="10"/>
      <c r="I428" s="11" t="str">
        <f>"－"</f>
        <v>－</v>
      </c>
      <c r="J428" s="10"/>
      <c r="K428" s="11" t="n">
        <f>82</f>
        <v>82.0</v>
      </c>
    </row>
    <row r="429">
      <c r="A429" s="8" t="s">
        <v>23</v>
      </c>
      <c r="B429" s="9" t="s">
        <v>77</v>
      </c>
      <c r="C429" s="9" t="s">
        <v>78</v>
      </c>
      <c r="D429" s="10"/>
      <c r="E429" s="11"/>
      <c r="F429" s="10"/>
      <c r="G429" s="11"/>
      <c r="H429" s="10"/>
      <c r="I429" s="11"/>
      <c r="J429" s="10"/>
      <c r="K429" s="11"/>
    </row>
    <row r="430">
      <c r="A430" s="8" t="s">
        <v>24</v>
      </c>
      <c r="B430" s="9" t="s">
        <v>77</v>
      </c>
      <c r="C430" s="9" t="s">
        <v>78</v>
      </c>
      <c r="D430" s="10"/>
      <c r="E430" s="11"/>
      <c r="F430" s="10"/>
      <c r="G430" s="11"/>
      <c r="H430" s="10"/>
      <c r="I430" s="11"/>
      <c r="J430" s="10"/>
      <c r="K430" s="11"/>
    </row>
    <row r="431">
      <c r="A431" s="8" t="s">
        <v>25</v>
      </c>
      <c r="B431" s="9" t="s">
        <v>77</v>
      </c>
      <c r="C431" s="9" t="s">
        <v>78</v>
      </c>
      <c r="D431" s="10"/>
      <c r="E431" s="11" t="n">
        <f>4</f>
        <v>4.0</v>
      </c>
      <c r="F431" s="10"/>
      <c r="G431" s="11" t="n">
        <f>16493000</f>
        <v>1.6493E7</v>
      </c>
      <c r="H431" s="10"/>
      <c r="I431" s="11" t="str">
        <f>"－"</f>
        <v>－</v>
      </c>
      <c r="J431" s="10"/>
      <c r="K431" s="11" t="n">
        <f>83</f>
        <v>83.0</v>
      </c>
    </row>
    <row r="432">
      <c r="A432" s="8" t="s">
        <v>26</v>
      </c>
      <c r="B432" s="9" t="s">
        <v>77</v>
      </c>
      <c r="C432" s="9" t="s">
        <v>78</v>
      </c>
      <c r="D432" s="10"/>
      <c r="E432" s="11" t="n">
        <f>1</f>
        <v>1.0</v>
      </c>
      <c r="F432" s="10"/>
      <c r="G432" s="11" t="n">
        <f>4050000</f>
        <v>4050000.0</v>
      </c>
      <c r="H432" s="10"/>
      <c r="I432" s="11" t="str">
        <f>"－"</f>
        <v>－</v>
      </c>
      <c r="J432" s="10"/>
      <c r="K432" s="11" t="n">
        <f>83</f>
        <v>83.0</v>
      </c>
    </row>
    <row r="433">
      <c r="A433" s="8" t="s">
        <v>27</v>
      </c>
      <c r="B433" s="9" t="s">
        <v>77</v>
      </c>
      <c r="C433" s="9" t="s">
        <v>78</v>
      </c>
      <c r="D433" s="10"/>
      <c r="E433" s="11" t="n">
        <f>4</f>
        <v>4.0</v>
      </c>
      <c r="F433" s="10"/>
      <c r="G433" s="11" t="n">
        <f>16670000</f>
        <v>1.667E7</v>
      </c>
      <c r="H433" s="10"/>
      <c r="I433" s="11" t="str">
        <f>"－"</f>
        <v>－</v>
      </c>
      <c r="J433" s="10"/>
      <c r="K433" s="11" t="n">
        <f>81</f>
        <v>81.0</v>
      </c>
    </row>
    <row r="434">
      <c r="A434" s="8" t="s">
        <v>28</v>
      </c>
      <c r="B434" s="9" t="s">
        <v>77</v>
      </c>
      <c r="C434" s="9" t="s">
        <v>78</v>
      </c>
      <c r="D434" s="10"/>
      <c r="E434" s="11" t="n">
        <f>7</f>
        <v>7.0</v>
      </c>
      <c r="F434" s="10"/>
      <c r="G434" s="11" t="n">
        <f>29921000</f>
        <v>2.9921E7</v>
      </c>
      <c r="H434" s="10"/>
      <c r="I434" s="11" t="str">
        <f>"－"</f>
        <v>－</v>
      </c>
      <c r="J434" s="10"/>
      <c r="K434" s="11" t="n">
        <f>81</f>
        <v>81.0</v>
      </c>
    </row>
    <row r="435">
      <c r="A435" s="8" t="s">
        <v>29</v>
      </c>
      <c r="B435" s="9" t="s">
        <v>77</v>
      </c>
      <c r="C435" s="9" t="s">
        <v>78</v>
      </c>
      <c r="D435" s="10"/>
      <c r="E435" s="11" t="n">
        <f>7</f>
        <v>7.0</v>
      </c>
      <c r="F435" s="10"/>
      <c r="G435" s="11" t="n">
        <f>30840000</f>
        <v>3.084E7</v>
      </c>
      <c r="H435" s="10"/>
      <c r="I435" s="11" t="str">
        <f>"－"</f>
        <v>－</v>
      </c>
      <c r="J435" s="10"/>
      <c r="K435" s="11" t="n">
        <f>88</f>
        <v>88.0</v>
      </c>
    </row>
    <row r="436">
      <c r="A436" s="8" t="s">
        <v>30</v>
      </c>
      <c r="B436" s="9" t="s">
        <v>77</v>
      </c>
      <c r="C436" s="9" t="s">
        <v>78</v>
      </c>
      <c r="D436" s="10"/>
      <c r="E436" s="11"/>
      <c r="F436" s="10"/>
      <c r="G436" s="11"/>
      <c r="H436" s="10"/>
      <c r="I436" s="11"/>
      <c r="J436" s="10"/>
      <c r="K436" s="11"/>
    </row>
    <row r="437">
      <c r="A437" s="8" t="s">
        <v>31</v>
      </c>
      <c r="B437" s="9" t="s">
        <v>77</v>
      </c>
      <c r="C437" s="9" t="s">
        <v>78</v>
      </c>
      <c r="D437" s="10"/>
      <c r="E437" s="11"/>
      <c r="F437" s="10"/>
      <c r="G437" s="11"/>
      <c r="H437" s="10"/>
      <c r="I437" s="11"/>
      <c r="J437" s="10"/>
      <c r="K437" s="11"/>
    </row>
    <row r="438">
      <c r="A438" s="8" t="s">
        <v>32</v>
      </c>
      <c r="B438" s="9" t="s">
        <v>77</v>
      </c>
      <c r="C438" s="9" t="s">
        <v>78</v>
      </c>
      <c r="D438" s="10"/>
      <c r="E438" s="11" t="n">
        <f>1</f>
        <v>1.0</v>
      </c>
      <c r="F438" s="10"/>
      <c r="G438" s="11" t="n">
        <f>4440000</f>
        <v>4440000.0</v>
      </c>
      <c r="H438" s="10"/>
      <c r="I438" s="11" t="str">
        <f>"－"</f>
        <v>－</v>
      </c>
      <c r="J438" s="10"/>
      <c r="K438" s="11" t="n">
        <f>88</f>
        <v>88.0</v>
      </c>
    </row>
    <row r="439">
      <c r="A439" s="8" t="s">
        <v>33</v>
      </c>
      <c r="B439" s="9" t="s">
        <v>77</v>
      </c>
      <c r="C439" s="9" t="s">
        <v>78</v>
      </c>
      <c r="D439" s="10"/>
      <c r="E439" s="11" t="n">
        <f>7</f>
        <v>7.0</v>
      </c>
      <c r="F439" s="10"/>
      <c r="G439" s="11" t="n">
        <f>29830000</f>
        <v>2.983E7</v>
      </c>
      <c r="H439" s="10"/>
      <c r="I439" s="11" t="str">
        <f>"－"</f>
        <v>－</v>
      </c>
      <c r="J439" s="10"/>
      <c r="K439" s="11" t="n">
        <f>87</f>
        <v>87.0</v>
      </c>
    </row>
    <row r="440">
      <c r="A440" s="8" t="s">
        <v>34</v>
      </c>
      <c r="B440" s="9" t="s">
        <v>77</v>
      </c>
      <c r="C440" s="9" t="s">
        <v>78</v>
      </c>
      <c r="D440" s="10"/>
      <c r="E440" s="11" t="n">
        <f>1</f>
        <v>1.0</v>
      </c>
      <c r="F440" s="10"/>
      <c r="G440" s="11" t="n">
        <f>4257000</f>
        <v>4257000.0</v>
      </c>
      <c r="H440" s="10"/>
      <c r="I440" s="11" t="str">
        <f>"－"</f>
        <v>－</v>
      </c>
      <c r="J440" s="10"/>
      <c r="K440" s="11" t="n">
        <f>88</f>
        <v>88.0</v>
      </c>
    </row>
    <row r="441">
      <c r="A441" s="8" t="s">
        <v>35</v>
      </c>
      <c r="B441" s="9" t="s">
        <v>77</v>
      </c>
      <c r="C441" s="9" t="s">
        <v>78</v>
      </c>
      <c r="D441" s="10"/>
      <c r="E441" s="11" t="n">
        <f>10</f>
        <v>10.0</v>
      </c>
      <c r="F441" s="10"/>
      <c r="G441" s="11" t="n">
        <f>43400000</f>
        <v>4.34E7</v>
      </c>
      <c r="H441" s="10"/>
      <c r="I441" s="11" t="str">
        <f>"－"</f>
        <v>－</v>
      </c>
      <c r="J441" s="10"/>
      <c r="K441" s="11" t="n">
        <f>88</f>
        <v>88.0</v>
      </c>
    </row>
    <row r="442">
      <c r="A442" s="8" t="s">
        <v>36</v>
      </c>
      <c r="B442" s="9" t="s">
        <v>77</v>
      </c>
      <c r="C442" s="9" t="s">
        <v>78</v>
      </c>
      <c r="D442" s="10"/>
      <c r="E442" s="11" t="n">
        <f>1</f>
        <v>1.0</v>
      </c>
      <c r="F442" s="10"/>
      <c r="G442" s="11" t="n">
        <f>4417500</f>
        <v>4417500.0</v>
      </c>
      <c r="H442" s="10"/>
      <c r="I442" s="11" t="str">
        <f>"－"</f>
        <v>－</v>
      </c>
      <c r="J442" s="10"/>
      <c r="K442" s="11" t="n">
        <f>88</f>
        <v>88.0</v>
      </c>
    </row>
    <row r="443">
      <c r="A443" s="8" t="s">
        <v>37</v>
      </c>
      <c r="B443" s="9" t="s">
        <v>77</v>
      </c>
      <c r="C443" s="9" t="s">
        <v>78</v>
      </c>
      <c r="D443" s="10"/>
      <c r="E443" s="11"/>
      <c r="F443" s="10"/>
      <c r="G443" s="11"/>
      <c r="H443" s="10"/>
      <c r="I443" s="11"/>
      <c r="J443" s="10"/>
      <c r="K443" s="11"/>
    </row>
    <row r="444">
      <c r="A444" s="8" t="s">
        <v>38</v>
      </c>
      <c r="B444" s="9" t="s">
        <v>77</v>
      </c>
      <c r="C444" s="9" t="s">
        <v>78</v>
      </c>
      <c r="D444" s="10"/>
      <c r="E444" s="11"/>
      <c r="F444" s="10"/>
      <c r="G444" s="11"/>
      <c r="H444" s="10"/>
      <c r="I444" s="11"/>
      <c r="J444" s="10"/>
      <c r="K444" s="11"/>
    </row>
    <row r="445">
      <c r="A445" s="8" t="s">
        <v>39</v>
      </c>
      <c r="B445" s="9" t="s">
        <v>77</v>
      </c>
      <c r="C445" s="9" t="s">
        <v>78</v>
      </c>
      <c r="D445" s="10"/>
      <c r="E445" s="11" t="n">
        <f>1</f>
        <v>1.0</v>
      </c>
      <c r="F445" s="10"/>
      <c r="G445" s="11" t="n">
        <f>4225000</f>
        <v>4225000.0</v>
      </c>
      <c r="H445" s="10"/>
      <c r="I445" s="11" t="str">
        <f>"－"</f>
        <v>－</v>
      </c>
      <c r="J445" s="10"/>
      <c r="K445" s="11" t="n">
        <f>89</f>
        <v>89.0</v>
      </c>
    </row>
    <row r="446">
      <c r="A446" s="8" t="s">
        <v>40</v>
      </c>
      <c r="B446" s="9" t="s">
        <v>77</v>
      </c>
      <c r="C446" s="9" t="s">
        <v>78</v>
      </c>
      <c r="D446" s="10" t="s">
        <v>41</v>
      </c>
      <c r="E446" s="11" t="str">
        <f>"－"</f>
        <v>－</v>
      </c>
      <c r="F446" s="10" t="s">
        <v>41</v>
      </c>
      <c r="G446" s="11" t="str">
        <f>"－"</f>
        <v>－</v>
      </c>
      <c r="H446" s="10"/>
      <c r="I446" s="11" t="str">
        <f>"－"</f>
        <v>－</v>
      </c>
      <c r="J446" s="10"/>
      <c r="K446" s="11" t="n">
        <f>89</f>
        <v>89.0</v>
      </c>
    </row>
    <row r="447">
      <c r="A447" s="8" t="s">
        <v>42</v>
      </c>
      <c r="B447" s="9" t="s">
        <v>77</v>
      </c>
      <c r="C447" s="9" t="s">
        <v>78</v>
      </c>
      <c r="D447" s="10"/>
      <c r="E447" s="11" t="str">
        <f>"－"</f>
        <v>－</v>
      </c>
      <c r="F447" s="10"/>
      <c r="G447" s="11" t="str">
        <f>"－"</f>
        <v>－</v>
      </c>
      <c r="H447" s="10"/>
      <c r="I447" s="11" t="str">
        <f>"－"</f>
        <v>－</v>
      </c>
      <c r="J447" s="10"/>
      <c r="K447" s="11" t="n">
        <f>89</f>
        <v>89.0</v>
      </c>
    </row>
    <row r="448">
      <c r="A448" s="8" t="s">
        <v>43</v>
      </c>
      <c r="B448" s="9" t="s">
        <v>77</v>
      </c>
      <c r="C448" s="9" t="s">
        <v>78</v>
      </c>
      <c r="D448" s="10"/>
      <c r="E448" s="11" t="n">
        <f>1</f>
        <v>1.0</v>
      </c>
      <c r="F448" s="10"/>
      <c r="G448" s="11" t="n">
        <f>4250000</f>
        <v>4250000.0</v>
      </c>
      <c r="H448" s="10"/>
      <c r="I448" s="11" t="str">
        <f>"－"</f>
        <v>－</v>
      </c>
      <c r="J448" s="10"/>
      <c r="K448" s="11" t="n">
        <f>88</f>
        <v>88.0</v>
      </c>
    </row>
    <row r="449">
      <c r="A449" s="8" t="s">
        <v>44</v>
      </c>
      <c r="B449" s="9" t="s">
        <v>77</v>
      </c>
      <c r="C449" s="9" t="s">
        <v>78</v>
      </c>
      <c r="D449" s="10" t="s">
        <v>20</v>
      </c>
      <c r="E449" s="11" t="n">
        <f>21</f>
        <v>21.0</v>
      </c>
      <c r="F449" s="10" t="s">
        <v>20</v>
      </c>
      <c r="G449" s="11" t="n">
        <f>89775000</f>
        <v>8.9775E7</v>
      </c>
      <c r="H449" s="10"/>
      <c r="I449" s="11" t="str">
        <f>"－"</f>
        <v>－</v>
      </c>
      <c r="J449" s="10" t="s">
        <v>20</v>
      </c>
      <c r="K449" s="11" t="n">
        <f>106</f>
        <v>106.0</v>
      </c>
    </row>
    <row r="450">
      <c r="A450" s="8" t="s">
        <v>45</v>
      </c>
      <c r="B450" s="9" t="s">
        <v>77</v>
      </c>
      <c r="C450" s="9" t="s">
        <v>78</v>
      </c>
      <c r="D450" s="10"/>
      <c r="E450" s="11"/>
      <c r="F450" s="10"/>
      <c r="G450" s="11"/>
      <c r="H450" s="10"/>
      <c r="I450" s="11"/>
      <c r="J450" s="10"/>
      <c r="K450" s="11"/>
    </row>
    <row r="451">
      <c r="A451" s="8" t="s">
        <v>46</v>
      </c>
      <c r="B451" s="9" t="s">
        <v>77</v>
      </c>
      <c r="C451" s="9" t="s">
        <v>78</v>
      </c>
      <c r="D451" s="10"/>
      <c r="E451" s="11"/>
      <c r="F451" s="10"/>
      <c r="G451" s="11"/>
      <c r="H451" s="10"/>
      <c r="I451" s="11"/>
      <c r="J451" s="10"/>
      <c r="K451" s="11"/>
    </row>
    <row r="452">
      <c r="A452" s="8" t="s">
        <v>47</v>
      </c>
      <c r="B452" s="9" t="s">
        <v>77</v>
      </c>
      <c r="C452" s="9" t="s">
        <v>78</v>
      </c>
      <c r="D452" s="10"/>
      <c r="E452" s="11" t="str">
        <f>"－"</f>
        <v>－</v>
      </c>
      <c r="F452" s="10"/>
      <c r="G452" s="11" t="str">
        <f>"－"</f>
        <v>－</v>
      </c>
      <c r="H452" s="10"/>
      <c r="I452" s="11" t="str">
        <f>"－"</f>
        <v>－</v>
      </c>
      <c r="J452" s="10" t="s">
        <v>41</v>
      </c>
      <c r="K452" s="11" t="n">
        <f>52</f>
        <v>52.0</v>
      </c>
    </row>
    <row r="453">
      <c r="A453" s="8" t="s">
        <v>48</v>
      </c>
      <c r="B453" s="9" t="s">
        <v>77</v>
      </c>
      <c r="C453" s="9" t="s">
        <v>78</v>
      </c>
      <c r="D453" s="10"/>
      <c r="E453" s="11" t="str">
        <f>"－"</f>
        <v>－</v>
      </c>
      <c r="F453" s="10"/>
      <c r="G453" s="11" t="str">
        <f>"－"</f>
        <v>－</v>
      </c>
      <c r="H453" s="10"/>
      <c r="I453" s="11" t="str">
        <f>"－"</f>
        <v>－</v>
      </c>
      <c r="J453" s="10"/>
      <c r="K453" s="11" t="n">
        <f>52</f>
        <v>52.0</v>
      </c>
    </row>
    <row r="454">
      <c r="A454" s="8" t="s">
        <v>49</v>
      </c>
      <c r="B454" s="9" t="s">
        <v>77</v>
      </c>
      <c r="C454" s="9" t="s">
        <v>78</v>
      </c>
      <c r="D454" s="10"/>
      <c r="E454" s="11" t="n">
        <f>1</f>
        <v>1.0</v>
      </c>
      <c r="F454" s="10"/>
      <c r="G454" s="11" t="n">
        <f>4600000</f>
        <v>4600000.0</v>
      </c>
      <c r="H454" s="10"/>
      <c r="I454" s="11" t="str">
        <f>"－"</f>
        <v>－</v>
      </c>
      <c r="J454" s="10"/>
      <c r="K454" s="11" t="n">
        <f>53</f>
        <v>53.0</v>
      </c>
    </row>
    <row r="455">
      <c r="A455" s="8" t="s">
        <v>50</v>
      </c>
      <c r="B455" s="9" t="s">
        <v>77</v>
      </c>
      <c r="C455" s="9" t="s">
        <v>78</v>
      </c>
      <c r="D455" s="10"/>
      <c r="E455" s="11" t="str">
        <f>"－"</f>
        <v>－</v>
      </c>
      <c r="F455" s="10"/>
      <c r="G455" s="11" t="str">
        <f>"－"</f>
        <v>－</v>
      </c>
      <c r="H455" s="10"/>
      <c r="I455" s="11" t="str">
        <f>"－"</f>
        <v>－</v>
      </c>
      <c r="J455" s="10"/>
      <c r="K455" s="11" t="n">
        <f>53</f>
        <v>53.0</v>
      </c>
    </row>
    <row r="456">
      <c r="A456" s="8" t="s">
        <v>16</v>
      </c>
      <c r="B456" s="9" t="s">
        <v>79</v>
      </c>
      <c r="C456" s="9" t="s">
        <v>80</v>
      </c>
      <c r="D456" s="10" t="s">
        <v>41</v>
      </c>
      <c r="E456" s="11" t="str">
        <f>"－"</f>
        <v>－</v>
      </c>
      <c r="F456" s="10" t="s">
        <v>41</v>
      </c>
      <c r="G456" s="11" t="str">
        <f>"－"</f>
        <v>－</v>
      </c>
      <c r="H456" s="10" t="s">
        <v>19</v>
      </c>
      <c r="I456" s="11" t="str">
        <f>"－"</f>
        <v>－</v>
      </c>
      <c r="J456" s="10"/>
      <c r="K456" s="11" t="n">
        <f>48</f>
        <v>48.0</v>
      </c>
    </row>
    <row r="457">
      <c r="A457" s="8" t="s">
        <v>21</v>
      </c>
      <c r="B457" s="9" t="s">
        <v>79</v>
      </c>
      <c r="C457" s="9" t="s">
        <v>80</v>
      </c>
      <c r="D457" s="10"/>
      <c r="E457" s="11" t="n">
        <f>6</f>
        <v>6.0</v>
      </c>
      <c r="F457" s="10"/>
      <c r="G457" s="11" t="n">
        <f>22844000</f>
        <v>2.2844E7</v>
      </c>
      <c r="H457" s="10"/>
      <c r="I457" s="11" t="str">
        <f>"－"</f>
        <v>－</v>
      </c>
      <c r="J457" s="10"/>
      <c r="K457" s="11" t="n">
        <f>54</f>
        <v>54.0</v>
      </c>
    </row>
    <row r="458">
      <c r="A458" s="8" t="s">
        <v>22</v>
      </c>
      <c r="B458" s="9" t="s">
        <v>79</v>
      </c>
      <c r="C458" s="9" t="s">
        <v>80</v>
      </c>
      <c r="D458" s="10"/>
      <c r="E458" s="11" t="str">
        <f>"－"</f>
        <v>－</v>
      </c>
      <c r="F458" s="10"/>
      <c r="G458" s="11" t="str">
        <f>"－"</f>
        <v>－</v>
      </c>
      <c r="H458" s="10"/>
      <c r="I458" s="11" t="str">
        <f>"－"</f>
        <v>－</v>
      </c>
      <c r="J458" s="10"/>
      <c r="K458" s="11" t="n">
        <f>54</f>
        <v>54.0</v>
      </c>
    </row>
    <row r="459">
      <c r="A459" s="8" t="s">
        <v>23</v>
      </c>
      <c r="B459" s="9" t="s">
        <v>79</v>
      </c>
      <c r="C459" s="9" t="s">
        <v>80</v>
      </c>
      <c r="D459" s="10"/>
      <c r="E459" s="11"/>
      <c r="F459" s="10"/>
      <c r="G459" s="11"/>
      <c r="H459" s="10"/>
      <c r="I459" s="11"/>
      <c r="J459" s="10"/>
      <c r="K459" s="11"/>
    </row>
    <row r="460">
      <c r="A460" s="8" t="s">
        <v>24</v>
      </c>
      <c r="B460" s="9" t="s">
        <v>79</v>
      </c>
      <c r="C460" s="9" t="s">
        <v>80</v>
      </c>
      <c r="D460" s="10"/>
      <c r="E460" s="11"/>
      <c r="F460" s="10"/>
      <c r="G460" s="11"/>
      <c r="H460" s="10"/>
      <c r="I460" s="11"/>
      <c r="J460" s="10"/>
      <c r="K460" s="11"/>
    </row>
    <row r="461">
      <c r="A461" s="8" t="s">
        <v>25</v>
      </c>
      <c r="B461" s="9" t="s">
        <v>79</v>
      </c>
      <c r="C461" s="9" t="s">
        <v>80</v>
      </c>
      <c r="D461" s="10" t="s">
        <v>20</v>
      </c>
      <c r="E461" s="11" t="n">
        <f>25</f>
        <v>25.0</v>
      </c>
      <c r="F461" s="10" t="s">
        <v>20</v>
      </c>
      <c r="G461" s="11" t="n">
        <f>103710500</f>
        <v>1.037105E8</v>
      </c>
      <c r="H461" s="10"/>
      <c r="I461" s="11" t="str">
        <f>"－"</f>
        <v>－</v>
      </c>
      <c r="J461" s="10"/>
      <c r="K461" s="11" t="n">
        <f>56</f>
        <v>56.0</v>
      </c>
    </row>
    <row r="462">
      <c r="A462" s="8" t="s">
        <v>26</v>
      </c>
      <c r="B462" s="9" t="s">
        <v>79</v>
      </c>
      <c r="C462" s="9" t="s">
        <v>80</v>
      </c>
      <c r="D462" s="10"/>
      <c r="E462" s="11" t="n">
        <f>3</f>
        <v>3.0</v>
      </c>
      <c r="F462" s="10"/>
      <c r="G462" s="11" t="n">
        <f>12595000</f>
        <v>1.2595E7</v>
      </c>
      <c r="H462" s="10"/>
      <c r="I462" s="11" t="str">
        <f>"－"</f>
        <v>－</v>
      </c>
      <c r="J462" s="10"/>
      <c r="K462" s="11" t="n">
        <f>59</f>
        <v>59.0</v>
      </c>
    </row>
    <row r="463">
      <c r="A463" s="8" t="s">
        <v>27</v>
      </c>
      <c r="B463" s="9" t="s">
        <v>79</v>
      </c>
      <c r="C463" s="9" t="s">
        <v>80</v>
      </c>
      <c r="D463" s="10"/>
      <c r="E463" s="11" t="n">
        <f>6</f>
        <v>6.0</v>
      </c>
      <c r="F463" s="10"/>
      <c r="G463" s="11" t="n">
        <f>24300000</f>
        <v>2.43E7</v>
      </c>
      <c r="H463" s="10"/>
      <c r="I463" s="11" t="str">
        <f>"－"</f>
        <v>－</v>
      </c>
      <c r="J463" s="10"/>
      <c r="K463" s="11" t="n">
        <f>64</f>
        <v>64.0</v>
      </c>
    </row>
    <row r="464">
      <c r="A464" s="8" t="s">
        <v>28</v>
      </c>
      <c r="B464" s="9" t="s">
        <v>79</v>
      </c>
      <c r="C464" s="9" t="s">
        <v>80</v>
      </c>
      <c r="D464" s="10"/>
      <c r="E464" s="11" t="n">
        <f>3</f>
        <v>3.0</v>
      </c>
      <c r="F464" s="10"/>
      <c r="G464" s="11" t="n">
        <f>12698500</f>
        <v>1.26985E7</v>
      </c>
      <c r="H464" s="10"/>
      <c r="I464" s="11" t="str">
        <f>"－"</f>
        <v>－</v>
      </c>
      <c r="J464" s="10"/>
      <c r="K464" s="11" t="n">
        <f>66</f>
        <v>66.0</v>
      </c>
    </row>
    <row r="465">
      <c r="A465" s="8" t="s">
        <v>29</v>
      </c>
      <c r="B465" s="9" t="s">
        <v>79</v>
      </c>
      <c r="C465" s="9" t="s">
        <v>80</v>
      </c>
      <c r="D465" s="10"/>
      <c r="E465" s="11" t="n">
        <f>2</f>
        <v>2.0</v>
      </c>
      <c r="F465" s="10"/>
      <c r="G465" s="11" t="n">
        <f>8450000</f>
        <v>8450000.0</v>
      </c>
      <c r="H465" s="10"/>
      <c r="I465" s="11" t="str">
        <f>"－"</f>
        <v>－</v>
      </c>
      <c r="J465" s="10" t="s">
        <v>20</v>
      </c>
      <c r="K465" s="11" t="n">
        <f>68</f>
        <v>68.0</v>
      </c>
    </row>
    <row r="466">
      <c r="A466" s="8" t="s">
        <v>30</v>
      </c>
      <c r="B466" s="9" t="s">
        <v>79</v>
      </c>
      <c r="C466" s="9" t="s">
        <v>80</v>
      </c>
      <c r="D466" s="10"/>
      <c r="E466" s="11"/>
      <c r="F466" s="10"/>
      <c r="G466" s="11"/>
      <c r="H466" s="10"/>
      <c r="I466" s="11"/>
      <c r="J466" s="10"/>
      <c r="K466" s="11"/>
    </row>
    <row r="467">
      <c r="A467" s="8" t="s">
        <v>31</v>
      </c>
      <c r="B467" s="9" t="s">
        <v>79</v>
      </c>
      <c r="C467" s="9" t="s">
        <v>80</v>
      </c>
      <c r="D467" s="10"/>
      <c r="E467" s="11"/>
      <c r="F467" s="10"/>
      <c r="G467" s="11"/>
      <c r="H467" s="10"/>
      <c r="I467" s="11"/>
      <c r="J467" s="10"/>
      <c r="K467" s="11"/>
    </row>
    <row r="468">
      <c r="A468" s="8" t="s">
        <v>32</v>
      </c>
      <c r="B468" s="9" t="s">
        <v>79</v>
      </c>
      <c r="C468" s="9" t="s">
        <v>80</v>
      </c>
      <c r="D468" s="10"/>
      <c r="E468" s="11" t="str">
        <f>"－"</f>
        <v>－</v>
      </c>
      <c r="F468" s="10"/>
      <c r="G468" s="11" t="str">
        <f>"－"</f>
        <v>－</v>
      </c>
      <c r="H468" s="10"/>
      <c r="I468" s="11" t="str">
        <f>"－"</f>
        <v>－</v>
      </c>
      <c r="J468" s="10"/>
      <c r="K468" s="11" t="n">
        <f>68</f>
        <v>68.0</v>
      </c>
    </row>
    <row r="469">
      <c r="A469" s="8" t="s">
        <v>33</v>
      </c>
      <c r="B469" s="9" t="s">
        <v>79</v>
      </c>
      <c r="C469" s="9" t="s">
        <v>80</v>
      </c>
      <c r="D469" s="10"/>
      <c r="E469" s="11" t="str">
        <f>"－"</f>
        <v>－</v>
      </c>
      <c r="F469" s="10"/>
      <c r="G469" s="11" t="str">
        <f>"－"</f>
        <v>－</v>
      </c>
      <c r="H469" s="10"/>
      <c r="I469" s="11" t="str">
        <f>"－"</f>
        <v>－</v>
      </c>
      <c r="J469" s="10"/>
      <c r="K469" s="11" t="n">
        <f>68</f>
        <v>68.0</v>
      </c>
    </row>
    <row r="470">
      <c r="A470" s="8" t="s">
        <v>34</v>
      </c>
      <c r="B470" s="9" t="s">
        <v>79</v>
      </c>
      <c r="C470" s="9" t="s">
        <v>80</v>
      </c>
      <c r="D470" s="10"/>
      <c r="E470" s="11" t="n">
        <f>8</f>
        <v>8.0</v>
      </c>
      <c r="F470" s="10"/>
      <c r="G470" s="11" t="n">
        <f>33975000</f>
        <v>3.3975E7</v>
      </c>
      <c r="H470" s="10"/>
      <c r="I470" s="11" t="str">
        <f>"－"</f>
        <v>－</v>
      </c>
      <c r="J470" s="10"/>
      <c r="K470" s="11" t="n">
        <f>66</f>
        <v>66.0</v>
      </c>
    </row>
    <row r="471">
      <c r="A471" s="8" t="s">
        <v>35</v>
      </c>
      <c r="B471" s="9" t="s">
        <v>79</v>
      </c>
      <c r="C471" s="9" t="s">
        <v>80</v>
      </c>
      <c r="D471" s="10"/>
      <c r="E471" s="11" t="str">
        <f>"－"</f>
        <v>－</v>
      </c>
      <c r="F471" s="10"/>
      <c r="G471" s="11" t="str">
        <f>"－"</f>
        <v>－</v>
      </c>
      <c r="H471" s="10"/>
      <c r="I471" s="11" t="str">
        <f>"－"</f>
        <v>－</v>
      </c>
      <c r="J471" s="10"/>
      <c r="K471" s="11" t="n">
        <f>66</f>
        <v>66.0</v>
      </c>
    </row>
    <row r="472">
      <c r="A472" s="8" t="s">
        <v>36</v>
      </c>
      <c r="B472" s="9" t="s">
        <v>79</v>
      </c>
      <c r="C472" s="9" t="s">
        <v>80</v>
      </c>
      <c r="D472" s="10"/>
      <c r="E472" s="11" t="n">
        <f>2</f>
        <v>2.0</v>
      </c>
      <c r="F472" s="10"/>
      <c r="G472" s="11" t="n">
        <f>8372500</f>
        <v>8372500.0</v>
      </c>
      <c r="H472" s="10"/>
      <c r="I472" s="11" t="str">
        <f>"－"</f>
        <v>－</v>
      </c>
      <c r="J472" s="10"/>
      <c r="K472" s="11" t="n">
        <f>65</f>
        <v>65.0</v>
      </c>
    </row>
    <row r="473">
      <c r="A473" s="8" t="s">
        <v>37</v>
      </c>
      <c r="B473" s="9" t="s">
        <v>79</v>
      </c>
      <c r="C473" s="9" t="s">
        <v>80</v>
      </c>
      <c r="D473" s="10"/>
      <c r="E473" s="11"/>
      <c r="F473" s="10"/>
      <c r="G473" s="11"/>
      <c r="H473" s="10"/>
      <c r="I473" s="11"/>
      <c r="J473" s="10"/>
      <c r="K473" s="11"/>
    </row>
    <row r="474">
      <c r="A474" s="8" t="s">
        <v>38</v>
      </c>
      <c r="B474" s="9" t="s">
        <v>79</v>
      </c>
      <c r="C474" s="9" t="s">
        <v>80</v>
      </c>
      <c r="D474" s="10"/>
      <c r="E474" s="11"/>
      <c r="F474" s="10"/>
      <c r="G474" s="11"/>
      <c r="H474" s="10"/>
      <c r="I474" s="11"/>
      <c r="J474" s="10"/>
      <c r="K474" s="11"/>
    </row>
    <row r="475">
      <c r="A475" s="8" t="s">
        <v>39</v>
      </c>
      <c r="B475" s="9" t="s">
        <v>79</v>
      </c>
      <c r="C475" s="9" t="s">
        <v>80</v>
      </c>
      <c r="D475" s="10"/>
      <c r="E475" s="11" t="str">
        <f>"－"</f>
        <v>－</v>
      </c>
      <c r="F475" s="10"/>
      <c r="G475" s="11" t="str">
        <f>"－"</f>
        <v>－</v>
      </c>
      <c r="H475" s="10"/>
      <c r="I475" s="11" t="str">
        <f>"－"</f>
        <v>－</v>
      </c>
      <c r="J475" s="10"/>
      <c r="K475" s="11" t="n">
        <f>65</f>
        <v>65.0</v>
      </c>
    </row>
    <row r="476">
      <c r="A476" s="8" t="s">
        <v>40</v>
      </c>
      <c r="B476" s="9" t="s">
        <v>79</v>
      </c>
      <c r="C476" s="9" t="s">
        <v>80</v>
      </c>
      <c r="D476" s="10"/>
      <c r="E476" s="11" t="n">
        <f>2</f>
        <v>2.0</v>
      </c>
      <c r="F476" s="10"/>
      <c r="G476" s="11" t="n">
        <f>7900000</f>
        <v>7900000.0</v>
      </c>
      <c r="H476" s="10"/>
      <c r="I476" s="11" t="str">
        <f>"－"</f>
        <v>－</v>
      </c>
      <c r="J476" s="10"/>
      <c r="K476" s="11" t="n">
        <f>65</f>
        <v>65.0</v>
      </c>
    </row>
    <row r="477">
      <c r="A477" s="8" t="s">
        <v>42</v>
      </c>
      <c r="B477" s="9" t="s">
        <v>79</v>
      </c>
      <c r="C477" s="9" t="s">
        <v>80</v>
      </c>
      <c r="D477" s="10"/>
      <c r="E477" s="11" t="str">
        <f>"－"</f>
        <v>－</v>
      </c>
      <c r="F477" s="10"/>
      <c r="G477" s="11" t="str">
        <f>"－"</f>
        <v>－</v>
      </c>
      <c r="H477" s="10"/>
      <c r="I477" s="11" t="str">
        <f>"－"</f>
        <v>－</v>
      </c>
      <c r="J477" s="10"/>
      <c r="K477" s="11" t="n">
        <f>65</f>
        <v>65.0</v>
      </c>
    </row>
    <row r="478">
      <c r="A478" s="8" t="s">
        <v>43</v>
      </c>
      <c r="B478" s="9" t="s">
        <v>79</v>
      </c>
      <c r="C478" s="9" t="s">
        <v>80</v>
      </c>
      <c r="D478" s="10"/>
      <c r="E478" s="11" t="n">
        <f>3</f>
        <v>3.0</v>
      </c>
      <c r="F478" s="10"/>
      <c r="G478" s="11" t="n">
        <f>11760000</f>
        <v>1.176E7</v>
      </c>
      <c r="H478" s="10"/>
      <c r="I478" s="11" t="str">
        <f>"－"</f>
        <v>－</v>
      </c>
      <c r="J478" s="10"/>
      <c r="K478" s="11" t="n">
        <f>67</f>
        <v>67.0</v>
      </c>
    </row>
    <row r="479">
      <c r="A479" s="8" t="s">
        <v>44</v>
      </c>
      <c r="B479" s="9" t="s">
        <v>79</v>
      </c>
      <c r="C479" s="9" t="s">
        <v>80</v>
      </c>
      <c r="D479" s="10"/>
      <c r="E479" s="11" t="n">
        <f>3</f>
        <v>3.0</v>
      </c>
      <c r="F479" s="10"/>
      <c r="G479" s="11" t="n">
        <f>11900000</f>
        <v>1.19E7</v>
      </c>
      <c r="H479" s="10"/>
      <c r="I479" s="11" t="str">
        <f>"－"</f>
        <v>－</v>
      </c>
      <c r="J479" s="10"/>
      <c r="K479" s="11" t="n">
        <f>68</f>
        <v>68.0</v>
      </c>
    </row>
    <row r="480">
      <c r="A480" s="8" t="s">
        <v>45</v>
      </c>
      <c r="B480" s="9" t="s">
        <v>79</v>
      </c>
      <c r="C480" s="9" t="s">
        <v>80</v>
      </c>
      <c r="D480" s="10"/>
      <c r="E480" s="11"/>
      <c r="F480" s="10"/>
      <c r="G480" s="11"/>
      <c r="H480" s="10"/>
      <c r="I480" s="11"/>
      <c r="J480" s="10"/>
      <c r="K480" s="11"/>
    </row>
    <row r="481">
      <c r="A481" s="8" t="s">
        <v>46</v>
      </c>
      <c r="B481" s="9" t="s">
        <v>79</v>
      </c>
      <c r="C481" s="9" t="s">
        <v>80</v>
      </c>
      <c r="D481" s="10"/>
      <c r="E481" s="11"/>
      <c r="F481" s="10"/>
      <c r="G481" s="11"/>
      <c r="H481" s="10"/>
      <c r="I481" s="11"/>
      <c r="J481" s="10"/>
      <c r="K481" s="11"/>
    </row>
    <row r="482">
      <c r="A482" s="8" t="s">
        <v>47</v>
      </c>
      <c r="B482" s="9" t="s">
        <v>79</v>
      </c>
      <c r="C482" s="9" t="s">
        <v>80</v>
      </c>
      <c r="D482" s="10"/>
      <c r="E482" s="11" t="str">
        <f>"－"</f>
        <v>－</v>
      </c>
      <c r="F482" s="10"/>
      <c r="G482" s="11" t="str">
        <f>"－"</f>
        <v>－</v>
      </c>
      <c r="H482" s="10"/>
      <c r="I482" s="11" t="str">
        <f>"－"</f>
        <v>－</v>
      </c>
      <c r="J482" s="10" t="s">
        <v>41</v>
      </c>
      <c r="K482" s="11" t="n">
        <f>30</f>
        <v>30.0</v>
      </c>
    </row>
    <row r="483">
      <c r="A483" s="8" t="s">
        <v>48</v>
      </c>
      <c r="B483" s="9" t="s">
        <v>79</v>
      </c>
      <c r="C483" s="9" t="s">
        <v>80</v>
      </c>
      <c r="D483" s="10"/>
      <c r="E483" s="11" t="str">
        <f>"－"</f>
        <v>－</v>
      </c>
      <c r="F483" s="10"/>
      <c r="G483" s="11" t="str">
        <f>"－"</f>
        <v>－</v>
      </c>
      <c r="H483" s="10"/>
      <c r="I483" s="11" t="str">
        <f>"－"</f>
        <v>－</v>
      </c>
      <c r="J483" s="10"/>
      <c r="K483" s="11" t="n">
        <f>30</f>
        <v>30.0</v>
      </c>
    </row>
    <row r="484">
      <c r="A484" s="8" t="s">
        <v>49</v>
      </c>
      <c r="B484" s="9" t="s">
        <v>79</v>
      </c>
      <c r="C484" s="9" t="s">
        <v>80</v>
      </c>
      <c r="D484" s="10"/>
      <c r="E484" s="11" t="str">
        <f>"－"</f>
        <v>－</v>
      </c>
      <c r="F484" s="10"/>
      <c r="G484" s="11" t="str">
        <f>"－"</f>
        <v>－</v>
      </c>
      <c r="H484" s="10"/>
      <c r="I484" s="11" t="str">
        <f>"－"</f>
        <v>－</v>
      </c>
      <c r="J484" s="10"/>
      <c r="K484" s="11" t="n">
        <f>30</f>
        <v>30.0</v>
      </c>
    </row>
    <row r="485">
      <c r="A485" s="8" t="s">
        <v>50</v>
      </c>
      <c r="B485" s="9" t="s">
        <v>79</v>
      </c>
      <c r="C485" s="9" t="s">
        <v>80</v>
      </c>
      <c r="D485" s="10"/>
      <c r="E485" s="11" t="str">
        <f>"－"</f>
        <v>－</v>
      </c>
      <c r="F485" s="10"/>
      <c r="G485" s="11" t="str">
        <f>"－"</f>
        <v>－</v>
      </c>
      <c r="H485" s="10"/>
      <c r="I485" s="11" t="str">
        <f>"－"</f>
        <v>－</v>
      </c>
      <c r="J485" s="10"/>
      <c r="K485" s="11" t="n">
        <f>30</f>
        <v>30.0</v>
      </c>
    </row>
    <row r="486">
      <c r="A486" s="8" t="s">
        <v>16</v>
      </c>
      <c r="B486" s="9" t="s">
        <v>81</v>
      </c>
      <c r="C486" s="9" t="s">
        <v>82</v>
      </c>
      <c r="D486" s="10" t="s">
        <v>19</v>
      </c>
      <c r="E486" s="11" t="str">
        <f>"－"</f>
        <v>－</v>
      </c>
      <c r="F486" s="10" t="s">
        <v>19</v>
      </c>
      <c r="G486" s="11" t="str">
        <f>"－"</f>
        <v>－</v>
      </c>
      <c r="H486" s="10" t="s">
        <v>19</v>
      </c>
      <c r="I486" s="11" t="str">
        <f>"－"</f>
        <v>－</v>
      </c>
      <c r="J486" s="10" t="s">
        <v>19</v>
      </c>
      <c r="K486" s="11" t="str">
        <f>"－"</f>
        <v>－</v>
      </c>
    </row>
    <row r="487">
      <c r="A487" s="8" t="s">
        <v>21</v>
      </c>
      <c r="B487" s="9" t="s">
        <v>81</v>
      </c>
      <c r="C487" s="9" t="s">
        <v>82</v>
      </c>
      <c r="D487" s="10"/>
      <c r="E487" s="11" t="str">
        <f>"－"</f>
        <v>－</v>
      </c>
      <c r="F487" s="10"/>
      <c r="G487" s="11" t="str">
        <f>"－"</f>
        <v>－</v>
      </c>
      <c r="H487" s="10"/>
      <c r="I487" s="11" t="str">
        <f>"－"</f>
        <v>－</v>
      </c>
      <c r="J487" s="10"/>
      <c r="K487" s="11" t="str">
        <f>"－"</f>
        <v>－</v>
      </c>
    </row>
    <row r="488">
      <c r="A488" s="8" t="s">
        <v>22</v>
      </c>
      <c r="B488" s="9" t="s">
        <v>81</v>
      </c>
      <c r="C488" s="9" t="s">
        <v>82</v>
      </c>
      <c r="D488" s="10"/>
      <c r="E488" s="11" t="str">
        <f>"－"</f>
        <v>－</v>
      </c>
      <c r="F488" s="10"/>
      <c r="G488" s="11" t="str">
        <f>"－"</f>
        <v>－</v>
      </c>
      <c r="H488" s="10"/>
      <c r="I488" s="11" t="str">
        <f>"－"</f>
        <v>－</v>
      </c>
      <c r="J488" s="10"/>
      <c r="K488" s="11" t="str">
        <f>"－"</f>
        <v>－</v>
      </c>
    </row>
    <row r="489">
      <c r="A489" s="8" t="s">
        <v>23</v>
      </c>
      <c r="B489" s="9" t="s">
        <v>81</v>
      </c>
      <c r="C489" s="9" t="s">
        <v>82</v>
      </c>
      <c r="D489" s="10"/>
      <c r="E489" s="11"/>
      <c r="F489" s="10"/>
      <c r="G489" s="11"/>
      <c r="H489" s="10"/>
      <c r="I489" s="11"/>
      <c r="J489" s="10"/>
      <c r="K489" s="11"/>
    </row>
    <row r="490">
      <c r="A490" s="8" t="s">
        <v>24</v>
      </c>
      <c r="B490" s="9" t="s">
        <v>81</v>
      </c>
      <c r="C490" s="9" t="s">
        <v>82</v>
      </c>
      <c r="D490" s="10"/>
      <c r="E490" s="11"/>
      <c r="F490" s="10"/>
      <c r="G490" s="11"/>
      <c r="H490" s="10"/>
      <c r="I490" s="11"/>
      <c r="J490" s="10"/>
      <c r="K490" s="11"/>
    </row>
    <row r="491">
      <c r="A491" s="8" t="s">
        <v>25</v>
      </c>
      <c r="B491" s="9" t="s">
        <v>81</v>
      </c>
      <c r="C491" s="9" t="s">
        <v>82</v>
      </c>
      <c r="D491" s="10"/>
      <c r="E491" s="11" t="str">
        <f>"－"</f>
        <v>－</v>
      </c>
      <c r="F491" s="10"/>
      <c r="G491" s="11" t="str">
        <f>"－"</f>
        <v>－</v>
      </c>
      <c r="H491" s="10"/>
      <c r="I491" s="11" t="str">
        <f>"－"</f>
        <v>－</v>
      </c>
      <c r="J491" s="10"/>
      <c r="K491" s="11" t="str">
        <f>"－"</f>
        <v>－</v>
      </c>
    </row>
    <row r="492">
      <c r="A492" s="8" t="s">
        <v>26</v>
      </c>
      <c r="B492" s="9" t="s">
        <v>81</v>
      </c>
      <c r="C492" s="9" t="s">
        <v>82</v>
      </c>
      <c r="D492" s="10"/>
      <c r="E492" s="11" t="str">
        <f>"－"</f>
        <v>－</v>
      </c>
      <c r="F492" s="10"/>
      <c r="G492" s="11" t="str">
        <f>"－"</f>
        <v>－</v>
      </c>
      <c r="H492" s="10"/>
      <c r="I492" s="11" t="str">
        <f>"－"</f>
        <v>－</v>
      </c>
      <c r="J492" s="10"/>
      <c r="K492" s="11" t="str">
        <f>"－"</f>
        <v>－</v>
      </c>
    </row>
    <row r="493">
      <c r="A493" s="8" t="s">
        <v>27</v>
      </c>
      <c r="B493" s="9" t="s">
        <v>81</v>
      </c>
      <c r="C493" s="9" t="s">
        <v>82</v>
      </c>
      <c r="D493" s="10"/>
      <c r="E493" s="11" t="str">
        <f>"－"</f>
        <v>－</v>
      </c>
      <c r="F493" s="10"/>
      <c r="G493" s="11" t="str">
        <f>"－"</f>
        <v>－</v>
      </c>
      <c r="H493" s="10"/>
      <c r="I493" s="11" t="str">
        <f>"－"</f>
        <v>－</v>
      </c>
      <c r="J493" s="10"/>
      <c r="K493" s="11" t="str">
        <f>"－"</f>
        <v>－</v>
      </c>
    </row>
    <row r="494">
      <c r="A494" s="8" t="s">
        <v>28</v>
      </c>
      <c r="B494" s="9" t="s">
        <v>81</v>
      </c>
      <c r="C494" s="9" t="s">
        <v>82</v>
      </c>
      <c r="D494" s="10"/>
      <c r="E494" s="11" t="str">
        <f>"－"</f>
        <v>－</v>
      </c>
      <c r="F494" s="10"/>
      <c r="G494" s="11" t="str">
        <f>"－"</f>
        <v>－</v>
      </c>
      <c r="H494" s="10"/>
      <c r="I494" s="11" t="str">
        <f>"－"</f>
        <v>－</v>
      </c>
      <c r="J494" s="10"/>
      <c r="K494" s="11" t="str">
        <f>"－"</f>
        <v>－</v>
      </c>
    </row>
    <row r="495">
      <c r="A495" s="8" t="s">
        <v>29</v>
      </c>
      <c r="B495" s="9" t="s">
        <v>81</v>
      </c>
      <c r="C495" s="9" t="s">
        <v>82</v>
      </c>
      <c r="D495" s="10"/>
      <c r="E495" s="11" t="str">
        <f>"－"</f>
        <v>－</v>
      </c>
      <c r="F495" s="10"/>
      <c r="G495" s="11" t="str">
        <f>"－"</f>
        <v>－</v>
      </c>
      <c r="H495" s="10"/>
      <c r="I495" s="11" t="str">
        <f>"－"</f>
        <v>－</v>
      </c>
      <c r="J495" s="10"/>
      <c r="K495" s="11" t="str">
        <f>"－"</f>
        <v>－</v>
      </c>
    </row>
    <row r="496">
      <c r="A496" s="8" t="s">
        <v>30</v>
      </c>
      <c r="B496" s="9" t="s">
        <v>81</v>
      </c>
      <c r="C496" s="9" t="s">
        <v>82</v>
      </c>
      <c r="D496" s="10"/>
      <c r="E496" s="11"/>
      <c r="F496" s="10"/>
      <c r="G496" s="11"/>
      <c r="H496" s="10"/>
      <c r="I496" s="11"/>
      <c r="J496" s="10"/>
      <c r="K496" s="11"/>
    </row>
    <row r="497">
      <c r="A497" s="8" t="s">
        <v>31</v>
      </c>
      <c r="B497" s="9" t="s">
        <v>81</v>
      </c>
      <c r="C497" s="9" t="s">
        <v>82</v>
      </c>
      <c r="D497" s="10"/>
      <c r="E497" s="11"/>
      <c r="F497" s="10"/>
      <c r="G497" s="11"/>
      <c r="H497" s="10"/>
      <c r="I497" s="11"/>
      <c r="J497" s="10"/>
      <c r="K497" s="11"/>
    </row>
    <row r="498">
      <c r="A498" s="8" t="s">
        <v>32</v>
      </c>
      <c r="B498" s="9" t="s">
        <v>81</v>
      </c>
      <c r="C498" s="9" t="s">
        <v>82</v>
      </c>
      <c r="D498" s="10"/>
      <c r="E498" s="11" t="str">
        <f>"－"</f>
        <v>－</v>
      </c>
      <c r="F498" s="10"/>
      <c r="G498" s="11" t="str">
        <f>"－"</f>
        <v>－</v>
      </c>
      <c r="H498" s="10"/>
      <c r="I498" s="11" t="str">
        <f>"－"</f>
        <v>－</v>
      </c>
      <c r="J498" s="10"/>
      <c r="K498" s="11" t="str">
        <f>"－"</f>
        <v>－</v>
      </c>
    </row>
    <row r="499">
      <c r="A499" s="8" t="s">
        <v>33</v>
      </c>
      <c r="B499" s="9" t="s">
        <v>81</v>
      </c>
      <c r="C499" s="9" t="s">
        <v>82</v>
      </c>
      <c r="D499" s="10"/>
      <c r="E499" s="11" t="str">
        <f>"－"</f>
        <v>－</v>
      </c>
      <c r="F499" s="10"/>
      <c r="G499" s="11" t="str">
        <f>"－"</f>
        <v>－</v>
      </c>
      <c r="H499" s="10"/>
      <c r="I499" s="11" t="str">
        <f>"－"</f>
        <v>－</v>
      </c>
      <c r="J499" s="10"/>
      <c r="K499" s="11" t="str">
        <f>"－"</f>
        <v>－</v>
      </c>
    </row>
    <row r="500">
      <c r="A500" s="8" t="s">
        <v>34</v>
      </c>
      <c r="B500" s="9" t="s">
        <v>81</v>
      </c>
      <c r="C500" s="9" t="s">
        <v>82</v>
      </c>
      <c r="D500" s="10"/>
      <c r="E500" s="11" t="str">
        <f>"－"</f>
        <v>－</v>
      </c>
      <c r="F500" s="10"/>
      <c r="G500" s="11" t="str">
        <f>"－"</f>
        <v>－</v>
      </c>
      <c r="H500" s="10"/>
      <c r="I500" s="11" t="str">
        <f>"－"</f>
        <v>－</v>
      </c>
      <c r="J500" s="10"/>
      <c r="K500" s="11" t="str">
        <f>"－"</f>
        <v>－</v>
      </c>
    </row>
    <row r="501">
      <c r="A501" s="8" t="s">
        <v>35</v>
      </c>
      <c r="B501" s="9" t="s">
        <v>81</v>
      </c>
      <c r="C501" s="9" t="s">
        <v>82</v>
      </c>
      <c r="D501" s="10"/>
      <c r="E501" s="11" t="str">
        <f>"－"</f>
        <v>－</v>
      </c>
      <c r="F501" s="10"/>
      <c r="G501" s="11" t="str">
        <f>"－"</f>
        <v>－</v>
      </c>
      <c r="H501" s="10"/>
      <c r="I501" s="11" t="str">
        <f>"－"</f>
        <v>－</v>
      </c>
      <c r="J501" s="10"/>
      <c r="K501" s="11" t="str">
        <f>"－"</f>
        <v>－</v>
      </c>
    </row>
    <row r="502">
      <c r="A502" s="8" t="s">
        <v>36</v>
      </c>
      <c r="B502" s="9" t="s">
        <v>81</v>
      </c>
      <c r="C502" s="9" t="s">
        <v>82</v>
      </c>
      <c r="D502" s="10"/>
      <c r="E502" s="11" t="str">
        <f>"－"</f>
        <v>－</v>
      </c>
      <c r="F502" s="10"/>
      <c r="G502" s="11" t="str">
        <f>"－"</f>
        <v>－</v>
      </c>
      <c r="H502" s="10"/>
      <c r="I502" s="11" t="str">
        <f>"－"</f>
        <v>－</v>
      </c>
      <c r="J502" s="10"/>
      <c r="K502" s="11" t="str">
        <f>"－"</f>
        <v>－</v>
      </c>
    </row>
    <row r="503">
      <c r="A503" s="8" t="s">
        <v>37</v>
      </c>
      <c r="B503" s="9" t="s">
        <v>81</v>
      </c>
      <c r="C503" s="9" t="s">
        <v>82</v>
      </c>
      <c r="D503" s="10"/>
      <c r="E503" s="11"/>
      <c r="F503" s="10"/>
      <c r="G503" s="11"/>
      <c r="H503" s="10"/>
      <c r="I503" s="11"/>
      <c r="J503" s="10"/>
      <c r="K503" s="11"/>
    </row>
    <row r="504">
      <c r="A504" s="8" t="s">
        <v>38</v>
      </c>
      <c r="B504" s="9" t="s">
        <v>81</v>
      </c>
      <c r="C504" s="9" t="s">
        <v>82</v>
      </c>
      <c r="D504" s="10"/>
      <c r="E504" s="11"/>
      <c r="F504" s="10"/>
      <c r="G504" s="11"/>
      <c r="H504" s="10"/>
      <c r="I504" s="11"/>
      <c r="J504" s="10"/>
      <c r="K504" s="11"/>
    </row>
    <row r="505">
      <c r="A505" s="8" t="s">
        <v>39</v>
      </c>
      <c r="B505" s="9" t="s">
        <v>81</v>
      </c>
      <c r="C505" s="9" t="s">
        <v>82</v>
      </c>
      <c r="D505" s="10"/>
      <c r="E505" s="11" t="str">
        <f>"－"</f>
        <v>－</v>
      </c>
      <c r="F505" s="10"/>
      <c r="G505" s="11" t="str">
        <f>"－"</f>
        <v>－</v>
      </c>
      <c r="H505" s="10"/>
      <c r="I505" s="11" t="str">
        <f>"－"</f>
        <v>－</v>
      </c>
      <c r="J505" s="10"/>
      <c r="K505" s="11" t="str">
        <f>"－"</f>
        <v>－</v>
      </c>
    </row>
    <row r="506">
      <c r="A506" s="8" t="s">
        <v>40</v>
      </c>
      <c r="B506" s="9" t="s">
        <v>81</v>
      </c>
      <c r="C506" s="9" t="s">
        <v>82</v>
      </c>
      <c r="D506" s="10"/>
      <c r="E506" s="11" t="str">
        <f>"－"</f>
        <v>－</v>
      </c>
      <c r="F506" s="10"/>
      <c r="G506" s="11" t="str">
        <f>"－"</f>
        <v>－</v>
      </c>
      <c r="H506" s="10"/>
      <c r="I506" s="11" t="str">
        <f>"－"</f>
        <v>－</v>
      </c>
      <c r="J506" s="10"/>
      <c r="K506" s="11" t="str">
        <f>"－"</f>
        <v>－</v>
      </c>
    </row>
    <row r="507">
      <c r="A507" s="8" t="s">
        <v>42</v>
      </c>
      <c r="B507" s="9" t="s">
        <v>81</v>
      </c>
      <c r="C507" s="9" t="s">
        <v>82</v>
      </c>
      <c r="D507" s="10"/>
      <c r="E507" s="11" t="str">
        <f>"－"</f>
        <v>－</v>
      </c>
      <c r="F507" s="10"/>
      <c r="G507" s="11" t="str">
        <f>"－"</f>
        <v>－</v>
      </c>
      <c r="H507" s="10"/>
      <c r="I507" s="11" t="str">
        <f>"－"</f>
        <v>－</v>
      </c>
      <c r="J507" s="10"/>
      <c r="K507" s="11" t="str">
        <f>"－"</f>
        <v>－</v>
      </c>
    </row>
    <row r="508">
      <c r="A508" s="8" t="s">
        <v>43</v>
      </c>
      <c r="B508" s="9" t="s">
        <v>81</v>
      </c>
      <c r="C508" s="9" t="s">
        <v>82</v>
      </c>
      <c r="D508" s="10"/>
      <c r="E508" s="11" t="str">
        <f>"－"</f>
        <v>－</v>
      </c>
      <c r="F508" s="10"/>
      <c r="G508" s="11" t="str">
        <f>"－"</f>
        <v>－</v>
      </c>
      <c r="H508" s="10"/>
      <c r="I508" s="11" t="str">
        <f>"－"</f>
        <v>－</v>
      </c>
      <c r="J508" s="10"/>
      <c r="K508" s="11" t="str">
        <f>"－"</f>
        <v>－</v>
      </c>
    </row>
    <row r="509">
      <c r="A509" s="8" t="s">
        <v>44</v>
      </c>
      <c r="B509" s="9" t="s">
        <v>81</v>
      </c>
      <c r="C509" s="9" t="s">
        <v>82</v>
      </c>
      <c r="D509" s="10"/>
      <c r="E509" s="11" t="str">
        <f>"－"</f>
        <v>－</v>
      </c>
      <c r="F509" s="10"/>
      <c r="G509" s="11" t="str">
        <f>"－"</f>
        <v>－</v>
      </c>
      <c r="H509" s="10"/>
      <c r="I509" s="11" t="str">
        <f>"－"</f>
        <v>－</v>
      </c>
      <c r="J509" s="10"/>
      <c r="K509" s="11" t="str">
        <f>"－"</f>
        <v>－</v>
      </c>
    </row>
    <row r="510">
      <c r="A510" s="8" t="s">
        <v>45</v>
      </c>
      <c r="B510" s="9" t="s">
        <v>81</v>
      </c>
      <c r="C510" s="9" t="s">
        <v>82</v>
      </c>
      <c r="D510" s="10"/>
      <c r="E510" s="11"/>
      <c r="F510" s="10"/>
      <c r="G510" s="11"/>
      <c r="H510" s="10"/>
      <c r="I510" s="11"/>
      <c r="J510" s="10"/>
      <c r="K510" s="11"/>
    </row>
    <row r="511">
      <c r="A511" s="8" t="s">
        <v>46</v>
      </c>
      <c r="B511" s="9" t="s">
        <v>81</v>
      </c>
      <c r="C511" s="9" t="s">
        <v>82</v>
      </c>
      <c r="D511" s="10"/>
      <c r="E511" s="11"/>
      <c r="F511" s="10"/>
      <c r="G511" s="11"/>
      <c r="H511" s="10"/>
      <c r="I511" s="11"/>
      <c r="J511" s="10"/>
      <c r="K511" s="11"/>
    </row>
    <row r="512">
      <c r="A512" s="8" t="s">
        <v>47</v>
      </c>
      <c r="B512" s="9" t="s">
        <v>81</v>
      </c>
      <c r="C512" s="9" t="s">
        <v>82</v>
      </c>
      <c r="D512" s="10"/>
      <c r="E512" s="11" t="str">
        <f>"－"</f>
        <v>－</v>
      </c>
      <c r="F512" s="10"/>
      <c r="G512" s="11" t="str">
        <f>"－"</f>
        <v>－</v>
      </c>
      <c r="H512" s="10"/>
      <c r="I512" s="11" t="str">
        <f>"－"</f>
        <v>－</v>
      </c>
      <c r="J512" s="10"/>
      <c r="K512" s="11" t="str">
        <f>"－"</f>
        <v>－</v>
      </c>
    </row>
    <row r="513">
      <c r="A513" s="8" t="s">
        <v>48</v>
      </c>
      <c r="B513" s="9" t="s">
        <v>81</v>
      </c>
      <c r="C513" s="9" t="s">
        <v>82</v>
      </c>
      <c r="D513" s="10"/>
      <c r="E513" s="11" t="str">
        <f>"－"</f>
        <v>－</v>
      </c>
      <c r="F513" s="10"/>
      <c r="G513" s="11" t="str">
        <f>"－"</f>
        <v>－</v>
      </c>
      <c r="H513" s="10"/>
      <c r="I513" s="11" t="str">
        <f>"－"</f>
        <v>－</v>
      </c>
      <c r="J513" s="10"/>
      <c r="K513" s="11" t="str">
        <f>"－"</f>
        <v>－</v>
      </c>
    </row>
    <row r="514">
      <c r="A514" s="8" t="s">
        <v>49</v>
      </c>
      <c r="B514" s="9" t="s">
        <v>81</v>
      </c>
      <c r="C514" s="9" t="s">
        <v>82</v>
      </c>
      <c r="D514" s="10"/>
      <c r="E514" s="11" t="str">
        <f>"－"</f>
        <v>－</v>
      </c>
      <c r="F514" s="10"/>
      <c r="G514" s="11" t="str">
        <f>"－"</f>
        <v>－</v>
      </c>
      <c r="H514" s="10"/>
      <c r="I514" s="11" t="str">
        <f>"－"</f>
        <v>－</v>
      </c>
      <c r="J514" s="10"/>
      <c r="K514" s="11" t="str">
        <f>"－"</f>
        <v>－</v>
      </c>
    </row>
    <row r="515">
      <c r="A515" s="8" t="s">
        <v>50</v>
      </c>
      <c r="B515" s="9" t="s">
        <v>81</v>
      </c>
      <c r="C515" s="9" t="s">
        <v>82</v>
      </c>
      <c r="D515" s="10"/>
      <c r="E515" s="11" t="str">
        <f>"－"</f>
        <v>－</v>
      </c>
      <c r="F515" s="10"/>
      <c r="G515" s="11" t="str">
        <f>"－"</f>
        <v>－</v>
      </c>
      <c r="H515" s="10"/>
      <c r="I515" s="11" t="str">
        <f>"－"</f>
        <v>－</v>
      </c>
      <c r="J515" s="10"/>
      <c r="K515" s="11" t="str">
        <f>"－"</f>
        <v>－</v>
      </c>
    </row>
    <row r="516">
      <c r="A516" s="8" t="s">
        <v>16</v>
      </c>
      <c r="B516" s="9" t="s">
        <v>83</v>
      </c>
      <c r="C516" s="9" t="s">
        <v>84</v>
      </c>
      <c r="D516" s="10"/>
      <c r="E516" s="11" t="n">
        <f>4241</f>
        <v>4241.0</v>
      </c>
      <c r="F516" s="10"/>
      <c r="G516" s="11" t="n">
        <f>17319516500</f>
        <v>1.73195165E10</v>
      </c>
      <c r="H516" s="10" t="s">
        <v>19</v>
      </c>
      <c r="I516" s="11" t="str">
        <f>"－"</f>
        <v>－</v>
      </c>
      <c r="J516" s="10"/>
      <c r="K516" s="11" t="n">
        <f>68012</f>
        <v>68012.0</v>
      </c>
    </row>
    <row r="517">
      <c r="A517" s="8" t="s">
        <v>21</v>
      </c>
      <c r="B517" s="9" t="s">
        <v>83</v>
      </c>
      <c r="C517" s="9" t="s">
        <v>84</v>
      </c>
      <c r="D517" s="10" t="s">
        <v>41</v>
      </c>
      <c r="E517" s="11" t="n">
        <f>2972</f>
        <v>2972.0</v>
      </c>
      <c r="F517" s="10" t="s">
        <v>41</v>
      </c>
      <c r="G517" s="11" t="n">
        <f>12052768500</f>
        <v>1.20527685E10</v>
      </c>
      <c r="H517" s="10"/>
      <c r="I517" s="11" t="str">
        <f>"－"</f>
        <v>－</v>
      </c>
      <c r="J517" s="10"/>
      <c r="K517" s="11" t="n">
        <f>65779</f>
        <v>65779.0</v>
      </c>
    </row>
    <row r="518">
      <c r="A518" s="8" t="s">
        <v>22</v>
      </c>
      <c r="B518" s="9" t="s">
        <v>83</v>
      </c>
      <c r="C518" s="9" t="s">
        <v>84</v>
      </c>
      <c r="D518" s="10"/>
      <c r="E518" s="11" t="n">
        <f>6276</f>
        <v>6276.0</v>
      </c>
      <c r="F518" s="10"/>
      <c r="G518" s="11" t="n">
        <f>25889577000</f>
        <v>2.5889577E10</v>
      </c>
      <c r="H518" s="10"/>
      <c r="I518" s="11" t="str">
        <f>"－"</f>
        <v>－</v>
      </c>
      <c r="J518" s="10"/>
      <c r="K518" s="11" t="n">
        <f>66358</f>
        <v>66358.0</v>
      </c>
    </row>
    <row r="519">
      <c r="A519" s="8" t="s">
        <v>23</v>
      </c>
      <c r="B519" s="9" t="s">
        <v>83</v>
      </c>
      <c r="C519" s="9" t="s">
        <v>84</v>
      </c>
      <c r="D519" s="10"/>
      <c r="E519" s="11"/>
      <c r="F519" s="10"/>
      <c r="G519" s="11"/>
      <c r="H519" s="10"/>
      <c r="I519" s="11"/>
      <c r="J519" s="10"/>
      <c r="K519" s="11"/>
    </row>
    <row r="520">
      <c r="A520" s="8" t="s">
        <v>24</v>
      </c>
      <c r="B520" s="9" t="s">
        <v>83</v>
      </c>
      <c r="C520" s="9" t="s">
        <v>84</v>
      </c>
      <c r="D520" s="10"/>
      <c r="E520" s="11"/>
      <c r="F520" s="10"/>
      <c r="G520" s="11"/>
      <c r="H520" s="10"/>
      <c r="I520" s="11"/>
      <c r="J520" s="10"/>
      <c r="K520" s="11"/>
    </row>
    <row r="521">
      <c r="A521" s="8" t="s">
        <v>25</v>
      </c>
      <c r="B521" s="9" t="s">
        <v>83</v>
      </c>
      <c r="C521" s="9" t="s">
        <v>84</v>
      </c>
      <c r="D521" s="10"/>
      <c r="E521" s="11" t="n">
        <f>6482</f>
        <v>6482.0</v>
      </c>
      <c r="F521" s="10"/>
      <c r="G521" s="11" t="n">
        <f>27506083500</f>
        <v>2.75060835E10</v>
      </c>
      <c r="H521" s="10"/>
      <c r="I521" s="11" t="str">
        <f>"－"</f>
        <v>－</v>
      </c>
      <c r="J521" s="10"/>
      <c r="K521" s="11" t="n">
        <f>67251</f>
        <v>67251.0</v>
      </c>
    </row>
    <row r="522">
      <c r="A522" s="8" t="s">
        <v>26</v>
      </c>
      <c r="B522" s="9" t="s">
        <v>83</v>
      </c>
      <c r="C522" s="9" t="s">
        <v>84</v>
      </c>
      <c r="D522" s="10"/>
      <c r="E522" s="11" t="n">
        <f>20987</f>
        <v>20987.0</v>
      </c>
      <c r="F522" s="10"/>
      <c r="G522" s="11" t="n">
        <f>90046837500</f>
        <v>9.00468375E10</v>
      </c>
      <c r="H522" s="10"/>
      <c r="I522" s="11" t="str">
        <f>"－"</f>
        <v>－</v>
      </c>
      <c r="J522" s="10"/>
      <c r="K522" s="11" t="n">
        <f>66412</f>
        <v>66412.0</v>
      </c>
    </row>
    <row r="523">
      <c r="A523" s="8" t="s">
        <v>27</v>
      </c>
      <c r="B523" s="9" t="s">
        <v>83</v>
      </c>
      <c r="C523" s="9" t="s">
        <v>84</v>
      </c>
      <c r="D523" s="10" t="s">
        <v>20</v>
      </c>
      <c r="E523" s="11" t="n">
        <f>23814</f>
        <v>23814.0</v>
      </c>
      <c r="F523" s="10" t="s">
        <v>20</v>
      </c>
      <c r="G523" s="11" t="n">
        <f>103677793000</f>
        <v>1.03677793E11</v>
      </c>
      <c r="H523" s="10"/>
      <c r="I523" s="11" t="str">
        <f>"－"</f>
        <v>－</v>
      </c>
      <c r="J523" s="10"/>
      <c r="K523" s="11" t="n">
        <f>66838</f>
        <v>66838.0</v>
      </c>
    </row>
    <row r="524">
      <c r="A524" s="8" t="s">
        <v>28</v>
      </c>
      <c r="B524" s="9" t="s">
        <v>83</v>
      </c>
      <c r="C524" s="9" t="s">
        <v>84</v>
      </c>
      <c r="D524" s="10"/>
      <c r="E524" s="11" t="n">
        <f>21339</f>
        <v>21339.0</v>
      </c>
      <c r="F524" s="10"/>
      <c r="G524" s="11" t="n">
        <f>95635326500</f>
        <v>9.56353265E10</v>
      </c>
      <c r="H524" s="10"/>
      <c r="I524" s="11" t="str">
        <f>"－"</f>
        <v>－</v>
      </c>
      <c r="J524" s="10"/>
      <c r="K524" s="11" t="n">
        <f>68645</f>
        <v>68645.0</v>
      </c>
    </row>
    <row r="525">
      <c r="A525" s="8" t="s">
        <v>29</v>
      </c>
      <c r="B525" s="9" t="s">
        <v>83</v>
      </c>
      <c r="C525" s="9" t="s">
        <v>84</v>
      </c>
      <c r="D525" s="10"/>
      <c r="E525" s="11" t="n">
        <f>22337</f>
        <v>22337.0</v>
      </c>
      <c r="F525" s="10"/>
      <c r="G525" s="11" t="n">
        <f>99836394500</f>
        <v>9.98363945E10</v>
      </c>
      <c r="H525" s="10"/>
      <c r="I525" s="11" t="str">
        <f>"－"</f>
        <v>－</v>
      </c>
      <c r="J525" s="10"/>
      <c r="K525" s="11" t="n">
        <f>67297</f>
        <v>67297.0</v>
      </c>
    </row>
    <row r="526">
      <c r="A526" s="8" t="s">
        <v>30</v>
      </c>
      <c r="B526" s="9" t="s">
        <v>83</v>
      </c>
      <c r="C526" s="9" t="s">
        <v>84</v>
      </c>
      <c r="D526" s="10"/>
      <c r="E526" s="11"/>
      <c r="F526" s="10"/>
      <c r="G526" s="11"/>
      <c r="H526" s="10"/>
      <c r="I526" s="11"/>
      <c r="J526" s="10"/>
      <c r="K526" s="11"/>
    </row>
    <row r="527">
      <c r="A527" s="8" t="s">
        <v>31</v>
      </c>
      <c r="B527" s="9" t="s">
        <v>83</v>
      </c>
      <c r="C527" s="9" t="s">
        <v>84</v>
      </c>
      <c r="D527" s="10"/>
      <c r="E527" s="11"/>
      <c r="F527" s="10"/>
      <c r="G527" s="11"/>
      <c r="H527" s="10"/>
      <c r="I527" s="11"/>
      <c r="J527" s="10"/>
      <c r="K527" s="11"/>
    </row>
    <row r="528">
      <c r="A528" s="8" t="s">
        <v>32</v>
      </c>
      <c r="B528" s="9" t="s">
        <v>83</v>
      </c>
      <c r="C528" s="9" t="s">
        <v>84</v>
      </c>
      <c r="D528" s="10"/>
      <c r="E528" s="11" t="n">
        <f>20423</f>
        <v>20423.0</v>
      </c>
      <c r="F528" s="10"/>
      <c r="G528" s="11" t="n">
        <f>88925699000</f>
        <v>8.8925699E10</v>
      </c>
      <c r="H528" s="10"/>
      <c r="I528" s="11" t="str">
        <f>"－"</f>
        <v>－</v>
      </c>
      <c r="J528" s="10"/>
      <c r="K528" s="11" t="n">
        <f>68737</f>
        <v>68737.0</v>
      </c>
    </row>
    <row r="529">
      <c r="A529" s="8" t="s">
        <v>33</v>
      </c>
      <c r="B529" s="9" t="s">
        <v>83</v>
      </c>
      <c r="C529" s="9" t="s">
        <v>84</v>
      </c>
      <c r="D529" s="10"/>
      <c r="E529" s="11" t="n">
        <f>6892</f>
        <v>6892.0</v>
      </c>
      <c r="F529" s="10"/>
      <c r="G529" s="11" t="n">
        <f>30172671000</f>
        <v>3.0172671E10</v>
      </c>
      <c r="H529" s="10"/>
      <c r="I529" s="11" t="str">
        <f>"－"</f>
        <v>－</v>
      </c>
      <c r="J529" s="10" t="s">
        <v>20</v>
      </c>
      <c r="K529" s="11" t="n">
        <f>69469</f>
        <v>69469.0</v>
      </c>
    </row>
    <row r="530">
      <c r="A530" s="8" t="s">
        <v>34</v>
      </c>
      <c r="B530" s="9" t="s">
        <v>83</v>
      </c>
      <c r="C530" s="9" t="s">
        <v>84</v>
      </c>
      <c r="D530" s="10"/>
      <c r="E530" s="11" t="n">
        <f>6112</f>
        <v>6112.0</v>
      </c>
      <c r="F530" s="10"/>
      <c r="G530" s="11" t="n">
        <f>26647528500</f>
        <v>2.66475285E10</v>
      </c>
      <c r="H530" s="10"/>
      <c r="I530" s="11" t="str">
        <f>"－"</f>
        <v>－</v>
      </c>
      <c r="J530" s="10"/>
      <c r="K530" s="11" t="n">
        <f>68110</f>
        <v>68110.0</v>
      </c>
    </row>
    <row r="531">
      <c r="A531" s="8" t="s">
        <v>35</v>
      </c>
      <c r="B531" s="9" t="s">
        <v>83</v>
      </c>
      <c r="C531" s="9" t="s">
        <v>84</v>
      </c>
      <c r="D531" s="10"/>
      <c r="E531" s="11" t="n">
        <f>4318</f>
        <v>4318.0</v>
      </c>
      <c r="F531" s="10"/>
      <c r="G531" s="11" t="n">
        <f>18507448500</f>
        <v>1.85074485E10</v>
      </c>
      <c r="H531" s="10"/>
      <c r="I531" s="11" t="str">
        <f>"－"</f>
        <v>－</v>
      </c>
      <c r="J531" s="10"/>
      <c r="K531" s="11" t="n">
        <f>67385</f>
        <v>67385.0</v>
      </c>
    </row>
    <row r="532">
      <c r="A532" s="8" t="s">
        <v>36</v>
      </c>
      <c r="B532" s="9" t="s">
        <v>83</v>
      </c>
      <c r="C532" s="9" t="s">
        <v>84</v>
      </c>
      <c r="D532" s="10"/>
      <c r="E532" s="11" t="n">
        <f>3810</f>
        <v>3810.0</v>
      </c>
      <c r="F532" s="10"/>
      <c r="G532" s="11" t="n">
        <f>16224570500</f>
        <v>1.62245705E10</v>
      </c>
      <c r="H532" s="10"/>
      <c r="I532" s="11" t="str">
        <f>"－"</f>
        <v>－</v>
      </c>
      <c r="J532" s="10"/>
      <c r="K532" s="11" t="n">
        <f>67185</f>
        <v>67185.0</v>
      </c>
    </row>
    <row r="533">
      <c r="A533" s="8" t="s">
        <v>37</v>
      </c>
      <c r="B533" s="9" t="s">
        <v>83</v>
      </c>
      <c r="C533" s="9" t="s">
        <v>84</v>
      </c>
      <c r="D533" s="10"/>
      <c r="E533" s="11"/>
      <c r="F533" s="10"/>
      <c r="G533" s="11"/>
      <c r="H533" s="10"/>
      <c r="I533" s="11"/>
      <c r="J533" s="10"/>
      <c r="K533" s="11"/>
    </row>
    <row r="534">
      <c r="A534" s="8" t="s">
        <v>38</v>
      </c>
      <c r="B534" s="9" t="s">
        <v>83</v>
      </c>
      <c r="C534" s="9" t="s">
        <v>84</v>
      </c>
      <c r="D534" s="10"/>
      <c r="E534" s="11"/>
      <c r="F534" s="10"/>
      <c r="G534" s="11"/>
      <c r="H534" s="10"/>
      <c r="I534" s="11"/>
      <c r="J534" s="10"/>
      <c r="K534" s="11"/>
    </row>
    <row r="535">
      <c r="A535" s="8" t="s">
        <v>39</v>
      </c>
      <c r="B535" s="9" t="s">
        <v>83</v>
      </c>
      <c r="C535" s="9" t="s">
        <v>84</v>
      </c>
      <c r="D535" s="10"/>
      <c r="E535" s="11" t="n">
        <f>6771</f>
        <v>6771.0</v>
      </c>
      <c r="F535" s="10"/>
      <c r="G535" s="11" t="n">
        <f>27782387500</f>
        <v>2.77823875E10</v>
      </c>
      <c r="H535" s="10"/>
      <c r="I535" s="11" t="str">
        <f>"－"</f>
        <v>－</v>
      </c>
      <c r="J535" s="10"/>
      <c r="K535" s="11" t="n">
        <f>65510</f>
        <v>65510.0</v>
      </c>
    </row>
    <row r="536">
      <c r="A536" s="8" t="s">
        <v>40</v>
      </c>
      <c r="B536" s="9" t="s">
        <v>83</v>
      </c>
      <c r="C536" s="9" t="s">
        <v>84</v>
      </c>
      <c r="D536" s="10"/>
      <c r="E536" s="11" t="n">
        <f>3642</f>
        <v>3642.0</v>
      </c>
      <c r="F536" s="10"/>
      <c r="G536" s="11" t="n">
        <f>15031290000</f>
        <v>1.503129E10</v>
      </c>
      <c r="H536" s="10"/>
      <c r="I536" s="11" t="str">
        <f>"－"</f>
        <v>－</v>
      </c>
      <c r="J536" s="10"/>
      <c r="K536" s="11" t="n">
        <f>66012</f>
        <v>66012.0</v>
      </c>
    </row>
    <row r="537">
      <c r="A537" s="8" t="s">
        <v>42</v>
      </c>
      <c r="B537" s="9" t="s">
        <v>83</v>
      </c>
      <c r="C537" s="9" t="s">
        <v>84</v>
      </c>
      <c r="D537" s="10"/>
      <c r="E537" s="11" t="n">
        <f>4806</f>
        <v>4806.0</v>
      </c>
      <c r="F537" s="10"/>
      <c r="G537" s="11" t="n">
        <f>19372357500</f>
        <v>1.93723575E10</v>
      </c>
      <c r="H537" s="10"/>
      <c r="I537" s="11" t="str">
        <f>"－"</f>
        <v>－</v>
      </c>
      <c r="J537" s="10"/>
      <c r="K537" s="11" t="n">
        <f>64871</f>
        <v>64871.0</v>
      </c>
    </row>
    <row r="538">
      <c r="A538" s="8" t="s">
        <v>43</v>
      </c>
      <c r="B538" s="9" t="s">
        <v>83</v>
      </c>
      <c r="C538" s="9" t="s">
        <v>84</v>
      </c>
      <c r="D538" s="10"/>
      <c r="E538" s="11" t="n">
        <f>4569</f>
        <v>4569.0</v>
      </c>
      <c r="F538" s="10"/>
      <c r="G538" s="11" t="n">
        <f>18062413000</f>
        <v>1.8062413E10</v>
      </c>
      <c r="H538" s="10"/>
      <c r="I538" s="11" t="str">
        <f>"－"</f>
        <v>－</v>
      </c>
      <c r="J538" s="10"/>
      <c r="K538" s="11" t="n">
        <f>64453</f>
        <v>64453.0</v>
      </c>
    </row>
    <row r="539">
      <c r="A539" s="8" t="s">
        <v>44</v>
      </c>
      <c r="B539" s="9" t="s">
        <v>83</v>
      </c>
      <c r="C539" s="9" t="s">
        <v>84</v>
      </c>
      <c r="D539" s="10"/>
      <c r="E539" s="11" t="n">
        <f>5412</f>
        <v>5412.0</v>
      </c>
      <c r="F539" s="10"/>
      <c r="G539" s="11" t="n">
        <f>21074222000</f>
        <v>2.1074222E10</v>
      </c>
      <c r="H539" s="10"/>
      <c r="I539" s="11" t="str">
        <f>"－"</f>
        <v>－</v>
      </c>
      <c r="J539" s="10" t="s">
        <v>41</v>
      </c>
      <c r="K539" s="11" t="n">
        <f>63027</f>
        <v>63027.0</v>
      </c>
    </row>
    <row r="540">
      <c r="A540" s="8" t="s">
        <v>45</v>
      </c>
      <c r="B540" s="9" t="s">
        <v>83</v>
      </c>
      <c r="C540" s="9" t="s">
        <v>84</v>
      </c>
      <c r="D540" s="10"/>
      <c r="E540" s="11"/>
      <c r="F540" s="10"/>
      <c r="G540" s="11"/>
      <c r="H540" s="10"/>
      <c r="I540" s="11"/>
      <c r="J540" s="10"/>
      <c r="K540" s="11"/>
    </row>
    <row r="541">
      <c r="A541" s="8" t="s">
        <v>46</v>
      </c>
      <c r="B541" s="9" t="s">
        <v>83</v>
      </c>
      <c r="C541" s="9" t="s">
        <v>84</v>
      </c>
      <c r="D541" s="10"/>
      <c r="E541" s="11"/>
      <c r="F541" s="10"/>
      <c r="G541" s="11"/>
      <c r="H541" s="10"/>
      <c r="I541" s="11"/>
      <c r="J541" s="10"/>
      <c r="K541" s="11"/>
    </row>
    <row r="542">
      <c r="A542" s="8" t="s">
        <v>47</v>
      </c>
      <c r="B542" s="9" t="s">
        <v>83</v>
      </c>
      <c r="C542" s="9" t="s">
        <v>84</v>
      </c>
      <c r="D542" s="10"/>
      <c r="E542" s="11" t="n">
        <f>4485</f>
        <v>4485.0</v>
      </c>
      <c r="F542" s="10"/>
      <c r="G542" s="11" t="n">
        <f>17775130000</f>
        <v>1.777513E10</v>
      </c>
      <c r="H542" s="10"/>
      <c r="I542" s="11" t="str">
        <f>"－"</f>
        <v>－</v>
      </c>
      <c r="J542" s="10"/>
      <c r="K542" s="11" t="n">
        <f>63226</f>
        <v>63226.0</v>
      </c>
    </row>
    <row r="543">
      <c r="A543" s="8" t="s">
        <v>48</v>
      </c>
      <c r="B543" s="9" t="s">
        <v>83</v>
      </c>
      <c r="C543" s="9" t="s">
        <v>84</v>
      </c>
      <c r="D543" s="10"/>
      <c r="E543" s="11" t="n">
        <f>4731</f>
        <v>4731.0</v>
      </c>
      <c r="F543" s="10"/>
      <c r="G543" s="11" t="n">
        <f>19374192500</f>
        <v>1.93741925E10</v>
      </c>
      <c r="H543" s="10"/>
      <c r="I543" s="11" t="str">
        <f>"－"</f>
        <v>－</v>
      </c>
      <c r="J543" s="10"/>
      <c r="K543" s="11" t="n">
        <f>63959</f>
        <v>63959.0</v>
      </c>
    </row>
    <row r="544">
      <c r="A544" s="8" t="s">
        <v>49</v>
      </c>
      <c r="B544" s="9" t="s">
        <v>83</v>
      </c>
      <c r="C544" s="9" t="s">
        <v>84</v>
      </c>
      <c r="D544" s="10"/>
      <c r="E544" s="11" t="n">
        <f>3123</f>
        <v>3123.0</v>
      </c>
      <c r="F544" s="10"/>
      <c r="G544" s="11" t="n">
        <f>13037596500</f>
        <v>1.30375965E10</v>
      </c>
      <c r="H544" s="10"/>
      <c r="I544" s="11" t="str">
        <f>"－"</f>
        <v>－</v>
      </c>
      <c r="J544" s="10"/>
      <c r="K544" s="11" t="n">
        <f>64178</f>
        <v>64178.0</v>
      </c>
    </row>
    <row r="545">
      <c r="A545" s="8" t="s">
        <v>50</v>
      </c>
      <c r="B545" s="9" t="s">
        <v>83</v>
      </c>
      <c r="C545" s="9" t="s">
        <v>84</v>
      </c>
      <c r="D545" s="10"/>
      <c r="E545" s="11" t="n">
        <f>3456</f>
        <v>3456.0</v>
      </c>
      <c r="F545" s="10"/>
      <c r="G545" s="11" t="n">
        <f>14364837500</f>
        <v>1.43648375E10</v>
      </c>
      <c r="H545" s="10"/>
      <c r="I545" s="11" t="str">
        <f>"－"</f>
        <v>－</v>
      </c>
      <c r="J545" s="10"/>
      <c r="K545" s="11" t="n">
        <f>63775</f>
        <v>63775.0</v>
      </c>
    </row>
    <row r="546">
      <c r="A546" s="8" t="s">
        <v>16</v>
      </c>
      <c r="B546" s="9" t="s">
        <v>85</v>
      </c>
      <c r="C546" s="9" t="s">
        <v>86</v>
      </c>
      <c r="D546" s="10" t="s">
        <v>41</v>
      </c>
      <c r="E546" s="11" t="str">
        <f>"－"</f>
        <v>－</v>
      </c>
      <c r="F546" s="10" t="s">
        <v>41</v>
      </c>
      <c r="G546" s="11" t="str">
        <f>"－"</f>
        <v>－</v>
      </c>
      <c r="H546" s="10" t="s">
        <v>19</v>
      </c>
      <c r="I546" s="11" t="str">
        <f>"－"</f>
        <v>－</v>
      </c>
      <c r="J546" s="10" t="s">
        <v>20</v>
      </c>
      <c r="K546" s="11" t="n">
        <f>3359</f>
        <v>3359.0</v>
      </c>
    </row>
    <row r="547">
      <c r="A547" s="8" t="s">
        <v>21</v>
      </c>
      <c r="B547" s="9" t="s">
        <v>85</v>
      </c>
      <c r="C547" s="9" t="s">
        <v>86</v>
      </c>
      <c r="D547" s="10"/>
      <c r="E547" s="11" t="str">
        <f>"－"</f>
        <v>－</v>
      </c>
      <c r="F547" s="10"/>
      <c r="G547" s="11" t="str">
        <f>"－"</f>
        <v>－</v>
      </c>
      <c r="H547" s="10"/>
      <c r="I547" s="11" t="str">
        <f>"－"</f>
        <v>－</v>
      </c>
      <c r="J547" s="10"/>
      <c r="K547" s="11" t="n">
        <f>3229</f>
        <v>3229.0</v>
      </c>
    </row>
    <row r="548">
      <c r="A548" s="8" t="s">
        <v>22</v>
      </c>
      <c r="B548" s="9" t="s">
        <v>85</v>
      </c>
      <c r="C548" s="9" t="s">
        <v>86</v>
      </c>
      <c r="D548" s="10"/>
      <c r="E548" s="11" t="str">
        <f>"－"</f>
        <v>－</v>
      </c>
      <c r="F548" s="10"/>
      <c r="G548" s="11" t="str">
        <f>"－"</f>
        <v>－</v>
      </c>
      <c r="H548" s="10"/>
      <c r="I548" s="11" t="str">
        <f>"－"</f>
        <v>－</v>
      </c>
      <c r="J548" s="10"/>
      <c r="K548" s="11" t="n">
        <f>3229</f>
        <v>3229.0</v>
      </c>
    </row>
    <row r="549">
      <c r="A549" s="8" t="s">
        <v>23</v>
      </c>
      <c r="B549" s="9" t="s">
        <v>85</v>
      </c>
      <c r="C549" s="9" t="s">
        <v>86</v>
      </c>
      <c r="D549" s="10"/>
      <c r="E549" s="11"/>
      <c r="F549" s="10"/>
      <c r="G549" s="11"/>
      <c r="H549" s="10"/>
      <c r="I549" s="11"/>
      <c r="J549" s="10"/>
      <c r="K549" s="11"/>
    </row>
    <row r="550">
      <c r="A550" s="8" t="s">
        <v>24</v>
      </c>
      <c r="B550" s="9" t="s">
        <v>85</v>
      </c>
      <c r="C550" s="9" t="s">
        <v>86</v>
      </c>
      <c r="D550" s="10"/>
      <c r="E550" s="11"/>
      <c r="F550" s="10"/>
      <c r="G550" s="11"/>
      <c r="H550" s="10"/>
      <c r="I550" s="11"/>
      <c r="J550" s="10"/>
      <c r="K550" s="11"/>
    </row>
    <row r="551">
      <c r="A551" s="8" t="s">
        <v>25</v>
      </c>
      <c r="B551" s="9" t="s">
        <v>85</v>
      </c>
      <c r="C551" s="9" t="s">
        <v>86</v>
      </c>
      <c r="D551" s="10"/>
      <c r="E551" s="11" t="n">
        <f>10</f>
        <v>10.0</v>
      </c>
      <c r="F551" s="10"/>
      <c r="G551" s="11" t="n">
        <f>17856000</f>
        <v>1.7856E7</v>
      </c>
      <c r="H551" s="10"/>
      <c r="I551" s="11" t="str">
        <f>"－"</f>
        <v>－</v>
      </c>
      <c r="J551" s="10"/>
      <c r="K551" s="11" t="n">
        <f>3229</f>
        <v>3229.0</v>
      </c>
    </row>
    <row r="552">
      <c r="A552" s="8" t="s">
        <v>26</v>
      </c>
      <c r="B552" s="9" t="s">
        <v>85</v>
      </c>
      <c r="C552" s="9" t="s">
        <v>86</v>
      </c>
      <c r="D552" s="10"/>
      <c r="E552" s="11" t="n">
        <f>50</f>
        <v>50.0</v>
      </c>
      <c r="F552" s="10"/>
      <c r="G552" s="11" t="n">
        <f>97200000</f>
        <v>9.72E7</v>
      </c>
      <c r="H552" s="10"/>
      <c r="I552" s="11" t="str">
        <f>"－"</f>
        <v>－</v>
      </c>
      <c r="J552" s="10"/>
      <c r="K552" s="11" t="n">
        <f>3229</f>
        <v>3229.0</v>
      </c>
    </row>
    <row r="553">
      <c r="A553" s="8" t="s">
        <v>27</v>
      </c>
      <c r="B553" s="9" t="s">
        <v>85</v>
      </c>
      <c r="C553" s="9" t="s">
        <v>86</v>
      </c>
      <c r="D553" s="10"/>
      <c r="E553" s="11" t="str">
        <f>"－"</f>
        <v>－</v>
      </c>
      <c r="F553" s="10"/>
      <c r="G553" s="11" t="str">
        <f>"－"</f>
        <v>－</v>
      </c>
      <c r="H553" s="10"/>
      <c r="I553" s="11" t="str">
        <f>"－"</f>
        <v>－</v>
      </c>
      <c r="J553" s="10"/>
      <c r="K553" s="11" t="n">
        <f>3229</f>
        <v>3229.0</v>
      </c>
    </row>
    <row r="554">
      <c r="A554" s="8" t="s">
        <v>28</v>
      </c>
      <c r="B554" s="9" t="s">
        <v>85</v>
      </c>
      <c r="C554" s="9" t="s">
        <v>86</v>
      </c>
      <c r="D554" s="10"/>
      <c r="E554" s="11" t="str">
        <f>"－"</f>
        <v>－</v>
      </c>
      <c r="F554" s="10"/>
      <c r="G554" s="11" t="str">
        <f>"－"</f>
        <v>－</v>
      </c>
      <c r="H554" s="10"/>
      <c r="I554" s="11" t="str">
        <f>"－"</f>
        <v>－</v>
      </c>
      <c r="J554" s="10"/>
      <c r="K554" s="11" t="n">
        <f>3229</f>
        <v>3229.0</v>
      </c>
    </row>
    <row r="555">
      <c r="A555" s="8" t="s">
        <v>29</v>
      </c>
      <c r="B555" s="9" t="s">
        <v>85</v>
      </c>
      <c r="C555" s="9" t="s">
        <v>86</v>
      </c>
      <c r="D555" s="10"/>
      <c r="E555" s="11" t="str">
        <f>"－"</f>
        <v>－</v>
      </c>
      <c r="F555" s="10"/>
      <c r="G555" s="11" t="str">
        <f>"－"</f>
        <v>－</v>
      </c>
      <c r="H555" s="10"/>
      <c r="I555" s="11" t="str">
        <f>"－"</f>
        <v>－</v>
      </c>
      <c r="J555" s="10"/>
      <c r="K555" s="11" t="n">
        <f>3229</f>
        <v>3229.0</v>
      </c>
    </row>
    <row r="556">
      <c r="A556" s="8" t="s">
        <v>30</v>
      </c>
      <c r="B556" s="9" t="s">
        <v>85</v>
      </c>
      <c r="C556" s="9" t="s">
        <v>86</v>
      </c>
      <c r="D556" s="10"/>
      <c r="E556" s="11"/>
      <c r="F556" s="10"/>
      <c r="G556" s="11"/>
      <c r="H556" s="10"/>
      <c r="I556" s="11"/>
      <c r="J556" s="10"/>
      <c r="K556" s="11"/>
    </row>
    <row r="557">
      <c r="A557" s="8" t="s">
        <v>31</v>
      </c>
      <c r="B557" s="9" t="s">
        <v>85</v>
      </c>
      <c r="C557" s="9" t="s">
        <v>86</v>
      </c>
      <c r="D557" s="10"/>
      <c r="E557" s="11"/>
      <c r="F557" s="10"/>
      <c r="G557" s="11"/>
      <c r="H557" s="10"/>
      <c r="I557" s="11"/>
      <c r="J557" s="10"/>
      <c r="K557" s="11"/>
    </row>
    <row r="558">
      <c r="A558" s="8" t="s">
        <v>32</v>
      </c>
      <c r="B558" s="9" t="s">
        <v>85</v>
      </c>
      <c r="C558" s="9" t="s">
        <v>86</v>
      </c>
      <c r="D558" s="10"/>
      <c r="E558" s="11" t="str">
        <f>"－"</f>
        <v>－</v>
      </c>
      <c r="F558" s="10"/>
      <c r="G558" s="11" t="str">
        <f>"－"</f>
        <v>－</v>
      </c>
      <c r="H558" s="10"/>
      <c r="I558" s="11" t="str">
        <f>"－"</f>
        <v>－</v>
      </c>
      <c r="J558" s="10"/>
      <c r="K558" s="11" t="n">
        <f>3229</f>
        <v>3229.0</v>
      </c>
    </row>
    <row r="559">
      <c r="A559" s="8" t="s">
        <v>33</v>
      </c>
      <c r="B559" s="9" t="s">
        <v>85</v>
      </c>
      <c r="C559" s="9" t="s">
        <v>86</v>
      </c>
      <c r="D559" s="10"/>
      <c r="E559" s="11" t="n">
        <f>21</f>
        <v>21.0</v>
      </c>
      <c r="F559" s="10"/>
      <c r="G559" s="11" t="n">
        <f>44509200</f>
        <v>4.45092E7</v>
      </c>
      <c r="H559" s="10"/>
      <c r="I559" s="11" t="str">
        <f>"－"</f>
        <v>－</v>
      </c>
      <c r="J559" s="10"/>
      <c r="K559" s="11" t="n">
        <f>3249</f>
        <v>3249.0</v>
      </c>
    </row>
    <row r="560">
      <c r="A560" s="8" t="s">
        <v>34</v>
      </c>
      <c r="B560" s="9" t="s">
        <v>85</v>
      </c>
      <c r="C560" s="9" t="s">
        <v>86</v>
      </c>
      <c r="D560" s="10"/>
      <c r="E560" s="11" t="n">
        <f>31</f>
        <v>31.0</v>
      </c>
      <c r="F560" s="10"/>
      <c r="G560" s="11" t="n">
        <f>69336000</f>
        <v>6.9336E7</v>
      </c>
      <c r="H560" s="10"/>
      <c r="I560" s="11" t="str">
        <f>"－"</f>
        <v>－</v>
      </c>
      <c r="J560" s="10"/>
      <c r="K560" s="11" t="n">
        <f>3249</f>
        <v>3249.0</v>
      </c>
    </row>
    <row r="561">
      <c r="A561" s="8" t="s">
        <v>35</v>
      </c>
      <c r="B561" s="9" t="s">
        <v>85</v>
      </c>
      <c r="C561" s="9" t="s">
        <v>86</v>
      </c>
      <c r="D561" s="10"/>
      <c r="E561" s="11" t="n">
        <f>42</f>
        <v>42.0</v>
      </c>
      <c r="F561" s="10"/>
      <c r="G561" s="11" t="n">
        <f>101640000</f>
        <v>1.0164E8</v>
      </c>
      <c r="H561" s="10"/>
      <c r="I561" s="11" t="str">
        <f>"－"</f>
        <v>－</v>
      </c>
      <c r="J561" s="10"/>
      <c r="K561" s="11" t="n">
        <f>3249</f>
        <v>3249.0</v>
      </c>
    </row>
    <row r="562">
      <c r="A562" s="8" t="s">
        <v>36</v>
      </c>
      <c r="B562" s="9" t="s">
        <v>85</v>
      </c>
      <c r="C562" s="9" t="s">
        <v>86</v>
      </c>
      <c r="D562" s="10"/>
      <c r="E562" s="11" t="str">
        <f>"－"</f>
        <v>－</v>
      </c>
      <c r="F562" s="10"/>
      <c r="G562" s="11" t="str">
        <f>"－"</f>
        <v>－</v>
      </c>
      <c r="H562" s="10"/>
      <c r="I562" s="11" t="str">
        <f>"－"</f>
        <v>－</v>
      </c>
      <c r="J562" s="10"/>
      <c r="K562" s="11" t="n">
        <f>3249</f>
        <v>3249.0</v>
      </c>
    </row>
    <row r="563">
      <c r="A563" s="8" t="s">
        <v>37</v>
      </c>
      <c r="B563" s="9" t="s">
        <v>85</v>
      </c>
      <c r="C563" s="9" t="s">
        <v>86</v>
      </c>
      <c r="D563" s="10"/>
      <c r="E563" s="11"/>
      <c r="F563" s="10"/>
      <c r="G563" s="11"/>
      <c r="H563" s="10"/>
      <c r="I563" s="11"/>
      <c r="J563" s="10"/>
      <c r="K563" s="11"/>
    </row>
    <row r="564">
      <c r="A564" s="8" t="s">
        <v>38</v>
      </c>
      <c r="B564" s="9" t="s">
        <v>85</v>
      </c>
      <c r="C564" s="9" t="s">
        <v>86</v>
      </c>
      <c r="D564" s="10"/>
      <c r="E564" s="11"/>
      <c r="F564" s="10"/>
      <c r="G564" s="11"/>
      <c r="H564" s="10"/>
      <c r="I564" s="11"/>
      <c r="J564" s="10"/>
      <c r="K564" s="11"/>
    </row>
    <row r="565">
      <c r="A565" s="8" t="s">
        <v>39</v>
      </c>
      <c r="B565" s="9" t="s">
        <v>85</v>
      </c>
      <c r="C565" s="9" t="s">
        <v>86</v>
      </c>
      <c r="D565" s="10"/>
      <c r="E565" s="11" t="str">
        <f>"－"</f>
        <v>－</v>
      </c>
      <c r="F565" s="10"/>
      <c r="G565" s="11" t="str">
        <f>"－"</f>
        <v>－</v>
      </c>
      <c r="H565" s="10"/>
      <c r="I565" s="11" t="str">
        <f>"－"</f>
        <v>－</v>
      </c>
      <c r="J565" s="10"/>
      <c r="K565" s="11" t="n">
        <f>3249</f>
        <v>3249.0</v>
      </c>
    </row>
    <row r="566">
      <c r="A566" s="8" t="s">
        <v>40</v>
      </c>
      <c r="B566" s="9" t="s">
        <v>85</v>
      </c>
      <c r="C566" s="9" t="s">
        <v>86</v>
      </c>
      <c r="D566" s="10"/>
      <c r="E566" s="11" t="str">
        <f>"－"</f>
        <v>－</v>
      </c>
      <c r="F566" s="10"/>
      <c r="G566" s="11" t="str">
        <f>"－"</f>
        <v>－</v>
      </c>
      <c r="H566" s="10"/>
      <c r="I566" s="11" t="str">
        <f>"－"</f>
        <v>－</v>
      </c>
      <c r="J566" s="10"/>
      <c r="K566" s="11" t="n">
        <f>3249</f>
        <v>3249.0</v>
      </c>
    </row>
    <row r="567">
      <c r="A567" s="8" t="s">
        <v>42</v>
      </c>
      <c r="B567" s="9" t="s">
        <v>85</v>
      </c>
      <c r="C567" s="9" t="s">
        <v>86</v>
      </c>
      <c r="D567" s="10"/>
      <c r="E567" s="11" t="str">
        <f>"－"</f>
        <v>－</v>
      </c>
      <c r="F567" s="10"/>
      <c r="G567" s="11" t="str">
        <f>"－"</f>
        <v>－</v>
      </c>
      <c r="H567" s="10"/>
      <c r="I567" s="11" t="str">
        <f>"－"</f>
        <v>－</v>
      </c>
      <c r="J567" s="10"/>
      <c r="K567" s="11" t="n">
        <f>3249</f>
        <v>3249.0</v>
      </c>
    </row>
    <row r="568">
      <c r="A568" s="8" t="s">
        <v>43</v>
      </c>
      <c r="B568" s="9" t="s">
        <v>85</v>
      </c>
      <c r="C568" s="9" t="s">
        <v>86</v>
      </c>
      <c r="D568" s="10"/>
      <c r="E568" s="11" t="n">
        <f>50</f>
        <v>50.0</v>
      </c>
      <c r="F568" s="10"/>
      <c r="G568" s="11" t="n">
        <f>115320000</f>
        <v>1.1532E8</v>
      </c>
      <c r="H568" s="10"/>
      <c r="I568" s="11" t="str">
        <f>"－"</f>
        <v>－</v>
      </c>
      <c r="J568" s="10"/>
      <c r="K568" s="11" t="n">
        <f>3299</f>
        <v>3299.0</v>
      </c>
    </row>
    <row r="569">
      <c r="A569" s="8" t="s">
        <v>44</v>
      </c>
      <c r="B569" s="9" t="s">
        <v>85</v>
      </c>
      <c r="C569" s="9" t="s">
        <v>86</v>
      </c>
      <c r="D569" s="10"/>
      <c r="E569" s="11" t="n">
        <f>10</f>
        <v>10.0</v>
      </c>
      <c r="F569" s="10"/>
      <c r="G569" s="11" t="n">
        <f>24192000</f>
        <v>2.4192E7</v>
      </c>
      <c r="H569" s="10"/>
      <c r="I569" s="11" t="str">
        <f>"－"</f>
        <v>－</v>
      </c>
      <c r="J569" s="10"/>
      <c r="K569" s="11" t="n">
        <f>3299</f>
        <v>3299.0</v>
      </c>
    </row>
    <row r="570">
      <c r="A570" s="8" t="s">
        <v>45</v>
      </c>
      <c r="B570" s="9" t="s">
        <v>85</v>
      </c>
      <c r="C570" s="9" t="s">
        <v>86</v>
      </c>
      <c r="D570" s="10"/>
      <c r="E570" s="11"/>
      <c r="F570" s="10"/>
      <c r="G570" s="11"/>
      <c r="H570" s="10"/>
      <c r="I570" s="11"/>
      <c r="J570" s="10"/>
      <c r="K570" s="11"/>
    </row>
    <row r="571">
      <c r="A571" s="8" t="s">
        <v>46</v>
      </c>
      <c r="B571" s="9" t="s">
        <v>85</v>
      </c>
      <c r="C571" s="9" t="s">
        <v>86</v>
      </c>
      <c r="D571" s="10"/>
      <c r="E571" s="11"/>
      <c r="F571" s="10"/>
      <c r="G571" s="11"/>
      <c r="H571" s="10"/>
      <c r="I571" s="11"/>
      <c r="J571" s="10"/>
      <c r="K571" s="11"/>
    </row>
    <row r="572">
      <c r="A572" s="8" t="s">
        <v>47</v>
      </c>
      <c r="B572" s="9" t="s">
        <v>85</v>
      </c>
      <c r="C572" s="9" t="s">
        <v>86</v>
      </c>
      <c r="D572" s="10"/>
      <c r="E572" s="11" t="n">
        <f>10</f>
        <v>10.0</v>
      </c>
      <c r="F572" s="10"/>
      <c r="G572" s="11" t="n">
        <f>24864000</f>
        <v>2.4864E7</v>
      </c>
      <c r="H572" s="10"/>
      <c r="I572" s="11" t="str">
        <f>"－"</f>
        <v>－</v>
      </c>
      <c r="J572" s="10"/>
      <c r="K572" s="11" t="n">
        <f>3303</f>
        <v>3303.0</v>
      </c>
    </row>
    <row r="573">
      <c r="A573" s="8" t="s">
        <v>48</v>
      </c>
      <c r="B573" s="9" t="s">
        <v>85</v>
      </c>
      <c r="C573" s="9" t="s">
        <v>86</v>
      </c>
      <c r="D573" s="10"/>
      <c r="E573" s="11" t="str">
        <f>"－"</f>
        <v>－</v>
      </c>
      <c r="F573" s="10"/>
      <c r="G573" s="11" t="str">
        <f>"－"</f>
        <v>－</v>
      </c>
      <c r="H573" s="10"/>
      <c r="I573" s="11" t="str">
        <f>"－"</f>
        <v>－</v>
      </c>
      <c r="J573" s="10"/>
      <c r="K573" s="11" t="n">
        <f>3303</f>
        <v>3303.0</v>
      </c>
    </row>
    <row r="574">
      <c r="A574" s="8" t="s">
        <v>49</v>
      </c>
      <c r="B574" s="9" t="s">
        <v>85</v>
      </c>
      <c r="C574" s="9" t="s">
        <v>86</v>
      </c>
      <c r="D574" s="10" t="s">
        <v>20</v>
      </c>
      <c r="E574" s="11" t="n">
        <f>170</f>
        <v>170.0</v>
      </c>
      <c r="F574" s="10" t="s">
        <v>20</v>
      </c>
      <c r="G574" s="11" t="n">
        <f>488148000</f>
        <v>4.88148E8</v>
      </c>
      <c r="H574" s="10"/>
      <c r="I574" s="11" t="str">
        <f>"－"</f>
        <v>－</v>
      </c>
      <c r="J574" s="10" t="s">
        <v>41</v>
      </c>
      <c r="K574" s="11" t="n">
        <f>3225</f>
        <v>3225.0</v>
      </c>
    </row>
    <row r="575">
      <c r="A575" s="8" t="s">
        <v>50</v>
      </c>
      <c r="B575" s="9" t="s">
        <v>85</v>
      </c>
      <c r="C575" s="9" t="s">
        <v>86</v>
      </c>
      <c r="D575" s="10"/>
      <c r="E575" s="11" t="n">
        <f>80</f>
        <v>80.0</v>
      </c>
      <c r="F575" s="10"/>
      <c r="G575" s="11" t="n">
        <f>220512000</f>
        <v>2.20512E8</v>
      </c>
      <c r="H575" s="10"/>
      <c r="I575" s="11" t="str">
        <f>"－"</f>
        <v>－</v>
      </c>
      <c r="J575" s="10"/>
      <c r="K575" s="11" t="n">
        <f>3235</f>
        <v>3235.0</v>
      </c>
    </row>
    <row r="576">
      <c r="A576" s="8" t="s">
        <v>16</v>
      </c>
      <c r="B576" s="9" t="s">
        <v>87</v>
      </c>
      <c r="C576" s="9" t="s">
        <v>88</v>
      </c>
      <c r="D576" s="10" t="s">
        <v>41</v>
      </c>
      <c r="E576" s="11" t="str">
        <f>"－"</f>
        <v>－</v>
      </c>
      <c r="F576" s="10" t="s">
        <v>41</v>
      </c>
      <c r="G576" s="11" t="str">
        <f>"－"</f>
        <v>－</v>
      </c>
      <c r="H576" s="10" t="s">
        <v>19</v>
      </c>
      <c r="I576" s="11" t="str">
        <f>"－"</f>
        <v>－</v>
      </c>
      <c r="J576" s="10"/>
      <c r="K576" s="11" t="n">
        <f>851</f>
        <v>851.0</v>
      </c>
    </row>
    <row r="577">
      <c r="A577" s="8" t="s">
        <v>21</v>
      </c>
      <c r="B577" s="9" t="s">
        <v>87</v>
      </c>
      <c r="C577" s="9" t="s">
        <v>88</v>
      </c>
      <c r="D577" s="10"/>
      <c r="E577" s="11" t="str">
        <f>"－"</f>
        <v>－</v>
      </c>
      <c r="F577" s="10"/>
      <c r="G577" s="11" t="str">
        <f>"－"</f>
        <v>－</v>
      </c>
      <c r="H577" s="10"/>
      <c r="I577" s="11" t="str">
        <f>"－"</f>
        <v>－</v>
      </c>
      <c r="J577" s="10" t="s">
        <v>41</v>
      </c>
      <c r="K577" s="11" t="n">
        <f>800</f>
        <v>800.0</v>
      </c>
    </row>
    <row r="578">
      <c r="A578" s="8" t="s">
        <v>22</v>
      </c>
      <c r="B578" s="9" t="s">
        <v>87</v>
      </c>
      <c r="C578" s="9" t="s">
        <v>88</v>
      </c>
      <c r="D578" s="10"/>
      <c r="E578" s="11" t="str">
        <f>"－"</f>
        <v>－</v>
      </c>
      <c r="F578" s="10"/>
      <c r="G578" s="11" t="str">
        <f>"－"</f>
        <v>－</v>
      </c>
      <c r="H578" s="10"/>
      <c r="I578" s="11" t="str">
        <f>"－"</f>
        <v>－</v>
      </c>
      <c r="J578" s="10"/>
      <c r="K578" s="11" t="n">
        <f>800</f>
        <v>800.0</v>
      </c>
    </row>
    <row r="579">
      <c r="A579" s="8" t="s">
        <v>23</v>
      </c>
      <c r="B579" s="9" t="s">
        <v>87</v>
      </c>
      <c r="C579" s="9" t="s">
        <v>88</v>
      </c>
      <c r="D579" s="10"/>
      <c r="E579" s="11"/>
      <c r="F579" s="10"/>
      <c r="G579" s="11"/>
      <c r="H579" s="10"/>
      <c r="I579" s="11"/>
      <c r="J579" s="10"/>
      <c r="K579" s="11"/>
    </row>
    <row r="580">
      <c r="A580" s="8" t="s">
        <v>24</v>
      </c>
      <c r="B580" s="9" t="s">
        <v>87</v>
      </c>
      <c r="C580" s="9" t="s">
        <v>88</v>
      </c>
      <c r="D580" s="10"/>
      <c r="E580" s="11"/>
      <c r="F580" s="10"/>
      <c r="G580" s="11"/>
      <c r="H580" s="10"/>
      <c r="I580" s="11"/>
      <c r="J580" s="10"/>
      <c r="K580" s="11"/>
    </row>
    <row r="581">
      <c r="A581" s="8" t="s">
        <v>25</v>
      </c>
      <c r="B581" s="9" t="s">
        <v>87</v>
      </c>
      <c r="C581" s="9" t="s">
        <v>88</v>
      </c>
      <c r="D581" s="10"/>
      <c r="E581" s="11" t="str">
        <f>"－"</f>
        <v>－</v>
      </c>
      <c r="F581" s="10"/>
      <c r="G581" s="11" t="str">
        <f>"－"</f>
        <v>－</v>
      </c>
      <c r="H581" s="10"/>
      <c r="I581" s="11" t="str">
        <f>"－"</f>
        <v>－</v>
      </c>
      <c r="J581" s="10"/>
      <c r="K581" s="11" t="n">
        <f>800</f>
        <v>800.0</v>
      </c>
    </row>
    <row r="582">
      <c r="A582" s="8" t="s">
        <v>26</v>
      </c>
      <c r="B582" s="9" t="s">
        <v>87</v>
      </c>
      <c r="C582" s="9" t="s">
        <v>88</v>
      </c>
      <c r="D582" s="10"/>
      <c r="E582" s="11" t="str">
        <f>"－"</f>
        <v>－</v>
      </c>
      <c r="F582" s="10"/>
      <c r="G582" s="11" t="str">
        <f>"－"</f>
        <v>－</v>
      </c>
      <c r="H582" s="10"/>
      <c r="I582" s="11" t="str">
        <f>"－"</f>
        <v>－</v>
      </c>
      <c r="J582" s="10"/>
      <c r="K582" s="11" t="n">
        <f>800</f>
        <v>800.0</v>
      </c>
    </row>
    <row r="583">
      <c r="A583" s="8" t="s">
        <v>27</v>
      </c>
      <c r="B583" s="9" t="s">
        <v>87</v>
      </c>
      <c r="C583" s="9" t="s">
        <v>88</v>
      </c>
      <c r="D583" s="10"/>
      <c r="E583" s="11" t="str">
        <f>"－"</f>
        <v>－</v>
      </c>
      <c r="F583" s="10"/>
      <c r="G583" s="11" t="str">
        <f>"－"</f>
        <v>－</v>
      </c>
      <c r="H583" s="10"/>
      <c r="I583" s="11" t="str">
        <f>"－"</f>
        <v>－</v>
      </c>
      <c r="J583" s="10"/>
      <c r="K583" s="11" t="n">
        <f>800</f>
        <v>800.0</v>
      </c>
    </row>
    <row r="584">
      <c r="A584" s="8" t="s">
        <v>28</v>
      </c>
      <c r="B584" s="9" t="s">
        <v>87</v>
      </c>
      <c r="C584" s="9" t="s">
        <v>88</v>
      </c>
      <c r="D584" s="10"/>
      <c r="E584" s="11" t="str">
        <f>"－"</f>
        <v>－</v>
      </c>
      <c r="F584" s="10"/>
      <c r="G584" s="11" t="str">
        <f>"－"</f>
        <v>－</v>
      </c>
      <c r="H584" s="10"/>
      <c r="I584" s="11" t="str">
        <f>"－"</f>
        <v>－</v>
      </c>
      <c r="J584" s="10"/>
      <c r="K584" s="11" t="n">
        <f>800</f>
        <v>800.0</v>
      </c>
    </row>
    <row r="585">
      <c r="A585" s="8" t="s">
        <v>29</v>
      </c>
      <c r="B585" s="9" t="s">
        <v>87</v>
      </c>
      <c r="C585" s="9" t="s">
        <v>88</v>
      </c>
      <c r="D585" s="10"/>
      <c r="E585" s="11" t="str">
        <f>"－"</f>
        <v>－</v>
      </c>
      <c r="F585" s="10"/>
      <c r="G585" s="11" t="str">
        <f>"－"</f>
        <v>－</v>
      </c>
      <c r="H585" s="10"/>
      <c r="I585" s="11" t="str">
        <f>"－"</f>
        <v>－</v>
      </c>
      <c r="J585" s="10"/>
      <c r="K585" s="11" t="n">
        <f>800</f>
        <v>800.0</v>
      </c>
    </row>
    <row r="586">
      <c r="A586" s="8" t="s">
        <v>30</v>
      </c>
      <c r="B586" s="9" t="s">
        <v>87</v>
      </c>
      <c r="C586" s="9" t="s">
        <v>88</v>
      </c>
      <c r="D586" s="10"/>
      <c r="E586" s="11"/>
      <c r="F586" s="10"/>
      <c r="G586" s="11"/>
      <c r="H586" s="10"/>
      <c r="I586" s="11"/>
      <c r="J586" s="10"/>
      <c r="K586" s="11"/>
    </row>
    <row r="587">
      <c r="A587" s="8" t="s">
        <v>31</v>
      </c>
      <c r="B587" s="9" t="s">
        <v>87</v>
      </c>
      <c r="C587" s="9" t="s">
        <v>88</v>
      </c>
      <c r="D587" s="10"/>
      <c r="E587" s="11"/>
      <c r="F587" s="10"/>
      <c r="G587" s="11"/>
      <c r="H587" s="10"/>
      <c r="I587" s="11"/>
      <c r="J587" s="10"/>
      <c r="K587" s="11"/>
    </row>
    <row r="588">
      <c r="A588" s="8" t="s">
        <v>32</v>
      </c>
      <c r="B588" s="9" t="s">
        <v>87</v>
      </c>
      <c r="C588" s="9" t="s">
        <v>88</v>
      </c>
      <c r="D588" s="10"/>
      <c r="E588" s="11" t="n">
        <f>6</f>
        <v>6.0</v>
      </c>
      <c r="F588" s="10"/>
      <c r="G588" s="11" t="n">
        <f>11320800</f>
        <v>1.13208E7</v>
      </c>
      <c r="H588" s="10"/>
      <c r="I588" s="11" t="str">
        <f>"－"</f>
        <v>－</v>
      </c>
      <c r="J588" s="10"/>
      <c r="K588" s="11" t="n">
        <f>806</f>
        <v>806.0</v>
      </c>
    </row>
    <row r="589">
      <c r="A589" s="8" t="s">
        <v>33</v>
      </c>
      <c r="B589" s="9" t="s">
        <v>87</v>
      </c>
      <c r="C589" s="9" t="s">
        <v>88</v>
      </c>
      <c r="D589" s="10"/>
      <c r="E589" s="11" t="n">
        <f>10</f>
        <v>10.0</v>
      </c>
      <c r="F589" s="10"/>
      <c r="G589" s="11" t="n">
        <f>23184000</f>
        <v>2.3184E7</v>
      </c>
      <c r="H589" s="10"/>
      <c r="I589" s="11" t="str">
        <f>"－"</f>
        <v>－</v>
      </c>
      <c r="J589" s="10"/>
      <c r="K589" s="11" t="n">
        <f>816</f>
        <v>816.0</v>
      </c>
    </row>
    <row r="590">
      <c r="A590" s="8" t="s">
        <v>34</v>
      </c>
      <c r="B590" s="9" t="s">
        <v>87</v>
      </c>
      <c r="C590" s="9" t="s">
        <v>88</v>
      </c>
      <c r="D590" s="10"/>
      <c r="E590" s="11" t="str">
        <f>"－"</f>
        <v>－</v>
      </c>
      <c r="F590" s="10"/>
      <c r="G590" s="11" t="str">
        <f>"－"</f>
        <v>－</v>
      </c>
      <c r="H590" s="10"/>
      <c r="I590" s="11" t="str">
        <f>"－"</f>
        <v>－</v>
      </c>
      <c r="J590" s="10"/>
      <c r="K590" s="11" t="n">
        <f>816</f>
        <v>816.0</v>
      </c>
    </row>
    <row r="591">
      <c r="A591" s="8" t="s">
        <v>35</v>
      </c>
      <c r="B591" s="9" t="s">
        <v>87</v>
      </c>
      <c r="C591" s="9" t="s">
        <v>88</v>
      </c>
      <c r="D591" s="10"/>
      <c r="E591" s="11" t="n">
        <f>5</f>
        <v>5.0</v>
      </c>
      <c r="F591" s="10"/>
      <c r="G591" s="11" t="n">
        <f>10602000</f>
        <v>1.0602E7</v>
      </c>
      <c r="H591" s="10"/>
      <c r="I591" s="11" t="str">
        <f>"－"</f>
        <v>－</v>
      </c>
      <c r="J591" s="10"/>
      <c r="K591" s="11" t="n">
        <f>821</f>
        <v>821.0</v>
      </c>
    </row>
    <row r="592">
      <c r="A592" s="8" t="s">
        <v>36</v>
      </c>
      <c r="B592" s="9" t="s">
        <v>87</v>
      </c>
      <c r="C592" s="9" t="s">
        <v>88</v>
      </c>
      <c r="D592" s="10"/>
      <c r="E592" s="11" t="n">
        <f>6</f>
        <v>6.0</v>
      </c>
      <c r="F592" s="10"/>
      <c r="G592" s="11" t="n">
        <f>11316048</f>
        <v>1.1316048E7</v>
      </c>
      <c r="H592" s="10"/>
      <c r="I592" s="11" t="str">
        <f>"－"</f>
        <v>－</v>
      </c>
      <c r="J592" s="10"/>
      <c r="K592" s="11" t="n">
        <f>827</f>
        <v>827.0</v>
      </c>
    </row>
    <row r="593">
      <c r="A593" s="8" t="s">
        <v>37</v>
      </c>
      <c r="B593" s="9" t="s">
        <v>87</v>
      </c>
      <c r="C593" s="9" t="s">
        <v>88</v>
      </c>
      <c r="D593" s="10"/>
      <c r="E593" s="11"/>
      <c r="F593" s="10"/>
      <c r="G593" s="11"/>
      <c r="H593" s="10"/>
      <c r="I593" s="11"/>
      <c r="J593" s="10"/>
      <c r="K593" s="11"/>
    </row>
    <row r="594">
      <c r="A594" s="8" t="s">
        <v>38</v>
      </c>
      <c r="B594" s="9" t="s">
        <v>87</v>
      </c>
      <c r="C594" s="9" t="s">
        <v>88</v>
      </c>
      <c r="D594" s="10"/>
      <c r="E594" s="11"/>
      <c r="F594" s="10"/>
      <c r="G594" s="11"/>
      <c r="H594" s="10"/>
      <c r="I594" s="11"/>
      <c r="J594" s="10"/>
      <c r="K594" s="11"/>
    </row>
    <row r="595">
      <c r="A595" s="8" t="s">
        <v>39</v>
      </c>
      <c r="B595" s="9" t="s">
        <v>87</v>
      </c>
      <c r="C595" s="9" t="s">
        <v>88</v>
      </c>
      <c r="D595" s="10"/>
      <c r="E595" s="11" t="str">
        <f>"－"</f>
        <v>－</v>
      </c>
      <c r="F595" s="10"/>
      <c r="G595" s="11" t="str">
        <f>"－"</f>
        <v>－</v>
      </c>
      <c r="H595" s="10"/>
      <c r="I595" s="11" t="str">
        <f>"－"</f>
        <v>－</v>
      </c>
      <c r="J595" s="10"/>
      <c r="K595" s="11" t="n">
        <f>827</f>
        <v>827.0</v>
      </c>
    </row>
    <row r="596">
      <c r="A596" s="8" t="s">
        <v>40</v>
      </c>
      <c r="B596" s="9" t="s">
        <v>87</v>
      </c>
      <c r="C596" s="9" t="s">
        <v>88</v>
      </c>
      <c r="D596" s="10"/>
      <c r="E596" s="11" t="str">
        <f>"－"</f>
        <v>－</v>
      </c>
      <c r="F596" s="10"/>
      <c r="G596" s="11" t="str">
        <f>"－"</f>
        <v>－</v>
      </c>
      <c r="H596" s="10"/>
      <c r="I596" s="11" t="str">
        <f>"－"</f>
        <v>－</v>
      </c>
      <c r="J596" s="10"/>
      <c r="K596" s="11" t="n">
        <f>827</f>
        <v>827.0</v>
      </c>
    </row>
    <row r="597">
      <c r="A597" s="8" t="s">
        <v>42</v>
      </c>
      <c r="B597" s="9" t="s">
        <v>87</v>
      </c>
      <c r="C597" s="9" t="s">
        <v>88</v>
      </c>
      <c r="D597" s="10"/>
      <c r="E597" s="11" t="str">
        <f>"－"</f>
        <v>－</v>
      </c>
      <c r="F597" s="10"/>
      <c r="G597" s="11" t="str">
        <f>"－"</f>
        <v>－</v>
      </c>
      <c r="H597" s="10"/>
      <c r="I597" s="11" t="str">
        <f>"－"</f>
        <v>－</v>
      </c>
      <c r="J597" s="10"/>
      <c r="K597" s="11" t="n">
        <f>827</f>
        <v>827.0</v>
      </c>
    </row>
    <row r="598">
      <c r="A598" s="8" t="s">
        <v>43</v>
      </c>
      <c r="B598" s="9" t="s">
        <v>87</v>
      </c>
      <c r="C598" s="9" t="s">
        <v>88</v>
      </c>
      <c r="D598" s="10"/>
      <c r="E598" s="11" t="n">
        <f>20</f>
        <v>20.0</v>
      </c>
      <c r="F598" s="10"/>
      <c r="G598" s="11" t="n">
        <f>43896000</f>
        <v>4.3896E7</v>
      </c>
      <c r="H598" s="10"/>
      <c r="I598" s="11" t="str">
        <f>"－"</f>
        <v>－</v>
      </c>
      <c r="J598" s="10"/>
      <c r="K598" s="11" t="n">
        <f>847</f>
        <v>847.0</v>
      </c>
    </row>
    <row r="599">
      <c r="A599" s="8" t="s">
        <v>44</v>
      </c>
      <c r="B599" s="9" t="s">
        <v>87</v>
      </c>
      <c r="C599" s="9" t="s">
        <v>88</v>
      </c>
      <c r="D599" s="10"/>
      <c r="E599" s="11" t="str">
        <f>"－"</f>
        <v>－</v>
      </c>
      <c r="F599" s="10"/>
      <c r="G599" s="11" t="str">
        <f>"－"</f>
        <v>－</v>
      </c>
      <c r="H599" s="10"/>
      <c r="I599" s="11" t="str">
        <f>"－"</f>
        <v>－</v>
      </c>
      <c r="J599" s="10"/>
      <c r="K599" s="11" t="n">
        <f>847</f>
        <v>847.0</v>
      </c>
    </row>
    <row r="600">
      <c r="A600" s="8" t="s">
        <v>45</v>
      </c>
      <c r="B600" s="9" t="s">
        <v>87</v>
      </c>
      <c r="C600" s="9" t="s">
        <v>88</v>
      </c>
      <c r="D600" s="10"/>
      <c r="E600" s="11"/>
      <c r="F600" s="10"/>
      <c r="G600" s="11"/>
      <c r="H600" s="10"/>
      <c r="I600" s="11"/>
      <c r="J600" s="10"/>
      <c r="K600" s="11"/>
    </row>
    <row r="601">
      <c r="A601" s="8" t="s">
        <v>46</v>
      </c>
      <c r="B601" s="9" t="s">
        <v>87</v>
      </c>
      <c r="C601" s="9" t="s">
        <v>88</v>
      </c>
      <c r="D601" s="10"/>
      <c r="E601" s="11"/>
      <c r="F601" s="10"/>
      <c r="G601" s="11"/>
      <c r="H601" s="10"/>
      <c r="I601" s="11"/>
      <c r="J601" s="10"/>
      <c r="K601" s="11"/>
    </row>
    <row r="602">
      <c r="A602" s="8" t="s">
        <v>47</v>
      </c>
      <c r="B602" s="9" t="s">
        <v>87</v>
      </c>
      <c r="C602" s="9" t="s">
        <v>88</v>
      </c>
      <c r="D602" s="10"/>
      <c r="E602" s="11" t="str">
        <f>"－"</f>
        <v>－</v>
      </c>
      <c r="F602" s="10"/>
      <c r="G602" s="11" t="str">
        <f>"－"</f>
        <v>－</v>
      </c>
      <c r="H602" s="10"/>
      <c r="I602" s="11" t="str">
        <f>"－"</f>
        <v>－</v>
      </c>
      <c r="J602" s="10"/>
      <c r="K602" s="11" t="n">
        <f>847</f>
        <v>847.0</v>
      </c>
    </row>
    <row r="603">
      <c r="A603" s="8" t="s">
        <v>48</v>
      </c>
      <c r="B603" s="9" t="s">
        <v>87</v>
      </c>
      <c r="C603" s="9" t="s">
        <v>88</v>
      </c>
      <c r="D603" s="10"/>
      <c r="E603" s="11" t="str">
        <f>"－"</f>
        <v>－</v>
      </c>
      <c r="F603" s="10"/>
      <c r="G603" s="11" t="str">
        <f>"－"</f>
        <v>－</v>
      </c>
      <c r="H603" s="10"/>
      <c r="I603" s="11" t="str">
        <f>"－"</f>
        <v>－</v>
      </c>
      <c r="J603" s="10"/>
      <c r="K603" s="11" t="n">
        <f>847</f>
        <v>847.0</v>
      </c>
    </row>
    <row r="604">
      <c r="A604" s="8" t="s">
        <v>49</v>
      </c>
      <c r="B604" s="9" t="s">
        <v>87</v>
      </c>
      <c r="C604" s="9" t="s">
        <v>88</v>
      </c>
      <c r="D604" s="10"/>
      <c r="E604" s="11" t="str">
        <f>"－"</f>
        <v>－</v>
      </c>
      <c r="F604" s="10"/>
      <c r="G604" s="11" t="str">
        <f>"－"</f>
        <v>－</v>
      </c>
      <c r="H604" s="10"/>
      <c r="I604" s="11" t="str">
        <f>"－"</f>
        <v>－</v>
      </c>
      <c r="J604" s="10"/>
      <c r="K604" s="11" t="n">
        <f>847</f>
        <v>847.0</v>
      </c>
    </row>
    <row r="605">
      <c r="A605" s="8" t="s">
        <v>50</v>
      </c>
      <c r="B605" s="9" t="s">
        <v>87</v>
      </c>
      <c r="C605" s="9" t="s">
        <v>88</v>
      </c>
      <c r="D605" s="10" t="s">
        <v>20</v>
      </c>
      <c r="E605" s="11" t="n">
        <f>120</f>
        <v>120.0</v>
      </c>
      <c r="F605" s="10" t="s">
        <v>20</v>
      </c>
      <c r="G605" s="11" t="n">
        <f>317502000</f>
        <v>3.17502E8</v>
      </c>
      <c r="H605" s="10"/>
      <c r="I605" s="11" t="str">
        <f>"－"</f>
        <v>－</v>
      </c>
      <c r="J605" s="10" t="s">
        <v>20</v>
      </c>
      <c r="K605" s="11" t="n">
        <f>867</f>
        <v>867.0</v>
      </c>
    </row>
    <row r="606">
      <c r="A606" s="8" t="s">
        <v>16</v>
      </c>
      <c r="B606" s="9" t="s">
        <v>89</v>
      </c>
      <c r="C606" s="9" t="s">
        <v>90</v>
      </c>
      <c r="D606" s="10" t="s">
        <v>41</v>
      </c>
      <c r="E606" s="11" t="str">
        <f>"－"</f>
        <v>－</v>
      </c>
      <c r="F606" s="10" t="s">
        <v>41</v>
      </c>
      <c r="G606" s="11" t="str">
        <f>"－"</f>
        <v>－</v>
      </c>
      <c r="H606" s="10" t="s">
        <v>19</v>
      </c>
      <c r="I606" s="11" t="str">
        <f>"－"</f>
        <v>－</v>
      </c>
      <c r="J606" s="10"/>
      <c r="K606" s="11" t="n">
        <f>1788</f>
        <v>1788.0</v>
      </c>
    </row>
    <row r="607">
      <c r="A607" s="8" t="s">
        <v>21</v>
      </c>
      <c r="B607" s="9" t="s">
        <v>89</v>
      </c>
      <c r="C607" s="9" t="s">
        <v>90</v>
      </c>
      <c r="D607" s="10"/>
      <c r="E607" s="11" t="n">
        <f>2</f>
        <v>2.0</v>
      </c>
      <c r="F607" s="10"/>
      <c r="G607" s="11" t="n">
        <f>1800000</f>
        <v>1800000.0</v>
      </c>
      <c r="H607" s="10"/>
      <c r="I607" s="11" t="str">
        <f>"－"</f>
        <v>－</v>
      </c>
      <c r="J607" s="10" t="s">
        <v>41</v>
      </c>
      <c r="K607" s="11" t="n">
        <f>1779</f>
        <v>1779.0</v>
      </c>
    </row>
    <row r="608">
      <c r="A608" s="8" t="s">
        <v>22</v>
      </c>
      <c r="B608" s="9" t="s">
        <v>89</v>
      </c>
      <c r="C608" s="9" t="s">
        <v>90</v>
      </c>
      <c r="D608" s="10"/>
      <c r="E608" s="11" t="str">
        <f>"－"</f>
        <v>－</v>
      </c>
      <c r="F608" s="10"/>
      <c r="G608" s="11" t="str">
        <f>"－"</f>
        <v>－</v>
      </c>
      <c r="H608" s="10"/>
      <c r="I608" s="11" t="str">
        <f>"－"</f>
        <v>－</v>
      </c>
      <c r="J608" s="10"/>
      <c r="K608" s="11" t="n">
        <f>1779</f>
        <v>1779.0</v>
      </c>
    </row>
    <row r="609">
      <c r="A609" s="8" t="s">
        <v>23</v>
      </c>
      <c r="B609" s="9" t="s">
        <v>89</v>
      </c>
      <c r="C609" s="9" t="s">
        <v>90</v>
      </c>
      <c r="D609" s="10"/>
      <c r="E609" s="11"/>
      <c r="F609" s="10"/>
      <c r="G609" s="11"/>
      <c r="H609" s="10"/>
      <c r="I609" s="11"/>
      <c r="J609" s="10"/>
      <c r="K609" s="11"/>
    </row>
    <row r="610">
      <c r="A610" s="8" t="s">
        <v>24</v>
      </c>
      <c r="B610" s="9" t="s">
        <v>89</v>
      </c>
      <c r="C610" s="9" t="s">
        <v>90</v>
      </c>
      <c r="D610" s="10"/>
      <c r="E610" s="11"/>
      <c r="F610" s="10"/>
      <c r="G610" s="11"/>
      <c r="H610" s="10"/>
      <c r="I610" s="11"/>
      <c r="J610" s="10"/>
      <c r="K610" s="11"/>
    </row>
    <row r="611">
      <c r="A611" s="8" t="s">
        <v>25</v>
      </c>
      <c r="B611" s="9" t="s">
        <v>89</v>
      </c>
      <c r="C611" s="9" t="s">
        <v>90</v>
      </c>
      <c r="D611" s="10"/>
      <c r="E611" s="11" t="str">
        <f>"－"</f>
        <v>－</v>
      </c>
      <c r="F611" s="10"/>
      <c r="G611" s="11" t="str">
        <f>"－"</f>
        <v>－</v>
      </c>
      <c r="H611" s="10"/>
      <c r="I611" s="11" t="str">
        <f>"－"</f>
        <v>－</v>
      </c>
      <c r="J611" s="10"/>
      <c r="K611" s="11" t="n">
        <f>1779</f>
        <v>1779.0</v>
      </c>
    </row>
    <row r="612">
      <c r="A612" s="8" t="s">
        <v>26</v>
      </c>
      <c r="B612" s="9" t="s">
        <v>89</v>
      </c>
      <c r="C612" s="9" t="s">
        <v>90</v>
      </c>
      <c r="D612" s="10"/>
      <c r="E612" s="11" t="str">
        <f>"－"</f>
        <v>－</v>
      </c>
      <c r="F612" s="10"/>
      <c r="G612" s="11" t="str">
        <f>"－"</f>
        <v>－</v>
      </c>
      <c r="H612" s="10"/>
      <c r="I612" s="11" t="str">
        <f>"－"</f>
        <v>－</v>
      </c>
      <c r="J612" s="10"/>
      <c r="K612" s="11" t="n">
        <f>1779</f>
        <v>1779.0</v>
      </c>
    </row>
    <row r="613">
      <c r="A613" s="8" t="s">
        <v>27</v>
      </c>
      <c r="B613" s="9" t="s">
        <v>89</v>
      </c>
      <c r="C613" s="9" t="s">
        <v>90</v>
      </c>
      <c r="D613" s="10"/>
      <c r="E613" s="11" t="n">
        <f>10</f>
        <v>10.0</v>
      </c>
      <c r="F613" s="10"/>
      <c r="G613" s="11" t="n">
        <f>11748000</f>
        <v>1.1748E7</v>
      </c>
      <c r="H613" s="10"/>
      <c r="I613" s="11" t="str">
        <f>"－"</f>
        <v>－</v>
      </c>
      <c r="J613" s="10"/>
      <c r="K613" s="11" t="n">
        <f>1789</f>
        <v>1789.0</v>
      </c>
    </row>
    <row r="614">
      <c r="A614" s="8" t="s">
        <v>28</v>
      </c>
      <c r="B614" s="9" t="s">
        <v>89</v>
      </c>
      <c r="C614" s="9" t="s">
        <v>90</v>
      </c>
      <c r="D614" s="10"/>
      <c r="E614" s="11" t="str">
        <f>"－"</f>
        <v>－</v>
      </c>
      <c r="F614" s="10"/>
      <c r="G614" s="11" t="str">
        <f>"－"</f>
        <v>－</v>
      </c>
      <c r="H614" s="10"/>
      <c r="I614" s="11" t="str">
        <f>"－"</f>
        <v>－</v>
      </c>
      <c r="J614" s="10"/>
      <c r="K614" s="11" t="n">
        <f>1789</f>
        <v>1789.0</v>
      </c>
    </row>
    <row r="615">
      <c r="A615" s="8" t="s">
        <v>29</v>
      </c>
      <c r="B615" s="9" t="s">
        <v>89</v>
      </c>
      <c r="C615" s="9" t="s">
        <v>90</v>
      </c>
      <c r="D615" s="10"/>
      <c r="E615" s="11" t="str">
        <f>"－"</f>
        <v>－</v>
      </c>
      <c r="F615" s="10"/>
      <c r="G615" s="11" t="str">
        <f>"－"</f>
        <v>－</v>
      </c>
      <c r="H615" s="10"/>
      <c r="I615" s="11" t="str">
        <f>"－"</f>
        <v>－</v>
      </c>
      <c r="J615" s="10"/>
      <c r="K615" s="11" t="n">
        <f>1789</f>
        <v>1789.0</v>
      </c>
    </row>
    <row r="616">
      <c r="A616" s="8" t="s">
        <v>30</v>
      </c>
      <c r="B616" s="9" t="s">
        <v>89</v>
      </c>
      <c r="C616" s="9" t="s">
        <v>90</v>
      </c>
      <c r="D616" s="10"/>
      <c r="E616" s="11"/>
      <c r="F616" s="10"/>
      <c r="G616" s="11"/>
      <c r="H616" s="10"/>
      <c r="I616" s="11"/>
      <c r="J616" s="10"/>
      <c r="K616" s="11"/>
    </row>
    <row r="617">
      <c r="A617" s="8" t="s">
        <v>31</v>
      </c>
      <c r="B617" s="9" t="s">
        <v>89</v>
      </c>
      <c r="C617" s="9" t="s">
        <v>90</v>
      </c>
      <c r="D617" s="10"/>
      <c r="E617" s="11"/>
      <c r="F617" s="10"/>
      <c r="G617" s="11"/>
      <c r="H617" s="10"/>
      <c r="I617" s="11"/>
      <c r="J617" s="10"/>
      <c r="K617" s="11"/>
    </row>
    <row r="618">
      <c r="A618" s="8" t="s">
        <v>32</v>
      </c>
      <c r="B618" s="9" t="s">
        <v>89</v>
      </c>
      <c r="C618" s="9" t="s">
        <v>90</v>
      </c>
      <c r="D618" s="10"/>
      <c r="E618" s="11" t="n">
        <f>12</f>
        <v>12.0</v>
      </c>
      <c r="F618" s="10"/>
      <c r="G618" s="11" t="n">
        <f>8728800</f>
        <v>8728800.0</v>
      </c>
      <c r="H618" s="10"/>
      <c r="I618" s="11" t="str">
        <f>"－"</f>
        <v>－</v>
      </c>
      <c r="J618" s="10"/>
      <c r="K618" s="11" t="n">
        <f>1800</f>
        <v>1800.0</v>
      </c>
    </row>
    <row r="619">
      <c r="A619" s="8" t="s">
        <v>33</v>
      </c>
      <c r="B619" s="9" t="s">
        <v>89</v>
      </c>
      <c r="C619" s="9" t="s">
        <v>90</v>
      </c>
      <c r="D619" s="10"/>
      <c r="E619" s="11" t="n">
        <f>5</f>
        <v>5.0</v>
      </c>
      <c r="F619" s="10"/>
      <c r="G619" s="11" t="n">
        <f>4512000</f>
        <v>4512000.0</v>
      </c>
      <c r="H619" s="10"/>
      <c r="I619" s="11" t="str">
        <f>"－"</f>
        <v>－</v>
      </c>
      <c r="J619" s="10"/>
      <c r="K619" s="11" t="n">
        <f>1805</f>
        <v>1805.0</v>
      </c>
    </row>
    <row r="620">
      <c r="A620" s="8" t="s">
        <v>34</v>
      </c>
      <c r="B620" s="9" t="s">
        <v>89</v>
      </c>
      <c r="C620" s="9" t="s">
        <v>90</v>
      </c>
      <c r="D620" s="10"/>
      <c r="E620" s="11" t="str">
        <f>"－"</f>
        <v>－</v>
      </c>
      <c r="F620" s="10"/>
      <c r="G620" s="11" t="str">
        <f>"－"</f>
        <v>－</v>
      </c>
      <c r="H620" s="10"/>
      <c r="I620" s="11" t="str">
        <f>"－"</f>
        <v>－</v>
      </c>
      <c r="J620" s="10"/>
      <c r="K620" s="11" t="n">
        <f>1805</f>
        <v>1805.0</v>
      </c>
    </row>
    <row r="621">
      <c r="A621" s="8" t="s">
        <v>35</v>
      </c>
      <c r="B621" s="9" t="s">
        <v>89</v>
      </c>
      <c r="C621" s="9" t="s">
        <v>90</v>
      </c>
      <c r="D621" s="10"/>
      <c r="E621" s="11" t="str">
        <f>"－"</f>
        <v>－</v>
      </c>
      <c r="F621" s="10"/>
      <c r="G621" s="11" t="str">
        <f>"－"</f>
        <v>－</v>
      </c>
      <c r="H621" s="10"/>
      <c r="I621" s="11" t="str">
        <f>"－"</f>
        <v>－</v>
      </c>
      <c r="J621" s="10"/>
      <c r="K621" s="11" t="n">
        <f>1805</f>
        <v>1805.0</v>
      </c>
    </row>
    <row r="622">
      <c r="A622" s="8" t="s">
        <v>36</v>
      </c>
      <c r="B622" s="9" t="s">
        <v>89</v>
      </c>
      <c r="C622" s="9" t="s">
        <v>90</v>
      </c>
      <c r="D622" s="10"/>
      <c r="E622" s="11" t="str">
        <f>"－"</f>
        <v>－</v>
      </c>
      <c r="F622" s="10"/>
      <c r="G622" s="11" t="str">
        <f>"－"</f>
        <v>－</v>
      </c>
      <c r="H622" s="10"/>
      <c r="I622" s="11" t="str">
        <f>"－"</f>
        <v>－</v>
      </c>
      <c r="J622" s="10"/>
      <c r="K622" s="11" t="n">
        <f>1805</f>
        <v>1805.0</v>
      </c>
    </row>
    <row r="623">
      <c r="A623" s="8" t="s">
        <v>37</v>
      </c>
      <c r="B623" s="9" t="s">
        <v>89</v>
      </c>
      <c r="C623" s="9" t="s">
        <v>90</v>
      </c>
      <c r="D623" s="10"/>
      <c r="E623" s="11"/>
      <c r="F623" s="10"/>
      <c r="G623" s="11"/>
      <c r="H623" s="10"/>
      <c r="I623" s="11"/>
      <c r="J623" s="10"/>
      <c r="K623" s="11"/>
    </row>
    <row r="624">
      <c r="A624" s="8" t="s">
        <v>38</v>
      </c>
      <c r="B624" s="9" t="s">
        <v>89</v>
      </c>
      <c r="C624" s="9" t="s">
        <v>90</v>
      </c>
      <c r="D624" s="10"/>
      <c r="E624" s="11"/>
      <c r="F624" s="10"/>
      <c r="G624" s="11"/>
      <c r="H624" s="10"/>
      <c r="I624" s="11"/>
      <c r="J624" s="10"/>
      <c r="K624" s="11"/>
    </row>
    <row r="625">
      <c r="A625" s="8" t="s">
        <v>39</v>
      </c>
      <c r="B625" s="9" t="s">
        <v>89</v>
      </c>
      <c r="C625" s="9" t="s">
        <v>90</v>
      </c>
      <c r="D625" s="10"/>
      <c r="E625" s="11" t="str">
        <f>"－"</f>
        <v>－</v>
      </c>
      <c r="F625" s="10"/>
      <c r="G625" s="11" t="str">
        <f>"－"</f>
        <v>－</v>
      </c>
      <c r="H625" s="10"/>
      <c r="I625" s="11" t="str">
        <f>"－"</f>
        <v>－</v>
      </c>
      <c r="J625" s="10"/>
      <c r="K625" s="11" t="n">
        <f>1805</f>
        <v>1805.0</v>
      </c>
    </row>
    <row r="626">
      <c r="A626" s="8" t="s">
        <v>40</v>
      </c>
      <c r="B626" s="9" t="s">
        <v>89</v>
      </c>
      <c r="C626" s="9" t="s">
        <v>90</v>
      </c>
      <c r="D626" s="10"/>
      <c r="E626" s="11" t="str">
        <f>"－"</f>
        <v>－</v>
      </c>
      <c r="F626" s="10"/>
      <c r="G626" s="11" t="str">
        <f>"－"</f>
        <v>－</v>
      </c>
      <c r="H626" s="10"/>
      <c r="I626" s="11" t="str">
        <f>"－"</f>
        <v>－</v>
      </c>
      <c r="J626" s="10"/>
      <c r="K626" s="11" t="n">
        <f>1805</f>
        <v>1805.0</v>
      </c>
    </row>
    <row r="627">
      <c r="A627" s="8" t="s">
        <v>42</v>
      </c>
      <c r="B627" s="9" t="s">
        <v>89</v>
      </c>
      <c r="C627" s="9" t="s">
        <v>90</v>
      </c>
      <c r="D627" s="10"/>
      <c r="E627" s="11" t="str">
        <f>"－"</f>
        <v>－</v>
      </c>
      <c r="F627" s="10"/>
      <c r="G627" s="11" t="str">
        <f>"－"</f>
        <v>－</v>
      </c>
      <c r="H627" s="10"/>
      <c r="I627" s="11" t="str">
        <f>"－"</f>
        <v>－</v>
      </c>
      <c r="J627" s="10"/>
      <c r="K627" s="11" t="n">
        <f>1805</f>
        <v>1805.0</v>
      </c>
    </row>
    <row r="628">
      <c r="A628" s="8" t="s">
        <v>43</v>
      </c>
      <c r="B628" s="9" t="s">
        <v>89</v>
      </c>
      <c r="C628" s="9" t="s">
        <v>90</v>
      </c>
      <c r="D628" s="10"/>
      <c r="E628" s="11" t="str">
        <f>"－"</f>
        <v>－</v>
      </c>
      <c r="F628" s="10"/>
      <c r="G628" s="11" t="str">
        <f>"－"</f>
        <v>－</v>
      </c>
      <c r="H628" s="10"/>
      <c r="I628" s="11" t="str">
        <f>"－"</f>
        <v>－</v>
      </c>
      <c r="J628" s="10"/>
      <c r="K628" s="11" t="n">
        <f>1805</f>
        <v>1805.0</v>
      </c>
    </row>
    <row r="629">
      <c r="A629" s="8" t="s">
        <v>44</v>
      </c>
      <c r="B629" s="9" t="s">
        <v>89</v>
      </c>
      <c r="C629" s="9" t="s">
        <v>90</v>
      </c>
      <c r="D629" s="10"/>
      <c r="E629" s="11" t="n">
        <f>5</f>
        <v>5.0</v>
      </c>
      <c r="F629" s="10"/>
      <c r="G629" s="11" t="n">
        <f>6138000</f>
        <v>6138000.0</v>
      </c>
      <c r="H629" s="10"/>
      <c r="I629" s="11" t="str">
        <f>"－"</f>
        <v>－</v>
      </c>
      <c r="J629" s="10"/>
      <c r="K629" s="11" t="n">
        <f>1805</f>
        <v>1805.0</v>
      </c>
    </row>
    <row r="630">
      <c r="A630" s="8" t="s">
        <v>45</v>
      </c>
      <c r="B630" s="9" t="s">
        <v>89</v>
      </c>
      <c r="C630" s="9" t="s">
        <v>90</v>
      </c>
      <c r="D630" s="10"/>
      <c r="E630" s="11"/>
      <c r="F630" s="10"/>
      <c r="G630" s="11"/>
      <c r="H630" s="10"/>
      <c r="I630" s="11"/>
      <c r="J630" s="10"/>
      <c r="K630" s="11"/>
    </row>
    <row r="631">
      <c r="A631" s="8" t="s">
        <v>46</v>
      </c>
      <c r="B631" s="9" t="s">
        <v>89</v>
      </c>
      <c r="C631" s="9" t="s">
        <v>90</v>
      </c>
      <c r="D631" s="10"/>
      <c r="E631" s="11"/>
      <c r="F631" s="10"/>
      <c r="G631" s="11"/>
      <c r="H631" s="10"/>
      <c r="I631" s="11"/>
      <c r="J631" s="10"/>
      <c r="K631" s="11"/>
    </row>
    <row r="632">
      <c r="A632" s="8" t="s">
        <v>47</v>
      </c>
      <c r="B632" s="9" t="s">
        <v>89</v>
      </c>
      <c r="C632" s="9" t="s">
        <v>90</v>
      </c>
      <c r="D632" s="10"/>
      <c r="E632" s="11" t="n">
        <f>15</f>
        <v>15.0</v>
      </c>
      <c r="F632" s="10"/>
      <c r="G632" s="11" t="n">
        <f>18414000</f>
        <v>1.8414E7</v>
      </c>
      <c r="H632" s="10"/>
      <c r="I632" s="11" t="str">
        <f>"－"</f>
        <v>－</v>
      </c>
      <c r="J632" s="10"/>
      <c r="K632" s="11" t="n">
        <f>1805</f>
        <v>1805.0</v>
      </c>
    </row>
    <row r="633">
      <c r="A633" s="8" t="s">
        <v>48</v>
      </c>
      <c r="B633" s="9" t="s">
        <v>89</v>
      </c>
      <c r="C633" s="9" t="s">
        <v>90</v>
      </c>
      <c r="D633" s="10"/>
      <c r="E633" s="11" t="str">
        <f>"－"</f>
        <v>－</v>
      </c>
      <c r="F633" s="10"/>
      <c r="G633" s="11" t="str">
        <f>"－"</f>
        <v>－</v>
      </c>
      <c r="H633" s="10"/>
      <c r="I633" s="11" t="str">
        <f>"－"</f>
        <v>－</v>
      </c>
      <c r="J633" s="10"/>
      <c r="K633" s="11" t="n">
        <f>1805</f>
        <v>1805.0</v>
      </c>
    </row>
    <row r="634">
      <c r="A634" s="8" t="s">
        <v>49</v>
      </c>
      <c r="B634" s="9" t="s">
        <v>89</v>
      </c>
      <c r="C634" s="9" t="s">
        <v>90</v>
      </c>
      <c r="D634" s="10" t="s">
        <v>20</v>
      </c>
      <c r="E634" s="11" t="n">
        <f>100</f>
        <v>100.0</v>
      </c>
      <c r="F634" s="10" t="s">
        <v>20</v>
      </c>
      <c r="G634" s="11" t="n">
        <f>143484000</f>
        <v>1.43484E8</v>
      </c>
      <c r="H634" s="10"/>
      <c r="I634" s="11" t="str">
        <f>"－"</f>
        <v>－</v>
      </c>
      <c r="J634" s="10"/>
      <c r="K634" s="11" t="n">
        <f>1805</f>
        <v>1805.0</v>
      </c>
    </row>
    <row r="635">
      <c r="A635" s="8" t="s">
        <v>50</v>
      </c>
      <c r="B635" s="9" t="s">
        <v>89</v>
      </c>
      <c r="C635" s="9" t="s">
        <v>90</v>
      </c>
      <c r="D635" s="10"/>
      <c r="E635" s="11" t="n">
        <f>15</f>
        <v>15.0</v>
      </c>
      <c r="F635" s="10"/>
      <c r="G635" s="11" t="n">
        <f>15480000</f>
        <v>1.548E7</v>
      </c>
      <c r="H635" s="10"/>
      <c r="I635" s="11" t="str">
        <f>"－"</f>
        <v>－</v>
      </c>
      <c r="J635" s="10" t="s">
        <v>20</v>
      </c>
      <c r="K635" s="11" t="n">
        <f>1820</f>
        <v>1820.0</v>
      </c>
    </row>
    <row r="636">
      <c r="A636" s="8" t="s">
        <v>16</v>
      </c>
      <c r="B636" s="9" t="s">
        <v>91</v>
      </c>
      <c r="C636" s="9" t="s">
        <v>92</v>
      </c>
      <c r="D636" s="10" t="s">
        <v>41</v>
      </c>
      <c r="E636" s="11" t="str">
        <f>"－"</f>
        <v>－</v>
      </c>
      <c r="F636" s="10" t="s">
        <v>41</v>
      </c>
      <c r="G636" s="11" t="str">
        <f>"－"</f>
        <v>－</v>
      </c>
      <c r="H636" s="10" t="s">
        <v>19</v>
      </c>
      <c r="I636" s="11" t="str">
        <f>"－"</f>
        <v>－</v>
      </c>
      <c r="J636" s="10" t="s">
        <v>41</v>
      </c>
      <c r="K636" s="11" t="n">
        <f>1980</f>
        <v>1980.0</v>
      </c>
    </row>
    <row r="637">
      <c r="A637" s="8" t="s">
        <v>21</v>
      </c>
      <c r="B637" s="9" t="s">
        <v>91</v>
      </c>
      <c r="C637" s="9" t="s">
        <v>92</v>
      </c>
      <c r="D637" s="10"/>
      <c r="E637" s="11" t="n">
        <f>110</f>
        <v>110.0</v>
      </c>
      <c r="F637" s="10"/>
      <c r="G637" s="11" t="n">
        <f>83760000</f>
        <v>8.376E7</v>
      </c>
      <c r="H637" s="10"/>
      <c r="I637" s="11" t="str">
        <f>"－"</f>
        <v>－</v>
      </c>
      <c r="J637" s="10"/>
      <c r="K637" s="11" t="n">
        <f>2090</f>
        <v>2090.0</v>
      </c>
    </row>
    <row r="638">
      <c r="A638" s="8" t="s">
        <v>22</v>
      </c>
      <c r="B638" s="9" t="s">
        <v>91</v>
      </c>
      <c r="C638" s="9" t="s">
        <v>92</v>
      </c>
      <c r="D638" s="10"/>
      <c r="E638" s="11" t="str">
        <f>"－"</f>
        <v>－</v>
      </c>
      <c r="F638" s="10"/>
      <c r="G638" s="11" t="str">
        <f>"－"</f>
        <v>－</v>
      </c>
      <c r="H638" s="10"/>
      <c r="I638" s="11" t="str">
        <f>"－"</f>
        <v>－</v>
      </c>
      <c r="J638" s="10"/>
      <c r="K638" s="11" t="n">
        <f>2090</f>
        <v>2090.0</v>
      </c>
    </row>
    <row r="639">
      <c r="A639" s="8" t="s">
        <v>23</v>
      </c>
      <c r="B639" s="9" t="s">
        <v>91</v>
      </c>
      <c r="C639" s="9" t="s">
        <v>92</v>
      </c>
      <c r="D639" s="10"/>
      <c r="E639" s="11"/>
      <c r="F639" s="10"/>
      <c r="G639" s="11"/>
      <c r="H639" s="10"/>
      <c r="I639" s="11"/>
      <c r="J639" s="10"/>
      <c r="K639" s="11"/>
    </row>
    <row r="640">
      <c r="A640" s="8" t="s">
        <v>24</v>
      </c>
      <c r="B640" s="9" t="s">
        <v>91</v>
      </c>
      <c r="C640" s="9" t="s">
        <v>92</v>
      </c>
      <c r="D640" s="10"/>
      <c r="E640" s="11"/>
      <c r="F640" s="10"/>
      <c r="G640" s="11"/>
      <c r="H640" s="10"/>
      <c r="I640" s="11"/>
      <c r="J640" s="10"/>
      <c r="K640" s="11"/>
    </row>
    <row r="641">
      <c r="A641" s="8" t="s">
        <v>25</v>
      </c>
      <c r="B641" s="9" t="s">
        <v>91</v>
      </c>
      <c r="C641" s="9" t="s">
        <v>92</v>
      </c>
      <c r="D641" s="10"/>
      <c r="E641" s="11" t="str">
        <f>"－"</f>
        <v>－</v>
      </c>
      <c r="F641" s="10"/>
      <c r="G641" s="11" t="str">
        <f>"－"</f>
        <v>－</v>
      </c>
      <c r="H641" s="10"/>
      <c r="I641" s="11" t="str">
        <f>"－"</f>
        <v>－</v>
      </c>
      <c r="J641" s="10"/>
      <c r="K641" s="11" t="n">
        <f>2090</f>
        <v>2090.0</v>
      </c>
    </row>
    <row r="642">
      <c r="A642" s="8" t="s">
        <v>26</v>
      </c>
      <c r="B642" s="9" t="s">
        <v>91</v>
      </c>
      <c r="C642" s="9" t="s">
        <v>92</v>
      </c>
      <c r="D642" s="10"/>
      <c r="E642" s="11" t="n">
        <f>90</f>
        <v>90.0</v>
      </c>
      <c r="F642" s="10"/>
      <c r="G642" s="11" t="n">
        <f>80352000</f>
        <v>8.0352E7</v>
      </c>
      <c r="H642" s="10"/>
      <c r="I642" s="11" t="str">
        <f>"－"</f>
        <v>－</v>
      </c>
      <c r="J642" s="10"/>
      <c r="K642" s="11" t="n">
        <f>2150</f>
        <v>2150.0</v>
      </c>
    </row>
    <row r="643">
      <c r="A643" s="8" t="s">
        <v>27</v>
      </c>
      <c r="B643" s="9" t="s">
        <v>91</v>
      </c>
      <c r="C643" s="9" t="s">
        <v>92</v>
      </c>
      <c r="D643" s="10"/>
      <c r="E643" s="11" t="str">
        <f>"－"</f>
        <v>－</v>
      </c>
      <c r="F643" s="10"/>
      <c r="G643" s="11" t="str">
        <f>"－"</f>
        <v>－</v>
      </c>
      <c r="H643" s="10"/>
      <c r="I643" s="11" t="str">
        <f>"－"</f>
        <v>－</v>
      </c>
      <c r="J643" s="10"/>
      <c r="K643" s="11" t="n">
        <f>2150</f>
        <v>2150.0</v>
      </c>
    </row>
    <row r="644">
      <c r="A644" s="8" t="s">
        <v>28</v>
      </c>
      <c r="B644" s="9" t="s">
        <v>91</v>
      </c>
      <c r="C644" s="9" t="s">
        <v>92</v>
      </c>
      <c r="D644" s="10" t="s">
        <v>20</v>
      </c>
      <c r="E644" s="11" t="n">
        <f>120</f>
        <v>120.0</v>
      </c>
      <c r="F644" s="10" t="s">
        <v>20</v>
      </c>
      <c r="G644" s="11" t="n">
        <f>105648000</f>
        <v>1.05648E8</v>
      </c>
      <c r="H644" s="10"/>
      <c r="I644" s="11" t="str">
        <f>"－"</f>
        <v>－</v>
      </c>
      <c r="J644" s="10" t="s">
        <v>20</v>
      </c>
      <c r="K644" s="11" t="n">
        <f>2270</f>
        <v>2270.0</v>
      </c>
    </row>
    <row r="645">
      <c r="A645" s="8" t="s">
        <v>29</v>
      </c>
      <c r="B645" s="9" t="s">
        <v>91</v>
      </c>
      <c r="C645" s="9" t="s">
        <v>92</v>
      </c>
      <c r="D645" s="10"/>
      <c r="E645" s="11" t="str">
        <f>"－"</f>
        <v>－</v>
      </c>
      <c r="F645" s="10"/>
      <c r="G645" s="11" t="str">
        <f>"－"</f>
        <v>－</v>
      </c>
      <c r="H645" s="10"/>
      <c r="I645" s="11" t="str">
        <f>"－"</f>
        <v>－</v>
      </c>
      <c r="J645" s="10"/>
      <c r="K645" s="11" t="n">
        <f>2270</f>
        <v>2270.0</v>
      </c>
    </row>
    <row r="646">
      <c r="A646" s="8" t="s">
        <v>30</v>
      </c>
      <c r="B646" s="9" t="s">
        <v>91</v>
      </c>
      <c r="C646" s="9" t="s">
        <v>92</v>
      </c>
      <c r="D646" s="10"/>
      <c r="E646" s="11"/>
      <c r="F646" s="10"/>
      <c r="G646" s="11"/>
      <c r="H646" s="10"/>
      <c r="I646" s="11"/>
      <c r="J646" s="10"/>
      <c r="K646" s="11"/>
    </row>
    <row r="647">
      <c r="A647" s="8" t="s">
        <v>31</v>
      </c>
      <c r="B647" s="9" t="s">
        <v>91</v>
      </c>
      <c r="C647" s="9" t="s">
        <v>92</v>
      </c>
      <c r="D647" s="10"/>
      <c r="E647" s="11"/>
      <c r="F647" s="10"/>
      <c r="G647" s="11"/>
      <c r="H647" s="10"/>
      <c r="I647" s="11"/>
      <c r="J647" s="10"/>
      <c r="K647" s="11"/>
    </row>
    <row r="648">
      <c r="A648" s="8" t="s">
        <v>32</v>
      </c>
      <c r="B648" s="9" t="s">
        <v>91</v>
      </c>
      <c r="C648" s="9" t="s">
        <v>92</v>
      </c>
      <c r="D648" s="10"/>
      <c r="E648" s="11" t="str">
        <f>"－"</f>
        <v>－</v>
      </c>
      <c r="F648" s="10"/>
      <c r="G648" s="11" t="str">
        <f>"－"</f>
        <v>－</v>
      </c>
      <c r="H648" s="10"/>
      <c r="I648" s="11" t="str">
        <f>"－"</f>
        <v>－</v>
      </c>
      <c r="J648" s="10"/>
      <c r="K648" s="11" t="n">
        <f>2270</f>
        <v>2270.0</v>
      </c>
    </row>
    <row r="649">
      <c r="A649" s="8" t="s">
        <v>33</v>
      </c>
      <c r="B649" s="9" t="s">
        <v>91</v>
      </c>
      <c r="C649" s="9" t="s">
        <v>92</v>
      </c>
      <c r="D649" s="10"/>
      <c r="E649" s="11" t="str">
        <f>"－"</f>
        <v>－</v>
      </c>
      <c r="F649" s="10"/>
      <c r="G649" s="11" t="str">
        <f>"－"</f>
        <v>－</v>
      </c>
      <c r="H649" s="10"/>
      <c r="I649" s="11" t="str">
        <f>"－"</f>
        <v>－</v>
      </c>
      <c r="J649" s="10"/>
      <c r="K649" s="11" t="n">
        <f>2270</f>
        <v>2270.0</v>
      </c>
    </row>
    <row r="650">
      <c r="A650" s="8" t="s">
        <v>34</v>
      </c>
      <c r="B650" s="9" t="s">
        <v>91</v>
      </c>
      <c r="C650" s="9" t="s">
        <v>92</v>
      </c>
      <c r="D650" s="10"/>
      <c r="E650" s="11" t="str">
        <f>"－"</f>
        <v>－</v>
      </c>
      <c r="F650" s="10"/>
      <c r="G650" s="11" t="str">
        <f>"－"</f>
        <v>－</v>
      </c>
      <c r="H650" s="10"/>
      <c r="I650" s="11" t="str">
        <f>"－"</f>
        <v>－</v>
      </c>
      <c r="J650" s="10"/>
      <c r="K650" s="11" t="n">
        <f>2270</f>
        <v>2270.0</v>
      </c>
    </row>
    <row r="651">
      <c r="A651" s="8" t="s">
        <v>35</v>
      </c>
      <c r="B651" s="9" t="s">
        <v>91</v>
      </c>
      <c r="C651" s="9" t="s">
        <v>92</v>
      </c>
      <c r="D651" s="10"/>
      <c r="E651" s="11" t="str">
        <f>"－"</f>
        <v>－</v>
      </c>
      <c r="F651" s="10"/>
      <c r="G651" s="11" t="str">
        <f>"－"</f>
        <v>－</v>
      </c>
      <c r="H651" s="10"/>
      <c r="I651" s="11" t="str">
        <f>"－"</f>
        <v>－</v>
      </c>
      <c r="J651" s="10"/>
      <c r="K651" s="11" t="n">
        <f>2270</f>
        <v>2270.0</v>
      </c>
    </row>
    <row r="652">
      <c r="A652" s="8" t="s">
        <v>36</v>
      </c>
      <c r="B652" s="9" t="s">
        <v>91</v>
      </c>
      <c r="C652" s="9" t="s">
        <v>92</v>
      </c>
      <c r="D652" s="10"/>
      <c r="E652" s="11" t="str">
        <f>"－"</f>
        <v>－</v>
      </c>
      <c r="F652" s="10"/>
      <c r="G652" s="11" t="str">
        <f>"－"</f>
        <v>－</v>
      </c>
      <c r="H652" s="10"/>
      <c r="I652" s="11" t="str">
        <f>"－"</f>
        <v>－</v>
      </c>
      <c r="J652" s="10"/>
      <c r="K652" s="11" t="n">
        <f>2270</f>
        <v>2270.0</v>
      </c>
    </row>
    <row r="653">
      <c r="A653" s="8" t="s">
        <v>37</v>
      </c>
      <c r="B653" s="9" t="s">
        <v>91</v>
      </c>
      <c r="C653" s="9" t="s">
        <v>92</v>
      </c>
      <c r="D653" s="10"/>
      <c r="E653" s="11"/>
      <c r="F653" s="10"/>
      <c r="G653" s="11"/>
      <c r="H653" s="10"/>
      <c r="I653" s="11"/>
      <c r="J653" s="10"/>
      <c r="K653" s="11"/>
    </row>
    <row r="654">
      <c r="A654" s="8" t="s">
        <v>38</v>
      </c>
      <c r="B654" s="9" t="s">
        <v>91</v>
      </c>
      <c r="C654" s="9" t="s">
        <v>92</v>
      </c>
      <c r="D654" s="10"/>
      <c r="E654" s="11"/>
      <c r="F654" s="10"/>
      <c r="G654" s="11"/>
      <c r="H654" s="10"/>
      <c r="I654" s="11"/>
      <c r="J654" s="10"/>
      <c r="K654" s="11"/>
    </row>
    <row r="655">
      <c r="A655" s="8" t="s">
        <v>39</v>
      </c>
      <c r="B655" s="9" t="s">
        <v>91</v>
      </c>
      <c r="C655" s="9" t="s">
        <v>92</v>
      </c>
      <c r="D655" s="10"/>
      <c r="E655" s="11" t="str">
        <f>"－"</f>
        <v>－</v>
      </c>
      <c r="F655" s="10"/>
      <c r="G655" s="11" t="str">
        <f>"－"</f>
        <v>－</v>
      </c>
      <c r="H655" s="10"/>
      <c r="I655" s="11" t="str">
        <f>"－"</f>
        <v>－</v>
      </c>
      <c r="J655" s="10"/>
      <c r="K655" s="11" t="n">
        <f>2270</f>
        <v>2270.0</v>
      </c>
    </row>
    <row r="656">
      <c r="A656" s="8" t="s">
        <v>40</v>
      </c>
      <c r="B656" s="9" t="s">
        <v>91</v>
      </c>
      <c r="C656" s="9" t="s">
        <v>92</v>
      </c>
      <c r="D656" s="10"/>
      <c r="E656" s="11" t="str">
        <f>"－"</f>
        <v>－</v>
      </c>
      <c r="F656" s="10"/>
      <c r="G656" s="11" t="str">
        <f>"－"</f>
        <v>－</v>
      </c>
      <c r="H656" s="10"/>
      <c r="I656" s="11" t="str">
        <f>"－"</f>
        <v>－</v>
      </c>
      <c r="J656" s="10"/>
      <c r="K656" s="11" t="n">
        <f>2270</f>
        <v>2270.0</v>
      </c>
    </row>
    <row r="657">
      <c r="A657" s="8" t="s">
        <v>42</v>
      </c>
      <c r="B657" s="9" t="s">
        <v>91</v>
      </c>
      <c r="C657" s="9" t="s">
        <v>92</v>
      </c>
      <c r="D657" s="10"/>
      <c r="E657" s="11" t="str">
        <f>"－"</f>
        <v>－</v>
      </c>
      <c r="F657" s="10"/>
      <c r="G657" s="11" t="str">
        <f>"－"</f>
        <v>－</v>
      </c>
      <c r="H657" s="10"/>
      <c r="I657" s="11" t="str">
        <f>"－"</f>
        <v>－</v>
      </c>
      <c r="J657" s="10"/>
      <c r="K657" s="11" t="n">
        <f>2270</f>
        <v>2270.0</v>
      </c>
    </row>
    <row r="658">
      <c r="A658" s="8" t="s">
        <v>43</v>
      </c>
      <c r="B658" s="9" t="s">
        <v>91</v>
      </c>
      <c r="C658" s="9" t="s">
        <v>92</v>
      </c>
      <c r="D658" s="10"/>
      <c r="E658" s="11" t="str">
        <f>"－"</f>
        <v>－</v>
      </c>
      <c r="F658" s="10"/>
      <c r="G658" s="11" t="str">
        <f>"－"</f>
        <v>－</v>
      </c>
      <c r="H658" s="10"/>
      <c r="I658" s="11" t="str">
        <f>"－"</f>
        <v>－</v>
      </c>
      <c r="J658" s="10"/>
      <c r="K658" s="11" t="n">
        <f>2270</f>
        <v>2270.0</v>
      </c>
    </row>
    <row r="659">
      <c r="A659" s="8" t="s">
        <v>44</v>
      </c>
      <c r="B659" s="9" t="s">
        <v>91</v>
      </c>
      <c r="C659" s="9" t="s">
        <v>92</v>
      </c>
      <c r="D659" s="10"/>
      <c r="E659" s="11" t="str">
        <f>"－"</f>
        <v>－</v>
      </c>
      <c r="F659" s="10"/>
      <c r="G659" s="11" t="str">
        <f>"－"</f>
        <v>－</v>
      </c>
      <c r="H659" s="10"/>
      <c r="I659" s="11" t="str">
        <f>"－"</f>
        <v>－</v>
      </c>
      <c r="J659" s="10"/>
      <c r="K659" s="11" t="n">
        <f>2270</f>
        <v>2270.0</v>
      </c>
    </row>
    <row r="660">
      <c r="A660" s="8" t="s">
        <v>45</v>
      </c>
      <c r="B660" s="9" t="s">
        <v>91</v>
      </c>
      <c r="C660" s="9" t="s">
        <v>92</v>
      </c>
      <c r="D660" s="10"/>
      <c r="E660" s="11"/>
      <c r="F660" s="10"/>
      <c r="G660" s="11"/>
      <c r="H660" s="10"/>
      <c r="I660" s="11"/>
      <c r="J660" s="10"/>
      <c r="K660" s="11"/>
    </row>
    <row r="661">
      <c r="A661" s="8" t="s">
        <v>46</v>
      </c>
      <c r="B661" s="9" t="s">
        <v>91</v>
      </c>
      <c r="C661" s="9" t="s">
        <v>92</v>
      </c>
      <c r="D661" s="10"/>
      <c r="E661" s="11"/>
      <c r="F661" s="10"/>
      <c r="G661" s="11"/>
      <c r="H661" s="10"/>
      <c r="I661" s="11"/>
      <c r="J661" s="10"/>
      <c r="K661" s="11"/>
    </row>
    <row r="662">
      <c r="A662" s="8" t="s">
        <v>47</v>
      </c>
      <c r="B662" s="9" t="s">
        <v>91</v>
      </c>
      <c r="C662" s="9" t="s">
        <v>92</v>
      </c>
      <c r="D662" s="10"/>
      <c r="E662" s="11" t="str">
        <f>"－"</f>
        <v>－</v>
      </c>
      <c r="F662" s="10"/>
      <c r="G662" s="11" t="str">
        <f>"－"</f>
        <v>－</v>
      </c>
      <c r="H662" s="10"/>
      <c r="I662" s="11" t="str">
        <f>"－"</f>
        <v>－</v>
      </c>
      <c r="J662" s="10"/>
      <c r="K662" s="11" t="n">
        <f>2270</f>
        <v>2270.0</v>
      </c>
    </row>
    <row r="663">
      <c r="A663" s="8" t="s">
        <v>48</v>
      </c>
      <c r="B663" s="9" t="s">
        <v>91</v>
      </c>
      <c r="C663" s="9" t="s">
        <v>92</v>
      </c>
      <c r="D663" s="10"/>
      <c r="E663" s="11" t="str">
        <f>"－"</f>
        <v>－</v>
      </c>
      <c r="F663" s="10"/>
      <c r="G663" s="11" t="str">
        <f>"－"</f>
        <v>－</v>
      </c>
      <c r="H663" s="10"/>
      <c r="I663" s="11" t="str">
        <f>"－"</f>
        <v>－</v>
      </c>
      <c r="J663" s="10"/>
      <c r="K663" s="11" t="n">
        <f>2270</f>
        <v>2270.0</v>
      </c>
    </row>
    <row r="664">
      <c r="A664" s="8" t="s">
        <v>49</v>
      </c>
      <c r="B664" s="9" t="s">
        <v>91</v>
      </c>
      <c r="C664" s="9" t="s">
        <v>92</v>
      </c>
      <c r="D664" s="10"/>
      <c r="E664" s="11" t="str">
        <f>"－"</f>
        <v>－</v>
      </c>
      <c r="F664" s="10"/>
      <c r="G664" s="11" t="str">
        <f>"－"</f>
        <v>－</v>
      </c>
      <c r="H664" s="10"/>
      <c r="I664" s="11" t="str">
        <f>"－"</f>
        <v>－</v>
      </c>
      <c r="J664" s="10"/>
      <c r="K664" s="11" t="n">
        <f>2270</f>
        <v>2270.0</v>
      </c>
    </row>
    <row r="665">
      <c r="A665" s="8" t="s">
        <v>50</v>
      </c>
      <c r="B665" s="9" t="s">
        <v>91</v>
      </c>
      <c r="C665" s="9" t="s">
        <v>92</v>
      </c>
      <c r="D665" s="10"/>
      <c r="E665" s="11" t="str">
        <f>"－"</f>
        <v>－</v>
      </c>
      <c r="F665" s="10"/>
      <c r="G665" s="11" t="str">
        <f>"－"</f>
        <v>－</v>
      </c>
      <c r="H665" s="10"/>
      <c r="I665" s="11" t="str">
        <f>"－"</f>
        <v>－</v>
      </c>
      <c r="J665" s="10"/>
      <c r="K665" s="11" t="n">
        <f>2270</f>
        <v>2270.0</v>
      </c>
    </row>
    <row r="666">
      <c r="A666" s="8" t="s">
        <v>16</v>
      </c>
      <c r="B666" s="9" t="s">
        <v>93</v>
      </c>
      <c r="C666" s="9" t="s">
        <v>94</v>
      </c>
      <c r="D666" s="10" t="s">
        <v>19</v>
      </c>
      <c r="E666" s="11" t="str">
        <f>"－"</f>
        <v>－</v>
      </c>
      <c r="F666" s="10" t="s">
        <v>19</v>
      </c>
      <c r="G666" s="11" t="str">
        <f>"－"</f>
        <v>－</v>
      </c>
      <c r="H666" s="10" t="s">
        <v>19</v>
      </c>
      <c r="I666" s="11" t="str">
        <f>"－"</f>
        <v>－</v>
      </c>
      <c r="J666" s="10" t="s">
        <v>19</v>
      </c>
      <c r="K666" s="11" t="str">
        <f>"－"</f>
        <v>－</v>
      </c>
    </row>
    <row r="667">
      <c r="A667" s="8" t="s">
        <v>21</v>
      </c>
      <c r="B667" s="9" t="s">
        <v>93</v>
      </c>
      <c r="C667" s="9" t="s">
        <v>94</v>
      </c>
      <c r="D667" s="10"/>
      <c r="E667" s="11" t="str">
        <f>"－"</f>
        <v>－</v>
      </c>
      <c r="F667" s="10"/>
      <c r="G667" s="11" t="str">
        <f>"－"</f>
        <v>－</v>
      </c>
      <c r="H667" s="10"/>
      <c r="I667" s="11" t="str">
        <f>"－"</f>
        <v>－</v>
      </c>
      <c r="J667" s="10"/>
      <c r="K667" s="11" t="str">
        <f>"－"</f>
        <v>－</v>
      </c>
    </row>
    <row r="668">
      <c r="A668" s="8" t="s">
        <v>22</v>
      </c>
      <c r="B668" s="9" t="s">
        <v>93</v>
      </c>
      <c r="C668" s="9" t="s">
        <v>94</v>
      </c>
      <c r="D668" s="10"/>
      <c r="E668" s="11" t="str">
        <f>"－"</f>
        <v>－</v>
      </c>
      <c r="F668" s="10"/>
      <c r="G668" s="11" t="str">
        <f>"－"</f>
        <v>－</v>
      </c>
      <c r="H668" s="10"/>
      <c r="I668" s="11" t="str">
        <f>"－"</f>
        <v>－</v>
      </c>
      <c r="J668" s="10"/>
      <c r="K668" s="11" t="str">
        <f>"－"</f>
        <v>－</v>
      </c>
    </row>
    <row r="669">
      <c r="A669" s="8" t="s">
        <v>23</v>
      </c>
      <c r="B669" s="9" t="s">
        <v>93</v>
      </c>
      <c r="C669" s="9" t="s">
        <v>94</v>
      </c>
      <c r="D669" s="10"/>
      <c r="E669" s="11"/>
      <c r="F669" s="10"/>
      <c r="G669" s="11"/>
      <c r="H669" s="10"/>
      <c r="I669" s="11"/>
      <c r="J669" s="10"/>
      <c r="K669" s="11"/>
    </row>
    <row r="670">
      <c r="A670" s="8" t="s">
        <v>24</v>
      </c>
      <c r="B670" s="9" t="s">
        <v>93</v>
      </c>
      <c r="C670" s="9" t="s">
        <v>94</v>
      </c>
      <c r="D670" s="10"/>
      <c r="E670" s="11"/>
      <c r="F670" s="10"/>
      <c r="G670" s="11"/>
      <c r="H670" s="10"/>
      <c r="I670" s="11"/>
      <c r="J670" s="10"/>
      <c r="K670" s="11"/>
    </row>
    <row r="671">
      <c r="A671" s="8" t="s">
        <v>25</v>
      </c>
      <c r="B671" s="9" t="s">
        <v>93</v>
      </c>
      <c r="C671" s="9" t="s">
        <v>94</v>
      </c>
      <c r="D671" s="10"/>
      <c r="E671" s="11" t="str">
        <f>"－"</f>
        <v>－</v>
      </c>
      <c r="F671" s="10"/>
      <c r="G671" s="11" t="str">
        <f>"－"</f>
        <v>－</v>
      </c>
      <c r="H671" s="10"/>
      <c r="I671" s="11" t="str">
        <f>"－"</f>
        <v>－</v>
      </c>
      <c r="J671" s="10"/>
      <c r="K671" s="11" t="str">
        <f>"－"</f>
        <v>－</v>
      </c>
    </row>
    <row r="672">
      <c r="A672" s="8" t="s">
        <v>26</v>
      </c>
      <c r="B672" s="9" t="s">
        <v>93</v>
      </c>
      <c r="C672" s="9" t="s">
        <v>94</v>
      </c>
      <c r="D672" s="10"/>
      <c r="E672" s="11" t="str">
        <f>"－"</f>
        <v>－</v>
      </c>
      <c r="F672" s="10"/>
      <c r="G672" s="11" t="str">
        <f>"－"</f>
        <v>－</v>
      </c>
      <c r="H672" s="10"/>
      <c r="I672" s="11" t="str">
        <f>"－"</f>
        <v>－</v>
      </c>
      <c r="J672" s="10"/>
      <c r="K672" s="11" t="str">
        <f>"－"</f>
        <v>－</v>
      </c>
    </row>
    <row r="673">
      <c r="A673" s="8" t="s">
        <v>27</v>
      </c>
      <c r="B673" s="9" t="s">
        <v>93</v>
      </c>
      <c r="C673" s="9" t="s">
        <v>94</v>
      </c>
      <c r="D673" s="10"/>
      <c r="E673" s="11" t="str">
        <f>"－"</f>
        <v>－</v>
      </c>
      <c r="F673" s="10"/>
      <c r="G673" s="11" t="str">
        <f>"－"</f>
        <v>－</v>
      </c>
      <c r="H673" s="10"/>
      <c r="I673" s="11" t="str">
        <f>"－"</f>
        <v>－</v>
      </c>
      <c r="J673" s="10"/>
      <c r="K673" s="11" t="str">
        <f>"－"</f>
        <v>－</v>
      </c>
    </row>
    <row r="674">
      <c r="A674" s="8" t="s">
        <v>28</v>
      </c>
      <c r="B674" s="9" t="s">
        <v>93</v>
      </c>
      <c r="C674" s="9" t="s">
        <v>94</v>
      </c>
      <c r="D674" s="10"/>
      <c r="E674" s="11" t="str">
        <f>"－"</f>
        <v>－</v>
      </c>
      <c r="F674" s="10"/>
      <c r="G674" s="11" t="str">
        <f>"－"</f>
        <v>－</v>
      </c>
      <c r="H674" s="10"/>
      <c r="I674" s="11" t="str">
        <f>"－"</f>
        <v>－</v>
      </c>
      <c r="J674" s="10"/>
      <c r="K674" s="11" t="str">
        <f>"－"</f>
        <v>－</v>
      </c>
    </row>
    <row r="675">
      <c r="A675" s="8" t="s">
        <v>29</v>
      </c>
      <c r="B675" s="9" t="s">
        <v>93</v>
      </c>
      <c r="C675" s="9" t="s">
        <v>94</v>
      </c>
      <c r="D675" s="10"/>
      <c r="E675" s="11" t="str">
        <f>"－"</f>
        <v>－</v>
      </c>
      <c r="F675" s="10"/>
      <c r="G675" s="11" t="str">
        <f>"－"</f>
        <v>－</v>
      </c>
      <c r="H675" s="10"/>
      <c r="I675" s="11" t="str">
        <f>"－"</f>
        <v>－</v>
      </c>
      <c r="J675" s="10"/>
      <c r="K675" s="11" t="str">
        <f>"－"</f>
        <v>－</v>
      </c>
    </row>
    <row r="676">
      <c r="A676" s="8" t="s">
        <v>30</v>
      </c>
      <c r="B676" s="9" t="s">
        <v>93</v>
      </c>
      <c r="C676" s="9" t="s">
        <v>94</v>
      </c>
      <c r="D676" s="10"/>
      <c r="E676" s="11"/>
      <c r="F676" s="10"/>
      <c r="G676" s="11"/>
      <c r="H676" s="10"/>
      <c r="I676" s="11"/>
      <c r="J676" s="10"/>
      <c r="K676" s="11"/>
    </row>
    <row r="677">
      <c r="A677" s="8" t="s">
        <v>31</v>
      </c>
      <c r="B677" s="9" t="s">
        <v>93</v>
      </c>
      <c r="C677" s="9" t="s">
        <v>94</v>
      </c>
      <c r="D677" s="10"/>
      <c r="E677" s="11"/>
      <c r="F677" s="10"/>
      <c r="G677" s="11"/>
      <c r="H677" s="10"/>
      <c r="I677" s="11"/>
      <c r="J677" s="10"/>
      <c r="K677" s="11"/>
    </row>
    <row r="678">
      <c r="A678" s="8" t="s">
        <v>32</v>
      </c>
      <c r="B678" s="9" t="s">
        <v>93</v>
      </c>
      <c r="C678" s="9" t="s">
        <v>94</v>
      </c>
      <c r="D678" s="10"/>
      <c r="E678" s="11" t="str">
        <f>"－"</f>
        <v>－</v>
      </c>
      <c r="F678" s="10"/>
      <c r="G678" s="11" t="str">
        <f>"－"</f>
        <v>－</v>
      </c>
      <c r="H678" s="10"/>
      <c r="I678" s="11" t="str">
        <f>"－"</f>
        <v>－</v>
      </c>
      <c r="J678" s="10"/>
      <c r="K678" s="11" t="str">
        <f>"－"</f>
        <v>－</v>
      </c>
    </row>
    <row r="679">
      <c r="A679" s="8" t="s">
        <v>33</v>
      </c>
      <c r="B679" s="9" t="s">
        <v>93</v>
      </c>
      <c r="C679" s="9" t="s">
        <v>94</v>
      </c>
      <c r="D679" s="10"/>
      <c r="E679" s="11" t="str">
        <f>"－"</f>
        <v>－</v>
      </c>
      <c r="F679" s="10"/>
      <c r="G679" s="11" t="str">
        <f>"－"</f>
        <v>－</v>
      </c>
      <c r="H679" s="10"/>
      <c r="I679" s="11" t="str">
        <f>"－"</f>
        <v>－</v>
      </c>
      <c r="J679" s="10"/>
      <c r="K679" s="11" t="str">
        <f>"－"</f>
        <v>－</v>
      </c>
    </row>
    <row r="680">
      <c r="A680" s="8" t="s">
        <v>34</v>
      </c>
      <c r="B680" s="9" t="s">
        <v>93</v>
      </c>
      <c r="C680" s="9" t="s">
        <v>94</v>
      </c>
      <c r="D680" s="10"/>
      <c r="E680" s="11" t="str">
        <f>"－"</f>
        <v>－</v>
      </c>
      <c r="F680" s="10"/>
      <c r="G680" s="11" t="str">
        <f>"－"</f>
        <v>－</v>
      </c>
      <c r="H680" s="10"/>
      <c r="I680" s="11" t="str">
        <f>"－"</f>
        <v>－</v>
      </c>
      <c r="J680" s="10"/>
      <c r="K680" s="11" t="str">
        <f>"－"</f>
        <v>－</v>
      </c>
    </row>
    <row r="681">
      <c r="A681" s="8" t="s">
        <v>35</v>
      </c>
      <c r="B681" s="9" t="s">
        <v>93</v>
      </c>
      <c r="C681" s="9" t="s">
        <v>94</v>
      </c>
      <c r="D681" s="10"/>
      <c r="E681" s="11" t="str">
        <f>"－"</f>
        <v>－</v>
      </c>
      <c r="F681" s="10"/>
      <c r="G681" s="11" t="str">
        <f>"－"</f>
        <v>－</v>
      </c>
      <c r="H681" s="10"/>
      <c r="I681" s="11" t="str">
        <f>"－"</f>
        <v>－</v>
      </c>
      <c r="J681" s="10"/>
      <c r="K681" s="11" t="str">
        <f>"－"</f>
        <v>－</v>
      </c>
    </row>
    <row r="682">
      <c r="A682" s="8" t="s">
        <v>36</v>
      </c>
      <c r="B682" s="9" t="s">
        <v>93</v>
      </c>
      <c r="C682" s="9" t="s">
        <v>94</v>
      </c>
      <c r="D682" s="10"/>
      <c r="E682" s="11" t="str">
        <f>"－"</f>
        <v>－</v>
      </c>
      <c r="F682" s="10"/>
      <c r="G682" s="11" t="str">
        <f>"－"</f>
        <v>－</v>
      </c>
      <c r="H682" s="10"/>
      <c r="I682" s="11" t="str">
        <f>"－"</f>
        <v>－</v>
      </c>
      <c r="J682" s="10"/>
      <c r="K682" s="11" t="str">
        <f>"－"</f>
        <v>－</v>
      </c>
    </row>
    <row r="683">
      <c r="A683" s="8" t="s">
        <v>37</v>
      </c>
      <c r="B683" s="9" t="s">
        <v>93</v>
      </c>
      <c r="C683" s="9" t="s">
        <v>94</v>
      </c>
      <c r="D683" s="10"/>
      <c r="E683" s="11"/>
      <c r="F683" s="10"/>
      <c r="G683" s="11"/>
      <c r="H683" s="10"/>
      <c r="I683" s="11"/>
      <c r="J683" s="10"/>
      <c r="K683" s="11"/>
    </row>
    <row r="684">
      <c r="A684" s="8" t="s">
        <v>38</v>
      </c>
      <c r="B684" s="9" t="s">
        <v>93</v>
      </c>
      <c r="C684" s="9" t="s">
        <v>94</v>
      </c>
      <c r="D684" s="10"/>
      <c r="E684" s="11"/>
      <c r="F684" s="10"/>
      <c r="G684" s="11"/>
      <c r="H684" s="10"/>
      <c r="I684" s="11"/>
      <c r="J684" s="10"/>
      <c r="K684" s="11"/>
    </row>
    <row r="685">
      <c r="A685" s="8" t="s">
        <v>39</v>
      </c>
      <c r="B685" s="9" t="s">
        <v>93</v>
      </c>
      <c r="C685" s="9" t="s">
        <v>94</v>
      </c>
      <c r="D685" s="10"/>
      <c r="E685" s="11" t="str">
        <f>"－"</f>
        <v>－</v>
      </c>
      <c r="F685" s="10"/>
      <c r="G685" s="11" t="str">
        <f>"－"</f>
        <v>－</v>
      </c>
      <c r="H685" s="10"/>
      <c r="I685" s="11" t="str">
        <f>"－"</f>
        <v>－</v>
      </c>
      <c r="J685" s="10"/>
      <c r="K685" s="11" t="str">
        <f>"－"</f>
        <v>－</v>
      </c>
    </row>
    <row r="686">
      <c r="A686" s="8" t="s">
        <v>40</v>
      </c>
      <c r="B686" s="9" t="s">
        <v>93</v>
      </c>
      <c r="C686" s="9" t="s">
        <v>94</v>
      </c>
      <c r="D686" s="10"/>
      <c r="E686" s="11" t="str">
        <f>"－"</f>
        <v>－</v>
      </c>
      <c r="F686" s="10"/>
      <c r="G686" s="11" t="str">
        <f>"－"</f>
        <v>－</v>
      </c>
      <c r="H686" s="10"/>
      <c r="I686" s="11" t="str">
        <f>"－"</f>
        <v>－</v>
      </c>
      <c r="J686" s="10"/>
      <c r="K686" s="11" t="str">
        <f>"－"</f>
        <v>－</v>
      </c>
    </row>
    <row r="687">
      <c r="A687" s="8" t="s">
        <v>42</v>
      </c>
      <c r="B687" s="9" t="s">
        <v>93</v>
      </c>
      <c r="C687" s="9" t="s">
        <v>94</v>
      </c>
      <c r="D687" s="10"/>
      <c r="E687" s="11" t="str">
        <f>"－"</f>
        <v>－</v>
      </c>
      <c r="F687" s="10"/>
      <c r="G687" s="11" t="str">
        <f>"－"</f>
        <v>－</v>
      </c>
      <c r="H687" s="10"/>
      <c r="I687" s="11" t="str">
        <f>"－"</f>
        <v>－</v>
      </c>
      <c r="J687" s="10"/>
      <c r="K687" s="11" t="str">
        <f>"－"</f>
        <v>－</v>
      </c>
    </row>
    <row r="688">
      <c r="A688" s="8" t="s">
        <v>43</v>
      </c>
      <c r="B688" s="9" t="s">
        <v>93</v>
      </c>
      <c r="C688" s="9" t="s">
        <v>94</v>
      </c>
      <c r="D688" s="10"/>
      <c r="E688" s="11" t="str">
        <f>"－"</f>
        <v>－</v>
      </c>
      <c r="F688" s="10"/>
      <c r="G688" s="11" t="str">
        <f>"－"</f>
        <v>－</v>
      </c>
      <c r="H688" s="10"/>
      <c r="I688" s="11" t="str">
        <f>"－"</f>
        <v>－</v>
      </c>
      <c r="J688" s="10"/>
      <c r="K688" s="11" t="str">
        <f>"－"</f>
        <v>－</v>
      </c>
    </row>
    <row r="689">
      <c r="A689" s="8" t="s">
        <v>44</v>
      </c>
      <c r="B689" s="9" t="s">
        <v>93</v>
      </c>
      <c r="C689" s="9" t="s">
        <v>94</v>
      </c>
      <c r="D689" s="10"/>
      <c r="E689" s="11" t="str">
        <f>"－"</f>
        <v>－</v>
      </c>
      <c r="F689" s="10"/>
      <c r="G689" s="11" t="str">
        <f>"－"</f>
        <v>－</v>
      </c>
      <c r="H689" s="10"/>
      <c r="I689" s="11" t="str">
        <f>"－"</f>
        <v>－</v>
      </c>
      <c r="J689" s="10"/>
      <c r="K689" s="11" t="str">
        <f>"－"</f>
        <v>－</v>
      </c>
    </row>
    <row r="690">
      <c r="A690" s="8" t="s">
        <v>45</v>
      </c>
      <c r="B690" s="9" t="s">
        <v>93</v>
      </c>
      <c r="C690" s="9" t="s">
        <v>94</v>
      </c>
      <c r="D690" s="10"/>
      <c r="E690" s="11"/>
      <c r="F690" s="10"/>
      <c r="G690" s="11"/>
      <c r="H690" s="10"/>
      <c r="I690" s="11"/>
      <c r="J690" s="10"/>
      <c r="K690" s="11"/>
    </row>
    <row r="691">
      <c r="A691" s="8" t="s">
        <v>46</v>
      </c>
      <c r="B691" s="9" t="s">
        <v>93</v>
      </c>
      <c r="C691" s="9" t="s">
        <v>94</v>
      </c>
      <c r="D691" s="10"/>
      <c r="E691" s="11"/>
      <c r="F691" s="10"/>
      <c r="G691" s="11"/>
      <c r="H691" s="10"/>
      <c r="I691" s="11"/>
      <c r="J691" s="10"/>
      <c r="K691" s="11"/>
    </row>
    <row r="692">
      <c r="A692" s="8" t="s">
        <v>47</v>
      </c>
      <c r="B692" s="9" t="s">
        <v>93</v>
      </c>
      <c r="C692" s="9" t="s">
        <v>94</v>
      </c>
      <c r="D692" s="10"/>
      <c r="E692" s="11" t="str">
        <f>"－"</f>
        <v>－</v>
      </c>
      <c r="F692" s="10"/>
      <c r="G692" s="11" t="str">
        <f>"－"</f>
        <v>－</v>
      </c>
      <c r="H692" s="10"/>
      <c r="I692" s="11" t="str">
        <f>"－"</f>
        <v>－</v>
      </c>
      <c r="J692" s="10"/>
      <c r="K692" s="11" t="str">
        <f>"－"</f>
        <v>－</v>
      </c>
    </row>
    <row r="693">
      <c r="A693" s="8" t="s">
        <v>48</v>
      </c>
      <c r="B693" s="9" t="s">
        <v>93</v>
      </c>
      <c r="C693" s="9" t="s">
        <v>94</v>
      </c>
      <c r="D693" s="10"/>
      <c r="E693" s="11" t="str">
        <f>"－"</f>
        <v>－</v>
      </c>
      <c r="F693" s="10"/>
      <c r="G693" s="11" t="str">
        <f>"－"</f>
        <v>－</v>
      </c>
      <c r="H693" s="10"/>
      <c r="I693" s="11" t="str">
        <f>"－"</f>
        <v>－</v>
      </c>
      <c r="J693" s="10"/>
      <c r="K693" s="11" t="str">
        <f>"－"</f>
        <v>－</v>
      </c>
    </row>
    <row r="694">
      <c r="A694" s="8" t="s">
        <v>49</v>
      </c>
      <c r="B694" s="9" t="s">
        <v>93</v>
      </c>
      <c r="C694" s="9" t="s">
        <v>94</v>
      </c>
      <c r="D694" s="10"/>
      <c r="E694" s="11" t="str">
        <f>"－"</f>
        <v>－</v>
      </c>
      <c r="F694" s="10"/>
      <c r="G694" s="11" t="str">
        <f>"－"</f>
        <v>－</v>
      </c>
      <c r="H694" s="10"/>
      <c r="I694" s="11" t="str">
        <f>"－"</f>
        <v>－</v>
      </c>
      <c r="J694" s="10"/>
      <c r="K694" s="11" t="str">
        <f>"－"</f>
        <v>－</v>
      </c>
    </row>
    <row r="695">
      <c r="A695" s="8" t="s">
        <v>50</v>
      </c>
      <c r="B695" s="9" t="s">
        <v>93</v>
      </c>
      <c r="C695" s="9" t="s">
        <v>94</v>
      </c>
      <c r="D695" s="10"/>
      <c r="E695" s="11" t="str">
        <f>"－"</f>
        <v>－</v>
      </c>
      <c r="F695" s="10"/>
      <c r="G695" s="11" t="str">
        <f>"－"</f>
        <v>－</v>
      </c>
      <c r="H695" s="10"/>
      <c r="I695" s="11" t="str">
        <f>"－"</f>
        <v>－</v>
      </c>
      <c r="J695" s="10"/>
      <c r="K695" s="11" t="str">
        <f>"－"</f>
        <v>－</v>
      </c>
    </row>
    <row r="696">
      <c r="A696" s="8" t="s">
        <v>16</v>
      </c>
      <c r="B696" s="9" t="s">
        <v>95</v>
      </c>
      <c r="C696" s="9" t="s">
        <v>96</v>
      </c>
      <c r="D696" s="10" t="s">
        <v>41</v>
      </c>
      <c r="E696" s="11" t="str">
        <f>"－"</f>
        <v>－</v>
      </c>
      <c r="F696" s="10" t="s">
        <v>41</v>
      </c>
      <c r="G696" s="11" t="str">
        <f>"－"</f>
        <v>－</v>
      </c>
      <c r="H696" s="10" t="s">
        <v>19</v>
      </c>
      <c r="I696" s="11" t="str">
        <f>"－"</f>
        <v>－</v>
      </c>
      <c r="J696" s="10"/>
      <c r="K696" s="11" t="n">
        <f>9</f>
        <v>9.0</v>
      </c>
    </row>
    <row r="697">
      <c r="A697" s="8" t="s">
        <v>21</v>
      </c>
      <c r="B697" s="9" t="s">
        <v>95</v>
      </c>
      <c r="C697" s="9" t="s">
        <v>96</v>
      </c>
      <c r="D697" s="10"/>
      <c r="E697" s="11" t="str">
        <f>"－"</f>
        <v>－</v>
      </c>
      <c r="F697" s="10"/>
      <c r="G697" s="11" t="str">
        <f>"－"</f>
        <v>－</v>
      </c>
      <c r="H697" s="10"/>
      <c r="I697" s="11" t="str">
        <f>"－"</f>
        <v>－</v>
      </c>
      <c r="J697" s="10"/>
      <c r="K697" s="11" t="n">
        <f>9</f>
        <v>9.0</v>
      </c>
    </row>
    <row r="698">
      <c r="A698" s="8" t="s">
        <v>22</v>
      </c>
      <c r="B698" s="9" t="s">
        <v>95</v>
      </c>
      <c r="C698" s="9" t="s">
        <v>96</v>
      </c>
      <c r="D698" s="10"/>
      <c r="E698" s="11" t="str">
        <f>"－"</f>
        <v>－</v>
      </c>
      <c r="F698" s="10"/>
      <c r="G698" s="11" t="str">
        <f>"－"</f>
        <v>－</v>
      </c>
      <c r="H698" s="10"/>
      <c r="I698" s="11" t="str">
        <f>"－"</f>
        <v>－</v>
      </c>
      <c r="J698" s="10"/>
      <c r="K698" s="11" t="n">
        <f>9</f>
        <v>9.0</v>
      </c>
    </row>
    <row r="699">
      <c r="A699" s="8" t="s">
        <v>23</v>
      </c>
      <c r="B699" s="9" t="s">
        <v>95</v>
      </c>
      <c r="C699" s="9" t="s">
        <v>96</v>
      </c>
      <c r="D699" s="10"/>
      <c r="E699" s="11"/>
      <c r="F699" s="10"/>
      <c r="G699" s="11"/>
      <c r="H699" s="10"/>
      <c r="I699" s="11"/>
      <c r="J699" s="10"/>
      <c r="K699" s="11"/>
    </row>
    <row r="700">
      <c r="A700" s="8" t="s">
        <v>24</v>
      </c>
      <c r="B700" s="9" t="s">
        <v>95</v>
      </c>
      <c r="C700" s="9" t="s">
        <v>96</v>
      </c>
      <c r="D700" s="10"/>
      <c r="E700" s="11"/>
      <c r="F700" s="10"/>
      <c r="G700" s="11"/>
      <c r="H700" s="10"/>
      <c r="I700" s="11"/>
      <c r="J700" s="10"/>
      <c r="K700" s="11"/>
    </row>
    <row r="701">
      <c r="A701" s="8" t="s">
        <v>25</v>
      </c>
      <c r="B701" s="9" t="s">
        <v>95</v>
      </c>
      <c r="C701" s="9" t="s">
        <v>96</v>
      </c>
      <c r="D701" s="10"/>
      <c r="E701" s="11" t="str">
        <f>"－"</f>
        <v>－</v>
      </c>
      <c r="F701" s="10"/>
      <c r="G701" s="11" t="str">
        <f>"－"</f>
        <v>－</v>
      </c>
      <c r="H701" s="10"/>
      <c r="I701" s="11" t="str">
        <f>"－"</f>
        <v>－</v>
      </c>
      <c r="J701" s="10"/>
      <c r="K701" s="11" t="n">
        <f>9</f>
        <v>9.0</v>
      </c>
    </row>
    <row r="702">
      <c r="A702" s="8" t="s">
        <v>26</v>
      </c>
      <c r="B702" s="9" t="s">
        <v>95</v>
      </c>
      <c r="C702" s="9" t="s">
        <v>96</v>
      </c>
      <c r="D702" s="10"/>
      <c r="E702" s="11" t="str">
        <f>"－"</f>
        <v>－</v>
      </c>
      <c r="F702" s="10"/>
      <c r="G702" s="11" t="str">
        <f>"－"</f>
        <v>－</v>
      </c>
      <c r="H702" s="10"/>
      <c r="I702" s="11" t="str">
        <f>"－"</f>
        <v>－</v>
      </c>
      <c r="J702" s="10"/>
      <c r="K702" s="11" t="n">
        <f>9</f>
        <v>9.0</v>
      </c>
    </row>
    <row r="703">
      <c r="A703" s="8" t="s">
        <v>27</v>
      </c>
      <c r="B703" s="9" t="s">
        <v>95</v>
      </c>
      <c r="C703" s="9" t="s">
        <v>96</v>
      </c>
      <c r="D703" s="10"/>
      <c r="E703" s="11" t="str">
        <f>"－"</f>
        <v>－</v>
      </c>
      <c r="F703" s="10"/>
      <c r="G703" s="11" t="str">
        <f>"－"</f>
        <v>－</v>
      </c>
      <c r="H703" s="10"/>
      <c r="I703" s="11" t="str">
        <f>"－"</f>
        <v>－</v>
      </c>
      <c r="J703" s="10"/>
      <c r="K703" s="11" t="n">
        <f>9</f>
        <v>9.0</v>
      </c>
    </row>
    <row r="704">
      <c r="A704" s="8" t="s">
        <v>28</v>
      </c>
      <c r="B704" s="9" t="s">
        <v>95</v>
      </c>
      <c r="C704" s="9" t="s">
        <v>96</v>
      </c>
      <c r="D704" s="10"/>
      <c r="E704" s="11" t="str">
        <f>"－"</f>
        <v>－</v>
      </c>
      <c r="F704" s="10"/>
      <c r="G704" s="11" t="str">
        <f>"－"</f>
        <v>－</v>
      </c>
      <c r="H704" s="10"/>
      <c r="I704" s="11" t="str">
        <f>"－"</f>
        <v>－</v>
      </c>
      <c r="J704" s="10"/>
      <c r="K704" s="11" t="n">
        <f>9</f>
        <v>9.0</v>
      </c>
    </row>
    <row r="705">
      <c r="A705" s="8" t="s">
        <v>29</v>
      </c>
      <c r="B705" s="9" t="s">
        <v>95</v>
      </c>
      <c r="C705" s="9" t="s">
        <v>96</v>
      </c>
      <c r="D705" s="10"/>
      <c r="E705" s="11" t="str">
        <f>"－"</f>
        <v>－</v>
      </c>
      <c r="F705" s="10"/>
      <c r="G705" s="11" t="str">
        <f>"－"</f>
        <v>－</v>
      </c>
      <c r="H705" s="10"/>
      <c r="I705" s="11" t="str">
        <f>"－"</f>
        <v>－</v>
      </c>
      <c r="J705" s="10"/>
      <c r="K705" s="11" t="n">
        <f>9</f>
        <v>9.0</v>
      </c>
    </row>
    <row r="706">
      <c r="A706" s="8" t="s">
        <v>30</v>
      </c>
      <c r="B706" s="9" t="s">
        <v>95</v>
      </c>
      <c r="C706" s="9" t="s">
        <v>96</v>
      </c>
      <c r="D706" s="10"/>
      <c r="E706" s="11"/>
      <c r="F706" s="10"/>
      <c r="G706" s="11"/>
      <c r="H706" s="10"/>
      <c r="I706" s="11"/>
      <c r="J706" s="10"/>
      <c r="K706" s="11"/>
    </row>
    <row r="707">
      <c r="A707" s="8" t="s">
        <v>31</v>
      </c>
      <c r="B707" s="9" t="s">
        <v>95</v>
      </c>
      <c r="C707" s="9" t="s">
        <v>96</v>
      </c>
      <c r="D707" s="10"/>
      <c r="E707" s="11"/>
      <c r="F707" s="10"/>
      <c r="G707" s="11"/>
      <c r="H707" s="10"/>
      <c r="I707" s="11"/>
      <c r="J707" s="10"/>
      <c r="K707" s="11"/>
    </row>
    <row r="708">
      <c r="A708" s="8" t="s">
        <v>32</v>
      </c>
      <c r="B708" s="9" t="s">
        <v>95</v>
      </c>
      <c r="C708" s="9" t="s">
        <v>96</v>
      </c>
      <c r="D708" s="10"/>
      <c r="E708" s="11" t="str">
        <f>"－"</f>
        <v>－</v>
      </c>
      <c r="F708" s="10"/>
      <c r="G708" s="11" t="str">
        <f>"－"</f>
        <v>－</v>
      </c>
      <c r="H708" s="10"/>
      <c r="I708" s="11" t="str">
        <f>"－"</f>
        <v>－</v>
      </c>
      <c r="J708" s="10"/>
      <c r="K708" s="11" t="n">
        <f>9</f>
        <v>9.0</v>
      </c>
    </row>
    <row r="709">
      <c r="A709" s="8" t="s">
        <v>33</v>
      </c>
      <c r="B709" s="9" t="s">
        <v>95</v>
      </c>
      <c r="C709" s="9" t="s">
        <v>96</v>
      </c>
      <c r="D709" s="10"/>
      <c r="E709" s="11" t="str">
        <f>"－"</f>
        <v>－</v>
      </c>
      <c r="F709" s="10"/>
      <c r="G709" s="11" t="str">
        <f>"－"</f>
        <v>－</v>
      </c>
      <c r="H709" s="10"/>
      <c r="I709" s="11" t="str">
        <f>"－"</f>
        <v>－</v>
      </c>
      <c r="J709" s="10"/>
      <c r="K709" s="11" t="n">
        <f>9</f>
        <v>9.0</v>
      </c>
    </row>
    <row r="710">
      <c r="A710" s="8" t="s">
        <v>34</v>
      </c>
      <c r="B710" s="9" t="s">
        <v>95</v>
      </c>
      <c r="C710" s="9" t="s">
        <v>96</v>
      </c>
      <c r="D710" s="10"/>
      <c r="E710" s="11" t="str">
        <f>"－"</f>
        <v>－</v>
      </c>
      <c r="F710" s="10"/>
      <c r="G710" s="11" t="str">
        <f>"－"</f>
        <v>－</v>
      </c>
      <c r="H710" s="10"/>
      <c r="I710" s="11" t="str">
        <f>"－"</f>
        <v>－</v>
      </c>
      <c r="J710" s="10"/>
      <c r="K710" s="11" t="n">
        <f>9</f>
        <v>9.0</v>
      </c>
    </row>
    <row r="711">
      <c r="A711" s="8" t="s">
        <v>35</v>
      </c>
      <c r="B711" s="9" t="s">
        <v>95</v>
      </c>
      <c r="C711" s="9" t="s">
        <v>96</v>
      </c>
      <c r="D711" s="10"/>
      <c r="E711" s="11" t="n">
        <f>2</f>
        <v>2.0</v>
      </c>
      <c r="F711" s="10"/>
      <c r="G711" s="11" t="n">
        <f>1705000</f>
        <v>1705000.0</v>
      </c>
      <c r="H711" s="10"/>
      <c r="I711" s="11" t="str">
        <f>"－"</f>
        <v>－</v>
      </c>
      <c r="J711" s="10"/>
      <c r="K711" s="11" t="n">
        <f>11</f>
        <v>11.0</v>
      </c>
    </row>
    <row r="712">
      <c r="A712" s="8" t="s">
        <v>36</v>
      </c>
      <c r="B712" s="9" t="s">
        <v>95</v>
      </c>
      <c r="C712" s="9" t="s">
        <v>96</v>
      </c>
      <c r="D712" s="10"/>
      <c r="E712" s="11" t="str">
        <f>"－"</f>
        <v>－</v>
      </c>
      <c r="F712" s="10"/>
      <c r="G712" s="11" t="str">
        <f>"－"</f>
        <v>－</v>
      </c>
      <c r="H712" s="10"/>
      <c r="I712" s="11" t="str">
        <f>"－"</f>
        <v>－</v>
      </c>
      <c r="J712" s="10"/>
      <c r="K712" s="11" t="n">
        <f>11</f>
        <v>11.0</v>
      </c>
    </row>
    <row r="713">
      <c r="A713" s="8" t="s">
        <v>37</v>
      </c>
      <c r="B713" s="9" t="s">
        <v>95</v>
      </c>
      <c r="C713" s="9" t="s">
        <v>96</v>
      </c>
      <c r="D713" s="10"/>
      <c r="E713" s="11"/>
      <c r="F713" s="10"/>
      <c r="G713" s="11"/>
      <c r="H713" s="10"/>
      <c r="I713" s="11"/>
      <c r="J713" s="10"/>
      <c r="K713" s="11"/>
    </row>
    <row r="714">
      <c r="A714" s="8" t="s">
        <v>38</v>
      </c>
      <c r="B714" s="9" t="s">
        <v>95</v>
      </c>
      <c r="C714" s="9" t="s">
        <v>96</v>
      </c>
      <c r="D714" s="10"/>
      <c r="E714" s="11"/>
      <c r="F714" s="10"/>
      <c r="G714" s="11"/>
      <c r="H714" s="10"/>
      <c r="I714" s="11"/>
      <c r="J714" s="10"/>
      <c r="K714" s="11"/>
    </row>
    <row r="715">
      <c r="A715" s="8" t="s">
        <v>39</v>
      </c>
      <c r="B715" s="9" t="s">
        <v>95</v>
      </c>
      <c r="C715" s="9" t="s">
        <v>96</v>
      </c>
      <c r="D715" s="10"/>
      <c r="E715" s="11" t="str">
        <f>"－"</f>
        <v>－</v>
      </c>
      <c r="F715" s="10"/>
      <c r="G715" s="11" t="str">
        <f>"－"</f>
        <v>－</v>
      </c>
      <c r="H715" s="10"/>
      <c r="I715" s="11" t="str">
        <f>"－"</f>
        <v>－</v>
      </c>
      <c r="J715" s="10"/>
      <c r="K715" s="11" t="n">
        <f>11</f>
        <v>11.0</v>
      </c>
    </row>
    <row r="716">
      <c r="A716" s="8" t="s">
        <v>40</v>
      </c>
      <c r="B716" s="9" t="s">
        <v>95</v>
      </c>
      <c r="C716" s="9" t="s">
        <v>96</v>
      </c>
      <c r="D716" s="10"/>
      <c r="E716" s="11" t="n">
        <f>26</f>
        <v>26.0</v>
      </c>
      <c r="F716" s="10"/>
      <c r="G716" s="11" t="n">
        <f>21048900</f>
        <v>2.10489E7</v>
      </c>
      <c r="H716" s="10"/>
      <c r="I716" s="11" t="str">
        <f>"－"</f>
        <v>－</v>
      </c>
      <c r="J716" s="10"/>
      <c r="K716" s="11" t="n">
        <f>37</f>
        <v>37.0</v>
      </c>
    </row>
    <row r="717">
      <c r="A717" s="8" t="s">
        <v>42</v>
      </c>
      <c r="B717" s="9" t="s">
        <v>95</v>
      </c>
      <c r="C717" s="9" t="s">
        <v>96</v>
      </c>
      <c r="D717" s="10"/>
      <c r="E717" s="11" t="n">
        <f>2</f>
        <v>2.0</v>
      </c>
      <c r="F717" s="10"/>
      <c r="G717" s="11" t="n">
        <f>1673000</f>
        <v>1673000.0</v>
      </c>
      <c r="H717" s="10"/>
      <c r="I717" s="11" t="str">
        <f>"－"</f>
        <v>－</v>
      </c>
      <c r="J717" s="10"/>
      <c r="K717" s="11" t="n">
        <f>39</f>
        <v>39.0</v>
      </c>
    </row>
    <row r="718">
      <c r="A718" s="8" t="s">
        <v>43</v>
      </c>
      <c r="B718" s="9" t="s">
        <v>95</v>
      </c>
      <c r="C718" s="9" t="s">
        <v>96</v>
      </c>
      <c r="D718" s="10"/>
      <c r="E718" s="11" t="n">
        <f>24</f>
        <v>24.0</v>
      </c>
      <c r="F718" s="10"/>
      <c r="G718" s="11" t="n">
        <f>19243000</f>
        <v>1.9243E7</v>
      </c>
      <c r="H718" s="10"/>
      <c r="I718" s="11" t="str">
        <f>"－"</f>
        <v>－</v>
      </c>
      <c r="J718" s="10"/>
      <c r="K718" s="11" t="n">
        <f>62</f>
        <v>62.0</v>
      </c>
    </row>
    <row r="719">
      <c r="A719" s="8" t="s">
        <v>44</v>
      </c>
      <c r="B719" s="9" t="s">
        <v>95</v>
      </c>
      <c r="C719" s="9" t="s">
        <v>96</v>
      </c>
      <c r="D719" s="10" t="s">
        <v>20</v>
      </c>
      <c r="E719" s="11" t="n">
        <f>31</f>
        <v>31.0</v>
      </c>
      <c r="F719" s="10" t="s">
        <v>20</v>
      </c>
      <c r="G719" s="11" t="n">
        <f>24465000</f>
        <v>2.4465E7</v>
      </c>
      <c r="H719" s="10"/>
      <c r="I719" s="11" t="str">
        <f>"－"</f>
        <v>－</v>
      </c>
      <c r="J719" s="10" t="s">
        <v>20</v>
      </c>
      <c r="K719" s="11" t="n">
        <f>91</f>
        <v>91.0</v>
      </c>
    </row>
    <row r="720">
      <c r="A720" s="8" t="s">
        <v>45</v>
      </c>
      <c r="B720" s="9" t="s">
        <v>95</v>
      </c>
      <c r="C720" s="9" t="s">
        <v>96</v>
      </c>
      <c r="D720" s="10"/>
      <c r="E720" s="11"/>
      <c r="F720" s="10"/>
      <c r="G720" s="11"/>
      <c r="H720" s="10"/>
      <c r="I720" s="11"/>
      <c r="J720" s="10"/>
      <c r="K720" s="11"/>
    </row>
    <row r="721">
      <c r="A721" s="8" t="s">
        <v>46</v>
      </c>
      <c r="B721" s="9" t="s">
        <v>95</v>
      </c>
      <c r="C721" s="9" t="s">
        <v>96</v>
      </c>
      <c r="D721" s="10"/>
      <c r="E721" s="11"/>
      <c r="F721" s="10"/>
      <c r="G721" s="11"/>
      <c r="H721" s="10"/>
      <c r="I721" s="11"/>
      <c r="J721" s="10"/>
      <c r="K721" s="11"/>
    </row>
    <row r="722">
      <c r="A722" s="8" t="s">
        <v>47</v>
      </c>
      <c r="B722" s="9" t="s">
        <v>95</v>
      </c>
      <c r="C722" s="9" t="s">
        <v>96</v>
      </c>
      <c r="D722" s="10"/>
      <c r="E722" s="11" t="str">
        <f>"－"</f>
        <v>－</v>
      </c>
      <c r="F722" s="10"/>
      <c r="G722" s="11" t="str">
        <f>"－"</f>
        <v>－</v>
      </c>
      <c r="H722" s="10"/>
      <c r="I722" s="11" t="str">
        <f>"－"</f>
        <v>－</v>
      </c>
      <c r="J722" s="10" t="s">
        <v>41</v>
      </c>
      <c r="K722" s="11" t="n">
        <f>5</f>
        <v>5.0</v>
      </c>
    </row>
    <row r="723">
      <c r="A723" s="8" t="s">
        <v>48</v>
      </c>
      <c r="B723" s="9" t="s">
        <v>95</v>
      </c>
      <c r="C723" s="9" t="s">
        <v>96</v>
      </c>
      <c r="D723" s="10"/>
      <c r="E723" s="11" t="str">
        <f>"－"</f>
        <v>－</v>
      </c>
      <c r="F723" s="10"/>
      <c r="G723" s="11" t="str">
        <f>"－"</f>
        <v>－</v>
      </c>
      <c r="H723" s="10"/>
      <c r="I723" s="11" t="str">
        <f>"－"</f>
        <v>－</v>
      </c>
      <c r="J723" s="10"/>
      <c r="K723" s="11" t="n">
        <f>5</f>
        <v>5.0</v>
      </c>
    </row>
    <row r="724">
      <c r="A724" s="8" t="s">
        <v>49</v>
      </c>
      <c r="B724" s="9" t="s">
        <v>95</v>
      </c>
      <c r="C724" s="9" t="s">
        <v>96</v>
      </c>
      <c r="D724" s="10"/>
      <c r="E724" s="11" t="str">
        <f>"－"</f>
        <v>－</v>
      </c>
      <c r="F724" s="10"/>
      <c r="G724" s="11" t="str">
        <f>"－"</f>
        <v>－</v>
      </c>
      <c r="H724" s="10"/>
      <c r="I724" s="11" t="str">
        <f>"－"</f>
        <v>－</v>
      </c>
      <c r="J724" s="10"/>
      <c r="K724" s="11" t="n">
        <f>5</f>
        <v>5.0</v>
      </c>
    </row>
    <row r="725">
      <c r="A725" s="8" t="s">
        <v>50</v>
      </c>
      <c r="B725" s="9" t="s">
        <v>95</v>
      </c>
      <c r="C725" s="9" t="s">
        <v>96</v>
      </c>
      <c r="D725" s="10"/>
      <c r="E725" s="11" t="str">
        <f>"－"</f>
        <v>－</v>
      </c>
      <c r="F725" s="10"/>
      <c r="G725" s="11" t="str">
        <f>"－"</f>
        <v>－</v>
      </c>
      <c r="H725" s="10"/>
      <c r="I725" s="11" t="str">
        <f>"－"</f>
        <v>－</v>
      </c>
      <c r="J725" s="10"/>
      <c r="K725" s="11" t="n">
        <f>5</f>
        <v>5.0</v>
      </c>
    </row>
    <row r="726">
      <c r="A726" s="8" t="s">
        <v>16</v>
      </c>
      <c r="B726" s="9" t="s">
        <v>97</v>
      </c>
      <c r="C726" s="9" t="s">
        <v>98</v>
      </c>
      <c r="D726" s="10" t="s">
        <v>41</v>
      </c>
      <c r="E726" s="11" t="str">
        <f>"－"</f>
        <v>－</v>
      </c>
      <c r="F726" s="10" t="s">
        <v>41</v>
      </c>
      <c r="G726" s="11" t="str">
        <f>"－"</f>
        <v>－</v>
      </c>
      <c r="H726" s="10" t="s">
        <v>19</v>
      </c>
      <c r="I726" s="11" t="str">
        <f>"－"</f>
        <v>－</v>
      </c>
      <c r="J726" s="10" t="s">
        <v>41</v>
      </c>
      <c r="K726" s="11" t="n">
        <f>3</f>
        <v>3.0</v>
      </c>
    </row>
    <row r="727">
      <c r="A727" s="8" t="s">
        <v>21</v>
      </c>
      <c r="B727" s="9" t="s">
        <v>97</v>
      </c>
      <c r="C727" s="9" t="s">
        <v>98</v>
      </c>
      <c r="D727" s="10"/>
      <c r="E727" s="11" t="str">
        <f>"－"</f>
        <v>－</v>
      </c>
      <c r="F727" s="10"/>
      <c r="G727" s="11" t="str">
        <f>"－"</f>
        <v>－</v>
      </c>
      <c r="H727" s="10"/>
      <c r="I727" s="11" t="str">
        <f>"－"</f>
        <v>－</v>
      </c>
      <c r="J727" s="10"/>
      <c r="K727" s="11" t="n">
        <f>3</f>
        <v>3.0</v>
      </c>
    </row>
    <row r="728">
      <c r="A728" s="8" t="s">
        <v>22</v>
      </c>
      <c r="B728" s="9" t="s">
        <v>97</v>
      </c>
      <c r="C728" s="9" t="s">
        <v>98</v>
      </c>
      <c r="D728" s="10"/>
      <c r="E728" s="11" t="str">
        <f>"－"</f>
        <v>－</v>
      </c>
      <c r="F728" s="10"/>
      <c r="G728" s="11" t="str">
        <f>"－"</f>
        <v>－</v>
      </c>
      <c r="H728" s="10"/>
      <c r="I728" s="11" t="str">
        <f>"－"</f>
        <v>－</v>
      </c>
      <c r="J728" s="10"/>
      <c r="K728" s="11" t="n">
        <f>3</f>
        <v>3.0</v>
      </c>
    </row>
    <row r="729">
      <c r="A729" s="8" t="s">
        <v>23</v>
      </c>
      <c r="B729" s="9" t="s">
        <v>97</v>
      </c>
      <c r="C729" s="9" t="s">
        <v>98</v>
      </c>
      <c r="D729" s="10"/>
      <c r="E729" s="11"/>
      <c r="F729" s="10"/>
      <c r="G729" s="11"/>
      <c r="H729" s="10"/>
      <c r="I729" s="11"/>
      <c r="J729" s="10"/>
      <c r="K729" s="11"/>
    </row>
    <row r="730">
      <c r="A730" s="8" t="s">
        <v>24</v>
      </c>
      <c r="B730" s="9" t="s">
        <v>97</v>
      </c>
      <c r="C730" s="9" t="s">
        <v>98</v>
      </c>
      <c r="D730" s="10"/>
      <c r="E730" s="11"/>
      <c r="F730" s="10"/>
      <c r="G730" s="11"/>
      <c r="H730" s="10"/>
      <c r="I730" s="11"/>
      <c r="J730" s="10"/>
      <c r="K730" s="11"/>
    </row>
    <row r="731">
      <c r="A731" s="8" t="s">
        <v>25</v>
      </c>
      <c r="B731" s="9" t="s">
        <v>97</v>
      </c>
      <c r="C731" s="9" t="s">
        <v>98</v>
      </c>
      <c r="D731" s="10"/>
      <c r="E731" s="11" t="str">
        <f>"－"</f>
        <v>－</v>
      </c>
      <c r="F731" s="10"/>
      <c r="G731" s="11" t="str">
        <f>"－"</f>
        <v>－</v>
      </c>
      <c r="H731" s="10"/>
      <c r="I731" s="11" t="str">
        <f>"－"</f>
        <v>－</v>
      </c>
      <c r="J731" s="10"/>
      <c r="K731" s="11" t="n">
        <f>3</f>
        <v>3.0</v>
      </c>
    </row>
    <row r="732">
      <c r="A732" s="8" t="s">
        <v>26</v>
      </c>
      <c r="B732" s="9" t="s">
        <v>97</v>
      </c>
      <c r="C732" s="9" t="s">
        <v>98</v>
      </c>
      <c r="D732" s="10"/>
      <c r="E732" s="11" t="str">
        <f>"－"</f>
        <v>－</v>
      </c>
      <c r="F732" s="10"/>
      <c r="G732" s="11" t="str">
        <f>"－"</f>
        <v>－</v>
      </c>
      <c r="H732" s="10"/>
      <c r="I732" s="11" t="str">
        <f>"－"</f>
        <v>－</v>
      </c>
      <c r="J732" s="10"/>
      <c r="K732" s="11" t="n">
        <f>3</f>
        <v>3.0</v>
      </c>
    </row>
    <row r="733">
      <c r="A733" s="8" t="s">
        <v>27</v>
      </c>
      <c r="B733" s="9" t="s">
        <v>97</v>
      </c>
      <c r="C733" s="9" t="s">
        <v>98</v>
      </c>
      <c r="D733" s="10"/>
      <c r="E733" s="11" t="str">
        <f>"－"</f>
        <v>－</v>
      </c>
      <c r="F733" s="10"/>
      <c r="G733" s="11" t="str">
        <f>"－"</f>
        <v>－</v>
      </c>
      <c r="H733" s="10"/>
      <c r="I733" s="11" t="str">
        <f>"－"</f>
        <v>－</v>
      </c>
      <c r="J733" s="10"/>
      <c r="K733" s="11" t="n">
        <f>3</f>
        <v>3.0</v>
      </c>
    </row>
    <row r="734">
      <c r="A734" s="8" t="s">
        <v>28</v>
      </c>
      <c r="B734" s="9" t="s">
        <v>97</v>
      </c>
      <c r="C734" s="9" t="s">
        <v>98</v>
      </c>
      <c r="D734" s="10"/>
      <c r="E734" s="11" t="str">
        <f>"－"</f>
        <v>－</v>
      </c>
      <c r="F734" s="10"/>
      <c r="G734" s="11" t="str">
        <f>"－"</f>
        <v>－</v>
      </c>
      <c r="H734" s="10"/>
      <c r="I734" s="11" t="str">
        <f>"－"</f>
        <v>－</v>
      </c>
      <c r="J734" s="10"/>
      <c r="K734" s="11" t="n">
        <f>3</f>
        <v>3.0</v>
      </c>
    </row>
    <row r="735">
      <c r="A735" s="8" t="s">
        <v>29</v>
      </c>
      <c r="B735" s="9" t="s">
        <v>97</v>
      </c>
      <c r="C735" s="9" t="s">
        <v>98</v>
      </c>
      <c r="D735" s="10"/>
      <c r="E735" s="11" t="str">
        <f>"－"</f>
        <v>－</v>
      </c>
      <c r="F735" s="10"/>
      <c r="G735" s="11" t="str">
        <f>"－"</f>
        <v>－</v>
      </c>
      <c r="H735" s="10"/>
      <c r="I735" s="11" t="str">
        <f>"－"</f>
        <v>－</v>
      </c>
      <c r="J735" s="10"/>
      <c r="K735" s="11" t="n">
        <f>3</f>
        <v>3.0</v>
      </c>
    </row>
    <row r="736">
      <c r="A736" s="8" t="s">
        <v>30</v>
      </c>
      <c r="B736" s="9" t="s">
        <v>97</v>
      </c>
      <c r="C736" s="9" t="s">
        <v>98</v>
      </c>
      <c r="D736" s="10"/>
      <c r="E736" s="11"/>
      <c r="F736" s="10"/>
      <c r="G736" s="11"/>
      <c r="H736" s="10"/>
      <c r="I736" s="11"/>
      <c r="J736" s="10"/>
      <c r="K736" s="11"/>
    </row>
    <row r="737">
      <c r="A737" s="8" t="s">
        <v>31</v>
      </c>
      <c r="B737" s="9" t="s">
        <v>97</v>
      </c>
      <c r="C737" s="9" t="s">
        <v>98</v>
      </c>
      <c r="D737" s="10"/>
      <c r="E737" s="11"/>
      <c r="F737" s="10"/>
      <c r="G737" s="11"/>
      <c r="H737" s="10"/>
      <c r="I737" s="11"/>
      <c r="J737" s="10"/>
      <c r="K737" s="11"/>
    </row>
    <row r="738">
      <c r="A738" s="8" t="s">
        <v>32</v>
      </c>
      <c r="B738" s="9" t="s">
        <v>97</v>
      </c>
      <c r="C738" s="9" t="s">
        <v>98</v>
      </c>
      <c r="D738" s="10"/>
      <c r="E738" s="11" t="str">
        <f>"－"</f>
        <v>－</v>
      </c>
      <c r="F738" s="10"/>
      <c r="G738" s="11" t="str">
        <f>"－"</f>
        <v>－</v>
      </c>
      <c r="H738" s="10"/>
      <c r="I738" s="11" t="str">
        <f>"－"</f>
        <v>－</v>
      </c>
      <c r="J738" s="10"/>
      <c r="K738" s="11" t="n">
        <f>3</f>
        <v>3.0</v>
      </c>
    </row>
    <row r="739">
      <c r="A739" s="8" t="s">
        <v>33</v>
      </c>
      <c r="B739" s="9" t="s">
        <v>97</v>
      </c>
      <c r="C739" s="9" t="s">
        <v>98</v>
      </c>
      <c r="D739" s="10"/>
      <c r="E739" s="11" t="str">
        <f>"－"</f>
        <v>－</v>
      </c>
      <c r="F739" s="10"/>
      <c r="G739" s="11" t="str">
        <f>"－"</f>
        <v>－</v>
      </c>
      <c r="H739" s="10"/>
      <c r="I739" s="11" t="str">
        <f>"－"</f>
        <v>－</v>
      </c>
      <c r="J739" s="10"/>
      <c r="K739" s="11" t="n">
        <f>3</f>
        <v>3.0</v>
      </c>
    </row>
    <row r="740">
      <c r="A740" s="8" t="s">
        <v>34</v>
      </c>
      <c r="B740" s="9" t="s">
        <v>97</v>
      </c>
      <c r="C740" s="9" t="s">
        <v>98</v>
      </c>
      <c r="D740" s="10"/>
      <c r="E740" s="11" t="str">
        <f>"－"</f>
        <v>－</v>
      </c>
      <c r="F740" s="10"/>
      <c r="G740" s="11" t="str">
        <f>"－"</f>
        <v>－</v>
      </c>
      <c r="H740" s="10"/>
      <c r="I740" s="11" t="str">
        <f>"－"</f>
        <v>－</v>
      </c>
      <c r="J740" s="10"/>
      <c r="K740" s="11" t="n">
        <f>3</f>
        <v>3.0</v>
      </c>
    </row>
    <row r="741">
      <c r="A741" s="8" t="s">
        <v>35</v>
      </c>
      <c r="B741" s="9" t="s">
        <v>97</v>
      </c>
      <c r="C741" s="9" t="s">
        <v>98</v>
      </c>
      <c r="D741" s="10"/>
      <c r="E741" s="11" t="str">
        <f>"－"</f>
        <v>－</v>
      </c>
      <c r="F741" s="10"/>
      <c r="G741" s="11" t="str">
        <f>"－"</f>
        <v>－</v>
      </c>
      <c r="H741" s="10"/>
      <c r="I741" s="11" t="str">
        <f>"－"</f>
        <v>－</v>
      </c>
      <c r="J741" s="10"/>
      <c r="K741" s="11" t="n">
        <f>3</f>
        <v>3.0</v>
      </c>
    </row>
    <row r="742">
      <c r="A742" s="8" t="s">
        <v>36</v>
      </c>
      <c r="B742" s="9" t="s">
        <v>97</v>
      </c>
      <c r="C742" s="9" t="s">
        <v>98</v>
      </c>
      <c r="D742" s="10"/>
      <c r="E742" s="11" t="n">
        <f>2</f>
        <v>2.0</v>
      </c>
      <c r="F742" s="10"/>
      <c r="G742" s="11" t="n">
        <f>1620000</f>
        <v>1620000.0</v>
      </c>
      <c r="H742" s="10"/>
      <c r="I742" s="11" t="str">
        <f>"－"</f>
        <v>－</v>
      </c>
      <c r="J742" s="10"/>
      <c r="K742" s="11" t="n">
        <f>5</f>
        <v>5.0</v>
      </c>
    </row>
    <row r="743">
      <c r="A743" s="8" t="s">
        <v>37</v>
      </c>
      <c r="B743" s="9" t="s">
        <v>97</v>
      </c>
      <c r="C743" s="9" t="s">
        <v>98</v>
      </c>
      <c r="D743" s="10"/>
      <c r="E743" s="11"/>
      <c r="F743" s="10"/>
      <c r="G743" s="11"/>
      <c r="H743" s="10"/>
      <c r="I743" s="11"/>
      <c r="J743" s="10"/>
      <c r="K743" s="11"/>
    </row>
    <row r="744">
      <c r="A744" s="8" t="s">
        <v>38</v>
      </c>
      <c r="B744" s="9" t="s">
        <v>97</v>
      </c>
      <c r="C744" s="9" t="s">
        <v>98</v>
      </c>
      <c r="D744" s="10"/>
      <c r="E744" s="11"/>
      <c r="F744" s="10"/>
      <c r="G744" s="11"/>
      <c r="H744" s="10"/>
      <c r="I744" s="11"/>
      <c r="J744" s="10"/>
      <c r="K744" s="11"/>
    </row>
    <row r="745">
      <c r="A745" s="8" t="s">
        <v>39</v>
      </c>
      <c r="B745" s="9" t="s">
        <v>97</v>
      </c>
      <c r="C745" s="9" t="s">
        <v>98</v>
      </c>
      <c r="D745" s="10"/>
      <c r="E745" s="11" t="n">
        <f>2</f>
        <v>2.0</v>
      </c>
      <c r="F745" s="10"/>
      <c r="G745" s="11" t="n">
        <f>1620000</f>
        <v>1620000.0</v>
      </c>
      <c r="H745" s="10"/>
      <c r="I745" s="11" t="str">
        <f>"－"</f>
        <v>－</v>
      </c>
      <c r="J745" s="10"/>
      <c r="K745" s="11" t="n">
        <f>7</f>
        <v>7.0</v>
      </c>
    </row>
    <row r="746">
      <c r="A746" s="8" t="s">
        <v>40</v>
      </c>
      <c r="B746" s="9" t="s">
        <v>97</v>
      </c>
      <c r="C746" s="9" t="s">
        <v>98</v>
      </c>
      <c r="D746" s="10"/>
      <c r="E746" s="11" t="n">
        <f>11</f>
        <v>11.0</v>
      </c>
      <c r="F746" s="10"/>
      <c r="G746" s="11" t="n">
        <f>8745000</f>
        <v>8745000.0</v>
      </c>
      <c r="H746" s="10"/>
      <c r="I746" s="11" t="str">
        <f>"－"</f>
        <v>－</v>
      </c>
      <c r="J746" s="10"/>
      <c r="K746" s="11" t="n">
        <f>18</f>
        <v>18.0</v>
      </c>
    </row>
    <row r="747">
      <c r="A747" s="8" t="s">
        <v>42</v>
      </c>
      <c r="B747" s="9" t="s">
        <v>97</v>
      </c>
      <c r="C747" s="9" t="s">
        <v>98</v>
      </c>
      <c r="D747" s="10"/>
      <c r="E747" s="11" t="str">
        <f>"－"</f>
        <v>－</v>
      </c>
      <c r="F747" s="10"/>
      <c r="G747" s="11" t="str">
        <f>"－"</f>
        <v>－</v>
      </c>
      <c r="H747" s="10"/>
      <c r="I747" s="11" t="str">
        <f>"－"</f>
        <v>－</v>
      </c>
      <c r="J747" s="10"/>
      <c r="K747" s="11" t="n">
        <f>18</f>
        <v>18.0</v>
      </c>
    </row>
    <row r="748">
      <c r="A748" s="8" t="s">
        <v>43</v>
      </c>
      <c r="B748" s="9" t="s">
        <v>97</v>
      </c>
      <c r="C748" s="9" t="s">
        <v>98</v>
      </c>
      <c r="D748" s="10" t="s">
        <v>20</v>
      </c>
      <c r="E748" s="11" t="n">
        <f>25</f>
        <v>25.0</v>
      </c>
      <c r="F748" s="10" t="s">
        <v>20</v>
      </c>
      <c r="G748" s="11" t="n">
        <f>19890000</f>
        <v>1.989E7</v>
      </c>
      <c r="H748" s="10"/>
      <c r="I748" s="11" t="str">
        <f>"－"</f>
        <v>－</v>
      </c>
      <c r="J748" s="10"/>
      <c r="K748" s="11" t="n">
        <f>43</f>
        <v>43.0</v>
      </c>
    </row>
    <row r="749">
      <c r="A749" s="8" t="s">
        <v>44</v>
      </c>
      <c r="B749" s="9" t="s">
        <v>97</v>
      </c>
      <c r="C749" s="9" t="s">
        <v>98</v>
      </c>
      <c r="D749" s="10"/>
      <c r="E749" s="11" t="n">
        <f>8</f>
        <v>8.0</v>
      </c>
      <c r="F749" s="10"/>
      <c r="G749" s="11" t="n">
        <f>6270000</f>
        <v>6270000.0</v>
      </c>
      <c r="H749" s="10"/>
      <c r="I749" s="11" t="str">
        <f>"－"</f>
        <v>－</v>
      </c>
      <c r="J749" s="10" t="s">
        <v>20</v>
      </c>
      <c r="K749" s="11" t="n">
        <f>51</f>
        <v>51.0</v>
      </c>
    </row>
    <row r="750">
      <c r="A750" s="8" t="s">
        <v>45</v>
      </c>
      <c r="B750" s="9" t="s">
        <v>97</v>
      </c>
      <c r="C750" s="9" t="s">
        <v>98</v>
      </c>
      <c r="D750" s="10"/>
      <c r="E750" s="11"/>
      <c r="F750" s="10"/>
      <c r="G750" s="11"/>
      <c r="H750" s="10"/>
      <c r="I750" s="11"/>
      <c r="J750" s="10"/>
      <c r="K750" s="11"/>
    </row>
    <row r="751">
      <c r="A751" s="8" t="s">
        <v>46</v>
      </c>
      <c r="B751" s="9" t="s">
        <v>97</v>
      </c>
      <c r="C751" s="9" t="s">
        <v>98</v>
      </c>
      <c r="D751" s="10"/>
      <c r="E751" s="11"/>
      <c r="F751" s="10"/>
      <c r="G751" s="11"/>
      <c r="H751" s="10"/>
      <c r="I751" s="11"/>
      <c r="J751" s="10"/>
      <c r="K751" s="11"/>
    </row>
    <row r="752">
      <c r="A752" s="8" t="s">
        <v>47</v>
      </c>
      <c r="B752" s="9" t="s">
        <v>97</v>
      </c>
      <c r="C752" s="9" t="s">
        <v>98</v>
      </c>
      <c r="D752" s="10"/>
      <c r="E752" s="11" t="str">
        <f>"－"</f>
        <v>－</v>
      </c>
      <c r="F752" s="10"/>
      <c r="G752" s="11" t="str">
        <f>"－"</f>
        <v>－</v>
      </c>
      <c r="H752" s="10"/>
      <c r="I752" s="11" t="str">
        <f>"－"</f>
        <v>－</v>
      </c>
      <c r="J752" s="10"/>
      <c r="K752" s="11" t="n">
        <f>4</f>
        <v>4.0</v>
      </c>
    </row>
    <row r="753">
      <c r="A753" s="8" t="s">
        <v>48</v>
      </c>
      <c r="B753" s="9" t="s">
        <v>97</v>
      </c>
      <c r="C753" s="9" t="s">
        <v>98</v>
      </c>
      <c r="D753" s="10"/>
      <c r="E753" s="11" t="str">
        <f>"－"</f>
        <v>－</v>
      </c>
      <c r="F753" s="10"/>
      <c r="G753" s="11" t="str">
        <f>"－"</f>
        <v>－</v>
      </c>
      <c r="H753" s="10"/>
      <c r="I753" s="11" t="str">
        <f>"－"</f>
        <v>－</v>
      </c>
      <c r="J753" s="10"/>
      <c r="K753" s="11" t="n">
        <f>4</f>
        <v>4.0</v>
      </c>
    </row>
    <row r="754">
      <c r="A754" s="8" t="s">
        <v>49</v>
      </c>
      <c r="B754" s="9" t="s">
        <v>97</v>
      </c>
      <c r="C754" s="9" t="s">
        <v>98</v>
      </c>
      <c r="D754" s="10"/>
      <c r="E754" s="11" t="str">
        <f>"－"</f>
        <v>－</v>
      </c>
      <c r="F754" s="10"/>
      <c r="G754" s="11" t="str">
        <f>"－"</f>
        <v>－</v>
      </c>
      <c r="H754" s="10"/>
      <c r="I754" s="11" t="str">
        <f>"－"</f>
        <v>－</v>
      </c>
      <c r="J754" s="10"/>
      <c r="K754" s="11" t="n">
        <f>4</f>
        <v>4.0</v>
      </c>
    </row>
    <row r="755">
      <c r="A755" s="8" t="s">
        <v>50</v>
      </c>
      <c r="B755" s="9" t="s">
        <v>97</v>
      </c>
      <c r="C755" s="9" t="s">
        <v>98</v>
      </c>
      <c r="D755" s="10"/>
      <c r="E755" s="11" t="str">
        <f>"－"</f>
        <v>－</v>
      </c>
      <c r="F755" s="10"/>
      <c r="G755" s="11" t="str">
        <f>"－"</f>
        <v>－</v>
      </c>
      <c r="H755" s="10"/>
      <c r="I755" s="11" t="str">
        <f>"－"</f>
        <v>－</v>
      </c>
      <c r="J755" s="10"/>
      <c r="K755" s="11" t="n">
        <f>4</f>
        <v>4.0</v>
      </c>
    </row>
  </sheetData>
  <mergeCells count="12">
    <mergeCell ref="J4:K4"/>
    <mergeCell ref="D5:E5"/>
    <mergeCell ref="F5:G5"/>
    <mergeCell ref="H5:I5"/>
    <mergeCell ref="J5:K5"/>
    <mergeCell ref="A1:C1"/>
    <mergeCell ref="A2:C2"/>
    <mergeCell ref="D4:E4"/>
    <mergeCell ref="F4:G4"/>
    <mergeCell ref="H4:I4"/>
    <mergeCell ref="B4:B5"/>
    <mergeCell ref="C4:C5"/>
  </mergeCells>
  <phoneticPr fontId="5"/>
  <printOptions horizontalCentered="1"/>
  <pageMargins bottom="0.59055118110236227" footer="0.35433070866141736" header="0.35433070866141736" left="0.55118110236220474" right="0.55118110236220474" top="0.59055118110236227"/>
  <pageSetup fitToHeight="0" orientation="landscape" paperSize="9" r:id="rId1" scale="66" useFirstPageNumber="1"/>
  <headerFooter>
    <oddFooter>&amp;C&amp;P / &amp;N&amp;RCopyright (c) Japan Exchange Group, Inc. All Rights Reserved.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BO_DM0035</vt:lpstr>
      <vt:lpstr>BO_DM0035!Print_Titles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2017-12-14T02:19:15Z</dcterms:created>
  <cp:lastPrinted>2019-12-02T08:22:48Z</cp:lastPrinted>
  <dcterms:modified xsi:type="dcterms:W3CDTF">2020-09-04T01:53:44Z</dcterms:modified>
</cp:coreProperties>
</file>