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<sst xmlns="http://schemas.openxmlformats.org/spreadsheetml/2006/main" count="1562" uniqueCount="81">
  <si>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</si>
  <si>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</si>
  <si>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</si>
  <si>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</si>
  <si>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</si>
  <si>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</si>
  <si>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</si>
  <si>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</si>
  <si>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</si>
  <si>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</si>
  <si>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</si>
  <si>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</si>
  <si>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</si>
  <si>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</si>
  <si>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</si>
  <si>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</si>
  <si>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6.1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</si>
  <si>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</si>
  <si>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</si>
  <si>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</si>
  <si>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</si>
  <si>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</si>
  <si>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</si>
  <si>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</si>
  <si>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</si>
  <si>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◎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</si>
  <si>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</si>
  <si>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</si>
  <si>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</si>
  <si>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</si>
  <si>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</si>
  <si>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</si>
  <si>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</si>
  <si>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</si>
  <si>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</si>
  <si>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</si>
  <si>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</si>
  <si>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</si>
  <si>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</si>
  <si>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</si>
  <si>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</si>
  <si>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</si>
  <si>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</si>
  <si>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</si>
  <si>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</si>
  <si>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</si>
  <si>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</si>
  <si>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</si>
  <si>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</si>
  <si>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</si>
  <si>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</si>
  <si>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</si>
  <si>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</si>
  <si>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</si>
  <si>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</si>
  <si>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</si>
  <si>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</si>
  <si>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</si>
  <si>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</si>
  <si>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</si>
  <si>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</si>
  <si>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</si>
  <si>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</si>
  <si>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</si>
  <si>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</si>
  <si>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</si>
  <si>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◎●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</si>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</sst>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8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78362</f>
        <v>78362.0</v>
      </c>
      <c r="F6" s="10"/>
      <c r="G6" s="2" t="n">
        <f>2142721735350</f>
        <v>2.14272173535E12</v>
      </c>
      <c r="H6" s="10"/>
      <c r="I6" s="2" t="n">
        <f>8984</f>
        <v>8984.0</v>
      </c>
      <c r="J6" s="10"/>
      <c r="K6" s="2" t="n">
        <f>327068</f>
        <v>327068.0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73062</f>
        <v>73062.0</v>
      </c>
      <c r="F7" s="10"/>
      <c r="G7" s="2" t="n">
        <f>2000866093280</f>
        <v>2.00086609328E12</v>
      </c>
      <c r="H7" s="10"/>
      <c r="I7" s="2" t="n">
        <f>7825</f>
        <v>7825.0</v>
      </c>
      <c r="J7" s="10"/>
      <c r="K7" s="2" t="n">
        <f>327665</f>
        <v>327665.0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91324</f>
        <v>91324.0</v>
      </c>
      <c r="F8" s="10"/>
      <c r="G8" s="2" t="n">
        <f>2525677032930</f>
        <v>2.52567703293E12</v>
      </c>
      <c r="H8" s="10"/>
      <c r="I8" s="2" t="n">
        <f>16260</f>
        <v>16260.0</v>
      </c>
      <c r="J8" s="10"/>
      <c r="K8" s="2" t="n">
        <f>330175</f>
        <v>330175.0</v>
      </c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171316</f>
        <v>171316.0</v>
      </c>
      <c r="F11" s="10"/>
      <c r="G11" s="2" t="n">
        <f>4757958094649</f>
        <v>4.757958094649E12</v>
      </c>
      <c r="H11" s="10"/>
      <c r="I11" s="2" t="n">
        <f>34578</f>
        <v>34578.0</v>
      </c>
      <c r="J11" s="10"/>
      <c r="K11" s="2" t="n">
        <f>334194</f>
        <v>334194.0</v>
      </c>
    </row>
    <row r="12">
      <c r="A12" s="8" t="s">
        <v>24</v>
      </c>
      <c r="B12" s="9" t="s">
        <v>17</v>
      </c>
      <c r="C12" s="9" t="s">
        <v>18</v>
      </c>
      <c r="D12" s="10" t="s">
        <v>25</v>
      </c>
      <c r="E12" s="2" t="n">
        <f>354117</f>
        <v>354117.0</v>
      </c>
      <c r="F12" s="10" t="s">
        <v>25</v>
      </c>
      <c r="G12" s="2" t="n">
        <f>9899619089733</f>
        <v>9.899619089733E12</v>
      </c>
      <c r="H12" s="10" t="s">
        <v>25</v>
      </c>
      <c r="I12" s="2" t="n">
        <f>48634</f>
        <v>48634.0</v>
      </c>
      <c r="J12" s="10"/>
      <c r="K12" s="2" t="n">
        <f>364762</f>
        <v>364762.0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262765</f>
        <v>262765.0</v>
      </c>
      <c r="F13" s="10"/>
      <c r="G13" s="2" t="n">
        <f>7385387399022</f>
        <v>7.385387399022E12</v>
      </c>
      <c r="H13" s="10"/>
      <c r="I13" s="2" t="n">
        <f>25363</f>
        <v>25363.0</v>
      </c>
      <c r="J13" s="10" t="s">
        <v>25</v>
      </c>
      <c r="K13" s="2" t="n">
        <f>370244</f>
        <v>370244.0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152441</f>
        <v>152441.0</v>
      </c>
      <c r="F14" s="10"/>
      <c r="G14" s="2" t="n">
        <f>4302485556783</f>
        <v>4.302485556783E12</v>
      </c>
      <c r="H14" s="10"/>
      <c r="I14" s="2" t="n">
        <f>10278</f>
        <v>10278.0</v>
      </c>
      <c r="J14" s="10"/>
      <c r="K14" s="2" t="n">
        <f>369696</f>
        <v>369696.0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86606</f>
        <v>86606.0</v>
      </c>
      <c r="F15" s="10"/>
      <c r="G15" s="2" t="n">
        <f>2418450632180</f>
        <v>2.41845063218E12</v>
      </c>
      <c r="H15" s="10" t="s">
        <v>29</v>
      </c>
      <c r="I15" s="2" t="n">
        <f>5369</f>
        <v>5369.0</v>
      </c>
      <c r="J15" s="10"/>
      <c r="K15" s="2" t="n">
        <f>368360</f>
        <v>368360.0</v>
      </c>
    </row>
    <row r="16">
      <c r="A16" s="8" t="s">
        <v>30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31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32</v>
      </c>
      <c r="B18" s="9" t="s">
        <v>17</v>
      </c>
      <c r="C18" s="9" t="s">
        <v>18</v>
      </c>
      <c r="D18" s="10"/>
      <c r="E18" s="2" t="n">
        <f>135577</f>
        <v>135577.0</v>
      </c>
      <c r="F18" s="10"/>
      <c r="G18" s="2" t="n">
        <f>3681005313430</f>
        <v>3.68100531343E12</v>
      </c>
      <c r="H18" s="10"/>
      <c r="I18" s="2" t="n">
        <f>15829</f>
        <v>15829.0</v>
      </c>
      <c r="J18" s="10" t="s">
        <v>29</v>
      </c>
      <c r="K18" s="2" t="n">
        <f>276973</f>
        <v>276973.0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140541</f>
        <v>140541.0</v>
      </c>
      <c r="F19" s="10"/>
      <c r="G19" s="2" t="n">
        <f>3726071051150</f>
        <v>3.72607105115E12</v>
      </c>
      <c r="H19" s="10"/>
      <c r="I19" s="2" t="n">
        <f>12297</f>
        <v>12297.0</v>
      </c>
      <c r="J19" s="10"/>
      <c r="K19" s="2" t="n">
        <f>283666</f>
        <v>283666.0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105115</f>
        <v>105115.0</v>
      </c>
      <c r="F20" s="10"/>
      <c r="G20" s="2" t="n">
        <f>2773107212000</f>
        <v>2.773107212E12</v>
      </c>
      <c r="H20" s="10"/>
      <c r="I20" s="2" t="n">
        <f>9738</f>
        <v>9738.0</v>
      </c>
      <c r="J20" s="10"/>
      <c r="K20" s="2" t="n">
        <f>291394</f>
        <v>291394.0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117557</f>
        <v>117557.0</v>
      </c>
      <c r="F21" s="10"/>
      <c r="G21" s="2" t="n">
        <f>3116722835026</f>
        <v>3.116722835026E12</v>
      </c>
      <c r="H21" s="10"/>
      <c r="I21" s="2" t="n">
        <f>9775</f>
        <v>9775.0</v>
      </c>
      <c r="J21" s="10"/>
      <c r="K21" s="2" t="n">
        <f>292759</f>
        <v>292759.0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162984</f>
        <v>162984.0</v>
      </c>
      <c r="F22" s="10"/>
      <c r="G22" s="2" t="n">
        <f>4206614250800</f>
        <v>4.2066142508E12</v>
      </c>
      <c r="H22" s="10"/>
      <c r="I22" s="2" t="n">
        <f>15738</f>
        <v>15738.0</v>
      </c>
      <c r="J22" s="10"/>
      <c r="K22" s="2" t="n">
        <f>296194</f>
        <v>296194.0</v>
      </c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 t="n">
        <f>119074</f>
        <v>119074.0</v>
      </c>
      <c r="F25" s="10"/>
      <c r="G25" s="2" t="n">
        <f>3071976224491</f>
        <v>3.071976224491E12</v>
      </c>
      <c r="H25" s="10"/>
      <c r="I25" s="2" t="n">
        <f>8075</f>
        <v>8075.0</v>
      </c>
      <c r="J25" s="10"/>
      <c r="K25" s="2" t="n">
        <f>299824</f>
        <v>299824.0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77335</f>
        <v>77335.0</v>
      </c>
      <c r="F26" s="10"/>
      <c r="G26" s="2" t="n">
        <f>2019939562040</f>
        <v>2.01993956204E12</v>
      </c>
      <c r="H26" s="10"/>
      <c r="I26" s="2" t="n">
        <f>6257</f>
        <v>6257.0</v>
      </c>
      <c r="J26" s="10"/>
      <c r="K26" s="2" t="n">
        <f>302961</f>
        <v>302961.0</v>
      </c>
    </row>
    <row r="27">
      <c r="A27" s="8" t="s">
        <v>41</v>
      </c>
      <c r="B27" s="9" t="s">
        <v>17</v>
      </c>
      <c r="C27" s="9" t="s">
        <v>18</v>
      </c>
      <c r="D27" s="10" t="s">
        <v>29</v>
      </c>
      <c r="E27" s="2" t="n">
        <f>66793</f>
        <v>66793.0</v>
      </c>
      <c r="F27" s="10" t="s">
        <v>29</v>
      </c>
      <c r="G27" s="2" t="n">
        <f>1749729270950</f>
        <v>1.74972927095E12</v>
      </c>
      <c r="H27" s="10"/>
      <c r="I27" s="2" t="n">
        <f>9396</f>
        <v>9396.0</v>
      </c>
      <c r="J27" s="10"/>
      <c r="K27" s="2" t="n">
        <f>307826</f>
        <v>307826.0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82873</f>
        <v>82873.0</v>
      </c>
      <c r="F28" s="10"/>
      <c r="G28" s="2" t="n">
        <f>2167410857100</f>
        <v>2.1674108571E12</v>
      </c>
      <c r="H28" s="10"/>
      <c r="I28" s="2" t="n">
        <f>6860</f>
        <v>6860.0</v>
      </c>
      <c r="J28" s="10"/>
      <c r="K28" s="2" t="n">
        <f>304362</f>
        <v>304362.0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76171</f>
        <v>76171.0</v>
      </c>
      <c r="F29" s="10"/>
      <c r="G29" s="2" t="n">
        <f>2000047692590</f>
        <v>2.00004769259E12</v>
      </c>
      <c r="H29" s="10"/>
      <c r="I29" s="2" t="n">
        <f>7704</f>
        <v>7704.0</v>
      </c>
      <c r="J29" s="10"/>
      <c r="K29" s="2" t="n">
        <f>306965</f>
        <v>306965.0</v>
      </c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 t="n">
        <f>80063</f>
        <v>80063.0</v>
      </c>
      <c r="F32" s="10"/>
      <c r="G32" s="2" t="n">
        <f>2138871462330</f>
        <v>2.13887146233E12</v>
      </c>
      <c r="H32" s="10"/>
      <c r="I32" s="2" t="n">
        <f>7263</f>
        <v>7263.0</v>
      </c>
      <c r="J32" s="10"/>
      <c r="K32" s="2" t="n">
        <f>305860</f>
        <v>305860.0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73275</f>
        <v>73275.0</v>
      </c>
      <c r="F33" s="10"/>
      <c r="G33" s="2" t="n">
        <f>1968038841200</f>
        <v>1.9680388412E12</v>
      </c>
      <c r="H33" s="10"/>
      <c r="I33" s="2" t="n">
        <f>8082</f>
        <v>8082.0</v>
      </c>
      <c r="J33" s="10"/>
      <c r="K33" s="2" t="n">
        <f>304649</f>
        <v>304649.0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79994</f>
        <v>79994.0</v>
      </c>
      <c r="F34" s="10"/>
      <c r="G34" s="2" t="n">
        <f>2145964442980</f>
        <v>2.14596444298E12</v>
      </c>
      <c r="H34" s="10"/>
      <c r="I34" s="2" t="n">
        <f>8114</f>
        <v>8114.0</v>
      </c>
      <c r="J34" s="10"/>
      <c r="K34" s="2" t="n">
        <f>303091</f>
        <v>303091.0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100993</f>
        <v>100993.0</v>
      </c>
      <c r="F35" s="10"/>
      <c r="G35" s="2" t="n">
        <f>2678397333930</f>
        <v>2.67839733393E12</v>
      </c>
      <c r="H35" s="10"/>
      <c r="I35" s="2" t="n">
        <f>10548</f>
        <v>10548.0</v>
      </c>
      <c r="J35" s="10"/>
      <c r="K35" s="2" t="n">
        <f>303581</f>
        <v>303581.0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1109565</f>
        <v>1109565.0</v>
      </c>
      <c r="F36" s="10"/>
      <c r="G36" s="2" t="n">
        <f>3031590459591</f>
        <v>3.031590459591E12</v>
      </c>
      <c r="H36" s="10"/>
      <c r="I36" s="2" t="n">
        <f>100085</f>
        <v>100085.0</v>
      </c>
      <c r="J36" s="10"/>
      <c r="K36" s="2" t="n">
        <f>412123</f>
        <v>412123.0</v>
      </c>
    </row>
    <row r="37">
      <c r="A37" s="8" t="s">
        <v>19</v>
      </c>
      <c r="B37" s="9" t="s">
        <v>50</v>
      </c>
      <c r="C37" s="9" t="s">
        <v>51</v>
      </c>
      <c r="D37" s="10"/>
      <c r="E37" s="2" t="n">
        <f>1065777</f>
        <v>1065777.0</v>
      </c>
      <c r="F37" s="10"/>
      <c r="G37" s="2" t="n">
        <f>2923110898520</f>
        <v>2.92311089852E12</v>
      </c>
      <c r="H37" s="10"/>
      <c r="I37" s="2" t="n">
        <f>96799</f>
        <v>96799.0</v>
      </c>
      <c r="J37" s="10"/>
      <c r="K37" s="2" t="n">
        <f>411734</f>
        <v>411734.0</v>
      </c>
    </row>
    <row r="38">
      <c r="A38" s="8" t="s">
        <v>20</v>
      </c>
      <c r="B38" s="9" t="s">
        <v>50</v>
      </c>
      <c r="C38" s="9" t="s">
        <v>51</v>
      </c>
      <c r="D38" s="10"/>
      <c r="E38" s="2" t="n">
        <f>983984</f>
        <v>983984.0</v>
      </c>
      <c r="F38" s="10"/>
      <c r="G38" s="2" t="n">
        <f>2718575010547</f>
        <v>2.718575010547E12</v>
      </c>
      <c r="H38" s="10"/>
      <c r="I38" s="2" t="n">
        <f>95637</f>
        <v>95637.0</v>
      </c>
      <c r="J38" s="10"/>
      <c r="K38" s="2" t="n">
        <f>414554</f>
        <v>414554.0</v>
      </c>
    </row>
    <row r="39">
      <c r="A39" s="8" t="s">
        <v>21</v>
      </c>
      <c r="B39" s="9" t="s">
        <v>50</v>
      </c>
      <c r="C39" s="9" t="s">
        <v>51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50</v>
      </c>
      <c r="C40" s="9" t="s">
        <v>51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23</v>
      </c>
      <c r="B41" s="9" t="s">
        <v>50</v>
      </c>
      <c r="C41" s="9" t="s">
        <v>51</v>
      </c>
      <c r="D41" s="10"/>
      <c r="E41" s="2" t="n">
        <f>1197220</f>
        <v>1197220.0</v>
      </c>
      <c r="F41" s="10"/>
      <c r="G41" s="2" t="n">
        <f>3320418192460</f>
        <v>3.32041819246E12</v>
      </c>
      <c r="H41" s="10"/>
      <c r="I41" s="2" t="n">
        <f>175649</f>
        <v>175649.0</v>
      </c>
      <c r="J41" s="10"/>
      <c r="K41" s="2" t="n">
        <f>476923</f>
        <v>476923.0</v>
      </c>
    </row>
    <row r="42">
      <c r="A42" s="8" t="s">
        <v>24</v>
      </c>
      <c r="B42" s="9" t="s">
        <v>50</v>
      </c>
      <c r="C42" s="9" t="s">
        <v>51</v>
      </c>
      <c r="D42" s="10"/>
      <c r="E42" s="2" t="n">
        <f>1464672</f>
        <v>1464672.0</v>
      </c>
      <c r="F42" s="10"/>
      <c r="G42" s="2" t="n">
        <f>4099577280209</f>
        <v>4.099577280209E12</v>
      </c>
      <c r="H42" s="10" t="s">
        <v>25</v>
      </c>
      <c r="I42" s="2" t="n">
        <f>226355</f>
        <v>226355.0</v>
      </c>
      <c r="J42" s="10"/>
      <c r="K42" s="2" t="n">
        <f>529859</f>
        <v>529859.0</v>
      </c>
    </row>
    <row r="43">
      <c r="A43" s="8" t="s">
        <v>26</v>
      </c>
      <c r="B43" s="9" t="s">
        <v>50</v>
      </c>
      <c r="C43" s="9" t="s">
        <v>51</v>
      </c>
      <c r="D43" s="10"/>
      <c r="E43" s="2" t="n">
        <f>1106993</f>
        <v>1106993.0</v>
      </c>
      <c r="F43" s="10"/>
      <c r="G43" s="2" t="n">
        <f>3109968714690</f>
        <v>3.10996871469E12</v>
      </c>
      <c r="H43" s="10"/>
      <c r="I43" s="2" t="n">
        <f>115891</f>
        <v>115891.0</v>
      </c>
      <c r="J43" s="10"/>
      <c r="K43" s="2" t="n">
        <f>552864</f>
        <v>552864.0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1045739</f>
        <v>1045739.0</v>
      </c>
      <c r="F44" s="10"/>
      <c r="G44" s="2" t="n">
        <f>2951262373740</f>
        <v>2.95126237374E12</v>
      </c>
      <c r="H44" s="10"/>
      <c r="I44" s="2" t="n">
        <f>117067</f>
        <v>117067.0</v>
      </c>
      <c r="J44" s="10"/>
      <c r="K44" s="2" t="n">
        <f>564451</f>
        <v>564451.0</v>
      </c>
    </row>
    <row r="45">
      <c r="A45" s="8" t="s">
        <v>28</v>
      </c>
      <c r="B45" s="9" t="s">
        <v>50</v>
      </c>
      <c r="C45" s="9" t="s">
        <v>51</v>
      </c>
      <c r="D45" s="10"/>
      <c r="E45" s="2" t="n">
        <f>1160571</f>
        <v>1160571.0</v>
      </c>
      <c r="F45" s="10"/>
      <c r="G45" s="2" t="n">
        <f>3247730850976</f>
        <v>3.247730850976E12</v>
      </c>
      <c r="H45" s="10"/>
      <c r="I45" s="2" t="n">
        <f>108755</f>
        <v>108755.0</v>
      </c>
      <c r="J45" s="10" t="s">
        <v>25</v>
      </c>
      <c r="K45" s="2" t="n">
        <f>602237</f>
        <v>602237.0</v>
      </c>
    </row>
    <row r="46">
      <c r="A46" s="8" t="s">
        <v>30</v>
      </c>
      <c r="B46" s="9" t="s">
        <v>50</v>
      </c>
      <c r="C46" s="9" t="s">
        <v>51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31</v>
      </c>
      <c r="B47" s="9" t="s">
        <v>50</v>
      </c>
      <c r="C47" s="9" t="s">
        <v>51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32</v>
      </c>
      <c r="B48" s="9" t="s">
        <v>50</v>
      </c>
      <c r="C48" s="9" t="s">
        <v>51</v>
      </c>
      <c r="D48" s="10"/>
      <c r="E48" s="2" t="n">
        <f>1564506</f>
        <v>1564506.0</v>
      </c>
      <c r="F48" s="10"/>
      <c r="G48" s="2" t="n">
        <f>4265149229524</f>
        <v>4.265149229524E12</v>
      </c>
      <c r="H48" s="10"/>
      <c r="I48" s="2" t="n">
        <f>125888</f>
        <v>125888.0</v>
      </c>
      <c r="J48" s="10" t="s">
        <v>29</v>
      </c>
      <c r="K48" s="2" t="n">
        <f>364129</f>
        <v>364129.0</v>
      </c>
    </row>
    <row r="49">
      <c r="A49" s="8" t="s">
        <v>33</v>
      </c>
      <c r="B49" s="9" t="s">
        <v>50</v>
      </c>
      <c r="C49" s="9" t="s">
        <v>51</v>
      </c>
      <c r="D49" s="10"/>
      <c r="E49" s="2" t="n">
        <f>1597358</f>
        <v>1597358.0</v>
      </c>
      <c r="F49" s="10"/>
      <c r="G49" s="2" t="n">
        <f>4235068246943</f>
        <v>4.235068246943E12</v>
      </c>
      <c r="H49" s="10"/>
      <c r="I49" s="2" t="n">
        <f>123466</f>
        <v>123466.0</v>
      </c>
      <c r="J49" s="10"/>
      <c r="K49" s="2" t="n">
        <f>391673</f>
        <v>391673.0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1297415</f>
        <v>1297415.0</v>
      </c>
      <c r="F50" s="10"/>
      <c r="G50" s="2" t="n">
        <f>3427707198096</f>
        <v>3.427707198096E12</v>
      </c>
      <c r="H50" s="10"/>
      <c r="I50" s="2" t="n">
        <f>117528</f>
        <v>117528.0</v>
      </c>
      <c r="J50" s="10"/>
      <c r="K50" s="2" t="n">
        <f>384338</f>
        <v>384338.0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1465957</f>
        <v>1465957.0</v>
      </c>
      <c r="F51" s="10"/>
      <c r="G51" s="2" t="n">
        <f>3886762900760</f>
        <v>3.88676290076E12</v>
      </c>
      <c r="H51" s="10"/>
      <c r="I51" s="2" t="n">
        <f>120175</f>
        <v>120175.0</v>
      </c>
      <c r="J51" s="10"/>
      <c r="K51" s="2" t="n">
        <f>371704</f>
        <v>371704.0</v>
      </c>
    </row>
    <row r="52">
      <c r="A52" s="8" t="s">
        <v>36</v>
      </c>
      <c r="B52" s="9" t="s">
        <v>50</v>
      </c>
      <c r="C52" s="9" t="s">
        <v>51</v>
      </c>
      <c r="D52" s="10" t="s">
        <v>25</v>
      </c>
      <c r="E52" s="2" t="n">
        <f>1995908</f>
        <v>1995908.0</v>
      </c>
      <c r="F52" s="10" t="s">
        <v>25</v>
      </c>
      <c r="G52" s="2" t="n">
        <f>5148054869500</f>
        <v>5.1480548695E12</v>
      </c>
      <c r="H52" s="10"/>
      <c r="I52" s="2" t="n">
        <f>177796</f>
        <v>177796.0</v>
      </c>
      <c r="J52" s="10"/>
      <c r="K52" s="2" t="n">
        <f>383730</f>
        <v>383730.0</v>
      </c>
    </row>
    <row r="53">
      <c r="A53" s="8" t="s">
        <v>37</v>
      </c>
      <c r="B53" s="9" t="s">
        <v>50</v>
      </c>
      <c r="C53" s="9" t="s">
        <v>51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 t="n">
        <f>1458374</f>
        <v>1458374.0</v>
      </c>
      <c r="F55" s="10"/>
      <c r="G55" s="2" t="n">
        <f>3766295229352</f>
        <v>3.766295229352E12</v>
      </c>
      <c r="H55" s="10"/>
      <c r="I55" s="2" t="n">
        <f>128163</f>
        <v>128163.0</v>
      </c>
      <c r="J55" s="10"/>
      <c r="K55" s="2" t="n">
        <f>391100</f>
        <v>391100.0</v>
      </c>
    </row>
    <row r="56">
      <c r="A56" s="8" t="s">
        <v>40</v>
      </c>
      <c r="B56" s="9" t="s">
        <v>50</v>
      </c>
      <c r="C56" s="9" t="s">
        <v>51</v>
      </c>
      <c r="D56" s="10"/>
      <c r="E56" s="2" t="n">
        <f>961122</f>
        <v>961122.0</v>
      </c>
      <c r="F56" s="10"/>
      <c r="G56" s="2" t="n">
        <f>2506884498470</f>
        <v>2.50688449847E12</v>
      </c>
      <c r="H56" s="10"/>
      <c r="I56" s="2" t="n">
        <f>97178</f>
        <v>97178.0</v>
      </c>
      <c r="J56" s="10"/>
      <c r="K56" s="2" t="n">
        <f>380967</f>
        <v>380967.0</v>
      </c>
    </row>
    <row r="57">
      <c r="A57" s="8" t="s">
        <v>41</v>
      </c>
      <c r="B57" s="9" t="s">
        <v>50</v>
      </c>
      <c r="C57" s="9" t="s">
        <v>51</v>
      </c>
      <c r="D57" s="10" t="s">
        <v>29</v>
      </c>
      <c r="E57" s="2" t="n">
        <f>890566</f>
        <v>890566.0</v>
      </c>
      <c r="F57" s="10" t="s">
        <v>29</v>
      </c>
      <c r="G57" s="2" t="n">
        <f>2339491798193</f>
        <v>2.339491798193E12</v>
      </c>
      <c r="H57" s="10"/>
      <c r="I57" s="2" t="n">
        <f>91257</f>
        <v>91257.0</v>
      </c>
      <c r="J57" s="10"/>
      <c r="K57" s="2" t="n">
        <f>385234</f>
        <v>385234.0</v>
      </c>
    </row>
    <row r="58">
      <c r="A58" s="8" t="s">
        <v>42</v>
      </c>
      <c r="B58" s="9" t="s">
        <v>50</v>
      </c>
      <c r="C58" s="9" t="s">
        <v>51</v>
      </c>
      <c r="D58" s="10"/>
      <c r="E58" s="2" t="n">
        <f>1362170</f>
        <v>1362170.0</v>
      </c>
      <c r="F58" s="10"/>
      <c r="G58" s="2" t="n">
        <f>3563942126131</f>
        <v>3.563942126131E12</v>
      </c>
      <c r="H58" s="10"/>
      <c r="I58" s="2" t="n">
        <f>125610</f>
        <v>125610.0</v>
      </c>
      <c r="J58" s="10"/>
      <c r="K58" s="2" t="n">
        <f>395428</f>
        <v>395428.0</v>
      </c>
    </row>
    <row r="59">
      <c r="A59" s="8" t="s">
        <v>43</v>
      </c>
      <c r="B59" s="9" t="s">
        <v>50</v>
      </c>
      <c r="C59" s="9" t="s">
        <v>51</v>
      </c>
      <c r="D59" s="10"/>
      <c r="E59" s="2" t="n">
        <f>1188852</f>
        <v>1188852.0</v>
      </c>
      <c r="F59" s="10"/>
      <c r="G59" s="2" t="n">
        <f>3115277316626</f>
        <v>3.115277316626E12</v>
      </c>
      <c r="H59" s="10"/>
      <c r="I59" s="2" t="n">
        <f>101300</f>
        <v>101300.0</v>
      </c>
      <c r="J59" s="10"/>
      <c r="K59" s="2" t="n">
        <f>399751</f>
        <v>399751.0</v>
      </c>
    </row>
    <row r="60">
      <c r="A60" s="8" t="s">
        <v>44</v>
      </c>
      <c r="B60" s="9" t="s">
        <v>50</v>
      </c>
      <c r="C60" s="9" t="s">
        <v>51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45</v>
      </c>
      <c r="B61" s="9" t="s">
        <v>50</v>
      </c>
      <c r="C61" s="9" t="s">
        <v>51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46</v>
      </c>
      <c r="B62" s="9" t="s">
        <v>50</v>
      </c>
      <c r="C62" s="9" t="s">
        <v>51</v>
      </c>
      <c r="D62" s="10"/>
      <c r="E62" s="2" t="n">
        <f>989531</f>
        <v>989531.0</v>
      </c>
      <c r="F62" s="10"/>
      <c r="G62" s="2" t="n">
        <f>2641653721680</f>
        <v>2.64165372168E12</v>
      </c>
      <c r="H62" s="10"/>
      <c r="I62" s="2" t="n">
        <f>93486</f>
        <v>93486.0</v>
      </c>
      <c r="J62" s="10"/>
      <c r="K62" s="2" t="n">
        <f>393363</f>
        <v>393363.0</v>
      </c>
    </row>
    <row r="63">
      <c r="A63" s="8" t="s">
        <v>47</v>
      </c>
      <c r="B63" s="9" t="s">
        <v>50</v>
      </c>
      <c r="C63" s="9" t="s">
        <v>51</v>
      </c>
      <c r="D63" s="10"/>
      <c r="E63" s="2" t="n">
        <f>1017849</f>
        <v>1017849.0</v>
      </c>
      <c r="F63" s="10"/>
      <c r="G63" s="2" t="n">
        <f>2731467148677</f>
        <v>2.731467148677E12</v>
      </c>
      <c r="H63" s="10" t="s">
        <v>29</v>
      </c>
      <c r="I63" s="2" t="n">
        <f>87432</f>
        <v>87432.0</v>
      </c>
      <c r="J63" s="10"/>
      <c r="K63" s="2" t="n">
        <f>393047</f>
        <v>393047.0</v>
      </c>
    </row>
    <row r="64">
      <c r="A64" s="8" t="s">
        <v>48</v>
      </c>
      <c r="B64" s="9" t="s">
        <v>50</v>
      </c>
      <c r="C64" s="9" t="s">
        <v>51</v>
      </c>
      <c r="D64" s="10"/>
      <c r="E64" s="2" t="n">
        <f>1056478</f>
        <v>1056478.0</v>
      </c>
      <c r="F64" s="10"/>
      <c r="G64" s="2" t="n">
        <f>2840334545540</f>
        <v>2.84033454554E12</v>
      </c>
      <c r="H64" s="10"/>
      <c r="I64" s="2" t="n">
        <f>100257</f>
        <v>100257.0</v>
      </c>
      <c r="J64" s="10"/>
      <c r="K64" s="2" t="n">
        <f>392675</f>
        <v>392675.0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1157762</f>
        <v>1157762.0</v>
      </c>
      <c r="F65" s="10"/>
      <c r="G65" s="2" t="n">
        <f>3078470782737</f>
        <v>3.078470782737E12</v>
      </c>
      <c r="H65" s="10"/>
      <c r="I65" s="2" t="n">
        <f>101468</f>
        <v>101468.0</v>
      </c>
      <c r="J65" s="10"/>
      <c r="K65" s="2" t="n">
        <f>408066</f>
        <v>408066.0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107193</f>
        <v>107193.0</v>
      </c>
      <c r="F66" s="10"/>
      <c r="G66" s="2" t="n">
        <f>2067306300050</f>
        <v>2.06730630005E12</v>
      </c>
      <c r="H66" s="10"/>
      <c r="I66" s="2" t="n">
        <f>17739</f>
        <v>17739.0</v>
      </c>
      <c r="J66" s="10"/>
      <c r="K66" s="2" t="n">
        <f>564819</f>
        <v>564819.0</v>
      </c>
    </row>
    <row r="67">
      <c r="A67" s="8" t="s">
        <v>19</v>
      </c>
      <c r="B67" s="9" t="s">
        <v>52</v>
      </c>
      <c r="C67" s="9" t="s">
        <v>53</v>
      </c>
      <c r="D67" s="10"/>
      <c r="E67" s="2" t="n">
        <f>93639</f>
        <v>93639.0</v>
      </c>
      <c r="F67" s="10"/>
      <c r="G67" s="2" t="n">
        <f>1806625522604</f>
        <v>1.806625522604E12</v>
      </c>
      <c r="H67" s="10"/>
      <c r="I67" s="2" t="n">
        <f>18398</f>
        <v>18398.0</v>
      </c>
      <c r="J67" s="10"/>
      <c r="K67" s="2" t="n">
        <f>572348</f>
        <v>572348.0</v>
      </c>
    </row>
    <row r="68">
      <c r="A68" s="8" t="s">
        <v>20</v>
      </c>
      <c r="B68" s="9" t="s">
        <v>52</v>
      </c>
      <c r="C68" s="9" t="s">
        <v>53</v>
      </c>
      <c r="D68" s="10"/>
      <c r="E68" s="2" t="n">
        <f>154830</f>
        <v>154830.0</v>
      </c>
      <c r="F68" s="10"/>
      <c r="G68" s="2" t="n">
        <f>2990722376788</f>
        <v>2.990722376788E12</v>
      </c>
      <c r="H68" s="10"/>
      <c r="I68" s="2" t="n">
        <f>26246</f>
        <v>26246.0</v>
      </c>
      <c r="J68" s="10"/>
      <c r="K68" s="2" t="n">
        <f>574559</f>
        <v>574559.0</v>
      </c>
    </row>
    <row r="69">
      <c r="A69" s="8" t="s">
        <v>21</v>
      </c>
      <c r="B69" s="9" t="s">
        <v>52</v>
      </c>
      <c r="C69" s="9" t="s">
        <v>53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22</v>
      </c>
      <c r="B70" s="9" t="s">
        <v>52</v>
      </c>
      <c r="C70" s="9" t="s">
        <v>53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23</v>
      </c>
      <c r="B71" s="9" t="s">
        <v>52</v>
      </c>
      <c r="C71" s="9" t="s">
        <v>53</v>
      </c>
      <c r="D71" s="10"/>
      <c r="E71" s="2" t="n">
        <f>600637</f>
        <v>600637.0</v>
      </c>
      <c r="F71" s="10"/>
      <c r="G71" s="2" t="n">
        <f>11598393061503</f>
        <v>1.1598393061503E13</v>
      </c>
      <c r="H71" s="10"/>
      <c r="I71" s="2" t="n">
        <f>169833</f>
        <v>169833.0</v>
      </c>
      <c r="J71" s="10"/>
      <c r="K71" s="2" t="n">
        <f>629364</f>
        <v>629364.0</v>
      </c>
    </row>
    <row r="72">
      <c r="A72" s="8" t="s">
        <v>24</v>
      </c>
      <c r="B72" s="9" t="s">
        <v>52</v>
      </c>
      <c r="C72" s="9" t="s">
        <v>53</v>
      </c>
      <c r="D72" s="10" t="s">
        <v>25</v>
      </c>
      <c r="E72" s="2" t="n">
        <f>1003575</f>
        <v>1003575.0</v>
      </c>
      <c r="F72" s="10" t="s">
        <v>25</v>
      </c>
      <c r="G72" s="2" t="n">
        <f>19529238665394</f>
        <v>1.9529238665394E13</v>
      </c>
      <c r="H72" s="10" t="s">
        <v>25</v>
      </c>
      <c r="I72" s="2" t="n">
        <f>279380</f>
        <v>279380.0</v>
      </c>
      <c r="J72" s="10" t="s">
        <v>25</v>
      </c>
      <c r="K72" s="2" t="n">
        <f>674462</f>
        <v>674462.0</v>
      </c>
    </row>
    <row r="73">
      <c r="A73" s="8" t="s">
        <v>26</v>
      </c>
      <c r="B73" s="9" t="s">
        <v>52</v>
      </c>
      <c r="C73" s="9" t="s">
        <v>53</v>
      </c>
      <c r="D73" s="10"/>
      <c r="E73" s="2" t="n">
        <f>418272</f>
        <v>418272.0</v>
      </c>
      <c r="F73" s="10"/>
      <c r="G73" s="2" t="n">
        <f>8189745868952</f>
        <v>8.189745868952E12</v>
      </c>
      <c r="H73" s="10"/>
      <c r="I73" s="2" t="n">
        <f>84824</f>
        <v>84824.0</v>
      </c>
      <c r="J73" s="10"/>
      <c r="K73" s="2" t="n">
        <f>657666</f>
        <v>657666.0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171782</f>
        <v>171782.0</v>
      </c>
      <c r="F74" s="10"/>
      <c r="G74" s="2" t="n">
        <f>3380702280815</f>
        <v>3.380702280815E12</v>
      </c>
      <c r="H74" s="10"/>
      <c r="I74" s="2" t="n">
        <f>18393</f>
        <v>18393.0</v>
      </c>
      <c r="J74" s="10"/>
      <c r="K74" s="2" t="n">
        <f>597175</f>
        <v>597175.0</v>
      </c>
    </row>
    <row r="75">
      <c r="A75" s="8" t="s">
        <v>28</v>
      </c>
      <c r="B75" s="9" t="s">
        <v>52</v>
      </c>
      <c r="C75" s="9" t="s">
        <v>53</v>
      </c>
      <c r="D75" s="10"/>
      <c r="E75" s="2" t="n">
        <f>69235</f>
        <v>69235.0</v>
      </c>
      <c r="F75" s="10"/>
      <c r="G75" s="2" t="n">
        <f>1349035080900</f>
        <v>1.3490350809E12</v>
      </c>
      <c r="H75" s="10"/>
      <c r="I75" s="2" t="n">
        <f>11463</f>
        <v>11463.0</v>
      </c>
      <c r="J75" s="10"/>
      <c r="K75" s="2" t="n">
        <f>597105</f>
        <v>597105.0</v>
      </c>
    </row>
    <row r="76">
      <c r="A76" s="8" t="s">
        <v>30</v>
      </c>
      <c r="B76" s="9" t="s">
        <v>52</v>
      </c>
      <c r="C76" s="9" t="s">
        <v>53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31</v>
      </c>
      <c r="B77" s="9" t="s">
        <v>52</v>
      </c>
      <c r="C77" s="9" t="s">
        <v>53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32</v>
      </c>
      <c r="B78" s="9" t="s">
        <v>52</v>
      </c>
      <c r="C78" s="9" t="s">
        <v>53</v>
      </c>
      <c r="D78" s="10"/>
      <c r="E78" s="2" t="n">
        <f>94381</f>
        <v>94381.0</v>
      </c>
      <c r="F78" s="10"/>
      <c r="G78" s="2" t="n">
        <f>1799427838104</f>
        <v>1.799427838104E12</v>
      </c>
      <c r="H78" s="10"/>
      <c r="I78" s="2" t="n">
        <f>20637</f>
        <v>20637.0</v>
      </c>
      <c r="J78" s="10"/>
      <c r="K78" s="2" t="n">
        <f>506291</f>
        <v>506291.0</v>
      </c>
    </row>
    <row r="79">
      <c r="A79" s="8" t="s">
        <v>33</v>
      </c>
      <c r="B79" s="9" t="s">
        <v>52</v>
      </c>
      <c r="C79" s="9" t="s">
        <v>53</v>
      </c>
      <c r="D79" s="10"/>
      <c r="E79" s="2" t="n">
        <f>125064</f>
        <v>125064.0</v>
      </c>
      <c r="F79" s="10"/>
      <c r="G79" s="2" t="n">
        <f>2340481855800</f>
        <v>2.3404818558E12</v>
      </c>
      <c r="H79" s="10"/>
      <c r="I79" s="2" t="n">
        <f>16460</f>
        <v>16460.0</v>
      </c>
      <c r="J79" s="10"/>
      <c r="K79" s="2" t="n">
        <f>507496</f>
        <v>507496.0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125601</f>
        <v>125601.0</v>
      </c>
      <c r="F80" s="10"/>
      <c r="G80" s="2" t="n">
        <f>2339986801250</f>
        <v>2.33998680125E12</v>
      </c>
      <c r="H80" s="10"/>
      <c r="I80" s="2" t="n">
        <f>16076</f>
        <v>16076.0</v>
      </c>
      <c r="J80" s="10"/>
      <c r="K80" s="2" t="n">
        <f>503900</f>
        <v>503900.0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77151</f>
        <v>77151.0</v>
      </c>
      <c r="F81" s="10"/>
      <c r="G81" s="2" t="n">
        <f>1440865927000</f>
        <v>1.440865927E12</v>
      </c>
      <c r="H81" s="10"/>
      <c r="I81" s="2" t="n">
        <f>14448</f>
        <v>14448.0</v>
      </c>
      <c r="J81" s="10"/>
      <c r="K81" s="2" t="n">
        <f>501741</f>
        <v>501741.0</v>
      </c>
    </row>
    <row r="82">
      <c r="A82" s="8" t="s">
        <v>36</v>
      </c>
      <c r="B82" s="9" t="s">
        <v>52</v>
      </c>
      <c r="C82" s="9" t="s">
        <v>53</v>
      </c>
      <c r="D82" s="10"/>
      <c r="E82" s="2" t="n">
        <f>118476</f>
        <v>118476.0</v>
      </c>
      <c r="F82" s="10"/>
      <c r="G82" s="2" t="n">
        <f>2163150571744</f>
        <v>2.163150571744E12</v>
      </c>
      <c r="H82" s="10"/>
      <c r="I82" s="2" t="n">
        <f>23403</f>
        <v>23403.0</v>
      </c>
      <c r="J82" s="10"/>
      <c r="K82" s="2" t="n">
        <f>500263</f>
        <v>500263.0</v>
      </c>
    </row>
    <row r="83">
      <c r="A83" s="8" t="s">
        <v>37</v>
      </c>
      <c r="B83" s="9" t="s">
        <v>52</v>
      </c>
      <c r="C83" s="9" t="s">
        <v>53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 t="n">
        <f>80769</f>
        <v>80769.0</v>
      </c>
      <c r="F85" s="10"/>
      <c r="G85" s="2" t="n">
        <f>1472718887223</f>
        <v>1.472718887223E12</v>
      </c>
      <c r="H85" s="10"/>
      <c r="I85" s="2" t="n">
        <f>16430</f>
        <v>16430.0</v>
      </c>
      <c r="J85" s="10"/>
      <c r="K85" s="2" t="n">
        <f>494579</f>
        <v>494579.0</v>
      </c>
    </row>
    <row r="86">
      <c r="A86" s="8" t="s">
        <v>40</v>
      </c>
      <c r="B86" s="9" t="s">
        <v>52</v>
      </c>
      <c r="C86" s="9" t="s">
        <v>53</v>
      </c>
      <c r="D86" s="10"/>
      <c r="E86" s="2" t="n">
        <f>61986</f>
        <v>61986.0</v>
      </c>
      <c r="F86" s="10"/>
      <c r="G86" s="2" t="n">
        <f>1143693591404</f>
        <v>1.143693591404E12</v>
      </c>
      <c r="H86" s="10"/>
      <c r="I86" s="2" t="n">
        <f>10428</f>
        <v>10428.0</v>
      </c>
      <c r="J86" s="10"/>
      <c r="K86" s="2" t="n">
        <f>495539</f>
        <v>495539.0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60374</f>
        <v>60374.0</v>
      </c>
      <c r="F87" s="10"/>
      <c r="G87" s="2" t="n">
        <f>1121122827100</f>
        <v>1.1211228271E12</v>
      </c>
      <c r="H87" s="10"/>
      <c r="I87" s="2" t="n">
        <f>11659</f>
        <v>11659.0</v>
      </c>
      <c r="J87" s="10"/>
      <c r="K87" s="2" t="n">
        <f>496373</f>
        <v>496373.0</v>
      </c>
    </row>
    <row r="88">
      <c r="A88" s="8" t="s">
        <v>42</v>
      </c>
      <c r="B88" s="9" t="s">
        <v>52</v>
      </c>
      <c r="C88" s="9" t="s">
        <v>53</v>
      </c>
      <c r="D88" s="10" t="s">
        <v>29</v>
      </c>
      <c r="E88" s="2" t="n">
        <f>58406</f>
        <v>58406.0</v>
      </c>
      <c r="F88" s="10" t="s">
        <v>29</v>
      </c>
      <c r="G88" s="2" t="n">
        <f>1081607012000</f>
        <v>1.081607012E12</v>
      </c>
      <c r="H88" s="10" t="s">
        <v>29</v>
      </c>
      <c r="I88" s="2" t="n">
        <f>9237</f>
        <v>9237.0</v>
      </c>
      <c r="J88" s="10"/>
      <c r="K88" s="2" t="n">
        <f>495485</f>
        <v>495485.0</v>
      </c>
    </row>
    <row r="89">
      <c r="A89" s="8" t="s">
        <v>43</v>
      </c>
      <c r="B89" s="9" t="s">
        <v>52</v>
      </c>
      <c r="C89" s="9" t="s">
        <v>53</v>
      </c>
      <c r="D89" s="10"/>
      <c r="E89" s="2" t="n">
        <f>62713</f>
        <v>62713.0</v>
      </c>
      <c r="F89" s="10"/>
      <c r="G89" s="2" t="n">
        <f>1162557361590</f>
        <v>1.16255736159E12</v>
      </c>
      <c r="H89" s="10"/>
      <c r="I89" s="2" t="n">
        <f>11563</f>
        <v>11563.0</v>
      </c>
      <c r="J89" s="10"/>
      <c r="K89" s="2" t="n">
        <f>496709</f>
        <v>496709.0</v>
      </c>
    </row>
    <row r="90">
      <c r="A90" s="8" t="s">
        <v>44</v>
      </c>
      <c r="B90" s="9" t="s">
        <v>52</v>
      </c>
      <c r="C90" s="9" t="s">
        <v>53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45</v>
      </c>
      <c r="B91" s="9" t="s">
        <v>52</v>
      </c>
      <c r="C91" s="9" t="s">
        <v>53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46</v>
      </c>
      <c r="B92" s="9" t="s">
        <v>52</v>
      </c>
      <c r="C92" s="9" t="s">
        <v>53</v>
      </c>
      <c r="D92" s="10"/>
      <c r="E92" s="2" t="n">
        <f>71058</f>
        <v>71058.0</v>
      </c>
      <c r="F92" s="10"/>
      <c r="G92" s="2" t="n">
        <f>1335131016250</f>
        <v>1.33513101625E12</v>
      </c>
      <c r="H92" s="10"/>
      <c r="I92" s="2" t="n">
        <f>16001</f>
        <v>16001.0</v>
      </c>
      <c r="J92" s="10" t="s">
        <v>29</v>
      </c>
      <c r="K92" s="2" t="n">
        <f>490835</f>
        <v>490835.0</v>
      </c>
    </row>
    <row r="93">
      <c r="A93" s="8" t="s">
        <v>47</v>
      </c>
      <c r="B93" s="9" t="s">
        <v>52</v>
      </c>
      <c r="C93" s="9" t="s">
        <v>53</v>
      </c>
      <c r="D93" s="10"/>
      <c r="E93" s="2" t="n">
        <f>71282</f>
        <v>71282.0</v>
      </c>
      <c r="F93" s="10"/>
      <c r="G93" s="2" t="n">
        <f>1348300656200</f>
        <v>1.3483006562E12</v>
      </c>
      <c r="H93" s="10"/>
      <c r="I93" s="2" t="n">
        <f>15030</f>
        <v>15030.0</v>
      </c>
      <c r="J93" s="10"/>
      <c r="K93" s="2" t="n">
        <f>492932</f>
        <v>492932.0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76625</f>
        <v>76625.0</v>
      </c>
      <c r="F94" s="10"/>
      <c r="G94" s="2" t="n">
        <f>1451713927760</f>
        <v>1.45171392776E12</v>
      </c>
      <c r="H94" s="10"/>
      <c r="I94" s="2" t="n">
        <f>15264</f>
        <v>15264.0</v>
      </c>
      <c r="J94" s="10"/>
      <c r="K94" s="2" t="n">
        <f>499335</f>
        <v>499335.0</v>
      </c>
    </row>
    <row r="95">
      <c r="A95" s="8" t="s">
        <v>49</v>
      </c>
      <c r="B95" s="9" t="s">
        <v>52</v>
      </c>
      <c r="C95" s="9" t="s">
        <v>53</v>
      </c>
      <c r="D95" s="10"/>
      <c r="E95" s="2" t="n">
        <f>95471</f>
        <v>95471.0</v>
      </c>
      <c r="F95" s="10"/>
      <c r="G95" s="2" t="n">
        <f>1790900628700</f>
        <v>1.7909006287E12</v>
      </c>
      <c r="H95" s="10"/>
      <c r="I95" s="2" t="n">
        <f>23074</f>
        <v>23074.0</v>
      </c>
      <c r="J95" s="10"/>
      <c r="K95" s="2" t="n">
        <f>506041</f>
        <v>506041.0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28221</f>
        <v>28221.0</v>
      </c>
      <c r="F96" s="10"/>
      <c r="G96" s="2" t="n">
        <f>54371470260</f>
        <v>5.437147026E10</v>
      </c>
      <c r="H96" s="10"/>
      <c r="I96" s="2" t="n">
        <f>2323</f>
        <v>2323.0</v>
      </c>
      <c r="J96" s="10"/>
      <c r="K96" s="2" t="n">
        <f>63525</f>
        <v>63525.0</v>
      </c>
    </row>
    <row r="97">
      <c r="A97" s="8" t="s">
        <v>19</v>
      </c>
      <c r="B97" s="9" t="s">
        <v>54</v>
      </c>
      <c r="C97" s="9" t="s">
        <v>55</v>
      </c>
      <c r="D97" s="10"/>
      <c r="E97" s="2" t="n">
        <f>24325</f>
        <v>24325.0</v>
      </c>
      <c r="F97" s="10"/>
      <c r="G97" s="2" t="n">
        <f>46963406650</f>
        <v>4.696340665E10</v>
      </c>
      <c r="H97" s="10"/>
      <c r="I97" s="2" t="n">
        <f>1343</f>
        <v>1343.0</v>
      </c>
      <c r="J97" s="10"/>
      <c r="K97" s="2" t="n">
        <f>62493</f>
        <v>62493.0</v>
      </c>
    </row>
    <row r="98">
      <c r="A98" s="8" t="s">
        <v>20</v>
      </c>
      <c r="B98" s="9" t="s">
        <v>54</v>
      </c>
      <c r="C98" s="9" t="s">
        <v>55</v>
      </c>
      <c r="D98" s="10" t="s">
        <v>29</v>
      </c>
      <c r="E98" s="2" t="n">
        <f>20090</f>
        <v>20090.0</v>
      </c>
      <c r="F98" s="10" t="s">
        <v>29</v>
      </c>
      <c r="G98" s="2" t="n">
        <f>38860147710</f>
        <v>3.886014771E10</v>
      </c>
      <c r="H98" s="10"/>
      <c r="I98" s="2" t="n">
        <f>796</f>
        <v>796.0</v>
      </c>
      <c r="J98" s="10"/>
      <c r="K98" s="2" t="n">
        <f>62767</f>
        <v>62767.0</v>
      </c>
    </row>
    <row r="99">
      <c r="A99" s="8" t="s">
        <v>21</v>
      </c>
      <c r="B99" s="9" t="s">
        <v>54</v>
      </c>
      <c r="C99" s="9" t="s">
        <v>55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22</v>
      </c>
      <c r="B100" s="9" t="s">
        <v>54</v>
      </c>
      <c r="C100" s="9" t="s">
        <v>55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23</v>
      </c>
      <c r="B101" s="9" t="s">
        <v>54</v>
      </c>
      <c r="C101" s="9" t="s">
        <v>55</v>
      </c>
      <c r="D101" s="10"/>
      <c r="E101" s="2" t="n">
        <f>24714</f>
        <v>24714.0</v>
      </c>
      <c r="F101" s="10"/>
      <c r="G101" s="2" t="n">
        <f>47688834440</f>
        <v>4.768883444E10</v>
      </c>
      <c r="H101" s="10"/>
      <c r="I101" s="2" t="n">
        <f>2439</f>
        <v>2439.0</v>
      </c>
      <c r="J101" s="10"/>
      <c r="K101" s="2" t="n">
        <f>64697</f>
        <v>64697.0</v>
      </c>
    </row>
    <row r="102">
      <c r="A102" s="8" t="s">
        <v>24</v>
      </c>
      <c r="B102" s="9" t="s">
        <v>54</v>
      </c>
      <c r="C102" s="9" t="s">
        <v>55</v>
      </c>
      <c r="D102" s="10" t="s">
        <v>25</v>
      </c>
      <c r="E102" s="2" t="n">
        <f>81133</f>
        <v>81133.0</v>
      </c>
      <c r="F102" s="10" t="s">
        <v>25</v>
      </c>
      <c r="G102" s="2" t="n">
        <f>158025263987</f>
        <v>1.58025263987E11</v>
      </c>
      <c r="H102" s="10" t="s">
        <v>25</v>
      </c>
      <c r="I102" s="2" t="n">
        <f>14119</f>
        <v>14119.0</v>
      </c>
      <c r="J102" s="10"/>
      <c r="K102" s="2" t="n">
        <f>79753</f>
        <v>79753.0</v>
      </c>
    </row>
    <row r="103">
      <c r="A103" s="8" t="s">
        <v>26</v>
      </c>
      <c r="B103" s="9" t="s">
        <v>54</v>
      </c>
      <c r="C103" s="9" t="s">
        <v>55</v>
      </c>
      <c r="D103" s="10"/>
      <c r="E103" s="2" t="n">
        <f>35534</f>
        <v>35534.0</v>
      </c>
      <c r="F103" s="10"/>
      <c r="G103" s="2" t="n">
        <f>69622761800</f>
        <v>6.96227618E10</v>
      </c>
      <c r="H103" s="10"/>
      <c r="I103" s="2" t="n">
        <f>2380</f>
        <v>2380.0</v>
      </c>
      <c r="J103" s="10"/>
      <c r="K103" s="2" t="n">
        <f>84430</f>
        <v>84430.0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23796</f>
        <v>23796.0</v>
      </c>
      <c r="F104" s="10"/>
      <c r="G104" s="2" t="n">
        <f>46817128550</f>
        <v>4.681712855E10</v>
      </c>
      <c r="H104" s="10"/>
      <c r="I104" s="2" t="n">
        <f>588</f>
        <v>588.0</v>
      </c>
      <c r="J104" s="10"/>
      <c r="K104" s="2" t="n">
        <f>82282</f>
        <v>82282.0</v>
      </c>
    </row>
    <row r="105">
      <c r="A105" s="8" t="s">
        <v>28</v>
      </c>
      <c r="B105" s="9" t="s">
        <v>54</v>
      </c>
      <c r="C105" s="9" t="s">
        <v>55</v>
      </c>
      <c r="D105" s="10"/>
      <c r="E105" s="2" t="n">
        <f>27662</f>
        <v>27662.0</v>
      </c>
      <c r="F105" s="10"/>
      <c r="G105" s="2" t="n">
        <f>53951519100</f>
        <v>5.39515191E10</v>
      </c>
      <c r="H105" s="10"/>
      <c r="I105" s="2" t="n">
        <f>1377</f>
        <v>1377.0</v>
      </c>
      <c r="J105" s="10" t="s">
        <v>25</v>
      </c>
      <c r="K105" s="2" t="n">
        <f>85497</f>
        <v>85497.0</v>
      </c>
    </row>
    <row r="106">
      <c r="A106" s="8" t="s">
        <v>30</v>
      </c>
      <c r="B106" s="9" t="s">
        <v>54</v>
      </c>
      <c r="C106" s="9" t="s">
        <v>55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31</v>
      </c>
      <c r="B107" s="9" t="s">
        <v>54</v>
      </c>
      <c r="C107" s="9" t="s">
        <v>55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32</v>
      </c>
      <c r="B108" s="9" t="s">
        <v>54</v>
      </c>
      <c r="C108" s="9" t="s">
        <v>55</v>
      </c>
      <c r="D108" s="10"/>
      <c r="E108" s="2" t="n">
        <f>33116</f>
        <v>33116.0</v>
      </c>
      <c r="F108" s="10"/>
      <c r="G108" s="2" t="n">
        <f>63139515050</f>
        <v>6.313951505E10</v>
      </c>
      <c r="H108" s="10"/>
      <c r="I108" s="2" t="n">
        <f>1471</f>
        <v>1471.0</v>
      </c>
      <c r="J108" s="10" t="s">
        <v>29</v>
      </c>
      <c r="K108" s="2" t="n">
        <f>39221</f>
        <v>39221.0</v>
      </c>
    </row>
    <row r="109">
      <c r="A109" s="8" t="s">
        <v>33</v>
      </c>
      <c r="B109" s="9" t="s">
        <v>54</v>
      </c>
      <c r="C109" s="9" t="s">
        <v>55</v>
      </c>
      <c r="D109" s="10"/>
      <c r="E109" s="2" t="n">
        <f>35200</f>
        <v>35200.0</v>
      </c>
      <c r="F109" s="10"/>
      <c r="G109" s="2" t="n">
        <f>65823463090</f>
        <v>6.582346309E10</v>
      </c>
      <c r="H109" s="10"/>
      <c r="I109" s="2" t="n">
        <f>1272</f>
        <v>1272.0</v>
      </c>
      <c r="J109" s="10"/>
      <c r="K109" s="2" t="n">
        <f>42465</f>
        <v>42465.0</v>
      </c>
    </row>
    <row r="110">
      <c r="A110" s="8" t="s">
        <v>34</v>
      </c>
      <c r="B110" s="9" t="s">
        <v>54</v>
      </c>
      <c r="C110" s="9" t="s">
        <v>55</v>
      </c>
      <c r="D110" s="10"/>
      <c r="E110" s="2" t="n">
        <f>31307</f>
        <v>31307.0</v>
      </c>
      <c r="F110" s="10"/>
      <c r="G110" s="2" t="n">
        <f>58266706350</f>
        <v>5.826670635E10</v>
      </c>
      <c r="H110" s="10"/>
      <c r="I110" s="2" t="n">
        <f>859</f>
        <v>859.0</v>
      </c>
      <c r="J110" s="10"/>
      <c r="K110" s="2" t="n">
        <f>45515</f>
        <v>45515.0</v>
      </c>
    </row>
    <row r="111">
      <c r="A111" s="8" t="s">
        <v>35</v>
      </c>
      <c r="B111" s="9" t="s">
        <v>54</v>
      </c>
      <c r="C111" s="9" t="s">
        <v>55</v>
      </c>
      <c r="D111" s="10"/>
      <c r="E111" s="2" t="n">
        <f>33318</f>
        <v>33318.0</v>
      </c>
      <c r="F111" s="10"/>
      <c r="G111" s="2" t="n">
        <f>62232364630</f>
        <v>6.223236463E10</v>
      </c>
      <c r="H111" s="10"/>
      <c r="I111" s="2" t="n">
        <f>1088</f>
        <v>1088.0</v>
      </c>
      <c r="J111" s="10"/>
      <c r="K111" s="2" t="n">
        <f>45494</f>
        <v>45494.0</v>
      </c>
    </row>
    <row r="112">
      <c r="A112" s="8" t="s">
        <v>36</v>
      </c>
      <c r="B112" s="9" t="s">
        <v>54</v>
      </c>
      <c r="C112" s="9" t="s">
        <v>55</v>
      </c>
      <c r="D112" s="10"/>
      <c r="E112" s="2" t="n">
        <f>51668</f>
        <v>51668.0</v>
      </c>
      <c r="F112" s="10"/>
      <c r="G112" s="2" t="n">
        <f>94330545400</f>
        <v>9.43305454E10</v>
      </c>
      <c r="H112" s="10"/>
      <c r="I112" s="2" t="n">
        <f>1596</f>
        <v>1596.0</v>
      </c>
      <c r="J112" s="10"/>
      <c r="K112" s="2" t="n">
        <f>47002</f>
        <v>47002.0</v>
      </c>
    </row>
    <row r="113">
      <c r="A113" s="8" t="s">
        <v>37</v>
      </c>
      <c r="B113" s="9" t="s">
        <v>54</v>
      </c>
      <c r="C113" s="9" t="s">
        <v>55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38</v>
      </c>
      <c r="B114" s="9" t="s">
        <v>54</v>
      </c>
      <c r="C114" s="9" t="s">
        <v>55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54</v>
      </c>
      <c r="C115" s="9" t="s">
        <v>55</v>
      </c>
      <c r="D115" s="10"/>
      <c r="E115" s="2" t="n">
        <f>38841</f>
        <v>38841.0</v>
      </c>
      <c r="F115" s="10"/>
      <c r="G115" s="2" t="n">
        <f>70923342250</f>
        <v>7.092334225E10</v>
      </c>
      <c r="H115" s="10"/>
      <c r="I115" s="2" t="n">
        <f>964</f>
        <v>964.0</v>
      </c>
      <c r="J115" s="10"/>
      <c r="K115" s="2" t="n">
        <f>47567</f>
        <v>47567.0</v>
      </c>
    </row>
    <row r="116">
      <c r="A116" s="8" t="s">
        <v>40</v>
      </c>
      <c r="B116" s="9" t="s">
        <v>54</v>
      </c>
      <c r="C116" s="9" t="s">
        <v>55</v>
      </c>
      <c r="D116" s="10"/>
      <c r="E116" s="2" t="n">
        <f>28249</f>
        <v>28249.0</v>
      </c>
      <c r="F116" s="10"/>
      <c r="G116" s="2" t="n">
        <f>52076353020</f>
        <v>5.207635302E10</v>
      </c>
      <c r="H116" s="10" t="s">
        <v>29</v>
      </c>
      <c r="I116" s="2" t="n">
        <f>515</f>
        <v>515.0</v>
      </c>
      <c r="J116" s="10"/>
      <c r="K116" s="2" t="n">
        <f>46918</f>
        <v>46918.0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23825</f>
        <v>23825.0</v>
      </c>
      <c r="F117" s="10"/>
      <c r="G117" s="2" t="n">
        <f>44273340530</f>
        <v>4.427334053E10</v>
      </c>
      <c r="H117" s="10"/>
      <c r="I117" s="2" t="n">
        <f>810</f>
        <v>810.0</v>
      </c>
      <c r="J117" s="10"/>
      <c r="K117" s="2" t="n">
        <f>48000</f>
        <v>48000.0</v>
      </c>
    </row>
    <row r="118">
      <c r="A118" s="8" t="s">
        <v>42</v>
      </c>
      <c r="B118" s="9" t="s">
        <v>54</v>
      </c>
      <c r="C118" s="9" t="s">
        <v>55</v>
      </c>
      <c r="D118" s="10"/>
      <c r="E118" s="2" t="n">
        <f>29549</f>
        <v>29549.0</v>
      </c>
      <c r="F118" s="10"/>
      <c r="G118" s="2" t="n">
        <f>54727991600</f>
        <v>5.47279916E10</v>
      </c>
      <c r="H118" s="10"/>
      <c r="I118" s="2" t="n">
        <f>1100</f>
        <v>1100.0</v>
      </c>
      <c r="J118" s="10"/>
      <c r="K118" s="2" t="n">
        <f>47899</f>
        <v>47899.0</v>
      </c>
    </row>
    <row r="119">
      <c r="A119" s="8" t="s">
        <v>43</v>
      </c>
      <c r="B119" s="9" t="s">
        <v>54</v>
      </c>
      <c r="C119" s="9" t="s">
        <v>55</v>
      </c>
      <c r="D119" s="10"/>
      <c r="E119" s="2" t="n">
        <f>25532</f>
        <v>25532.0</v>
      </c>
      <c r="F119" s="10"/>
      <c r="G119" s="2" t="n">
        <f>47279108050</f>
        <v>4.727910805E10</v>
      </c>
      <c r="H119" s="10"/>
      <c r="I119" s="2" t="n">
        <f>660</f>
        <v>660.0</v>
      </c>
      <c r="J119" s="10"/>
      <c r="K119" s="2" t="n">
        <f>47738</f>
        <v>47738.0</v>
      </c>
    </row>
    <row r="120">
      <c r="A120" s="8" t="s">
        <v>44</v>
      </c>
      <c r="B120" s="9" t="s">
        <v>54</v>
      </c>
      <c r="C120" s="9" t="s">
        <v>55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45</v>
      </c>
      <c r="B121" s="9" t="s">
        <v>54</v>
      </c>
      <c r="C121" s="9" t="s">
        <v>55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46</v>
      </c>
      <c r="B122" s="9" t="s">
        <v>54</v>
      </c>
      <c r="C122" s="9" t="s">
        <v>55</v>
      </c>
      <c r="D122" s="10"/>
      <c r="E122" s="2" t="n">
        <f>22612</f>
        <v>22612.0</v>
      </c>
      <c r="F122" s="10"/>
      <c r="G122" s="2" t="n">
        <f>42478840550</f>
        <v>4.247884055E10</v>
      </c>
      <c r="H122" s="10"/>
      <c r="I122" s="2" t="n">
        <f>1437</f>
        <v>1437.0</v>
      </c>
      <c r="J122" s="10"/>
      <c r="K122" s="2" t="n">
        <f>47452</f>
        <v>47452.0</v>
      </c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22981</f>
        <v>22981.0</v>
      </c>
      <c r="F123" s="10"/>
      <c r="G123" s="2" t="n">
        <f>43428041590</f>
        <v>4.342804159E10</v>
      </c>
      <c r="H123" s="10"/>
      <c r="I123" s="2" t="n">
        <f>756</f>
        <v>756.0</v>
      </c>
      <c r="J123" s="10"/>
      <c r="K123" s="2" t="n">
        <f>46558</f>
        <v>46558.0</v>
      </c>
    </row>
    <row r="124">
      <c r="A124" s="8" t="s">
        <v>48</v>
      </c>
      <c r="B124" s="9" t="s">
        <v>54</v>
      </c>
      <c r="C124" s="9" t="s">
        <v>55</v>
      </c>
      <c r="D124" s="10"/>
      <c r="E124" s="2" t="n">
        <f>25415</f>
        <v>25415.0</v>
      </c>
      <c r="F124" s="10"/>
      <c r="G124" s="2" t="n">
        <f>48177275240</f>
        <v>4.817727524E10</v>
      </c>
      <c r="H124" s="10"/>
      <c r="I124" s="2" t="n">
        <f>785</f>
        <v>785.0</v>
      </c>
      <c r="J124" s="10"/>
      <c r="K124" s="2" t="n">
        <f>48118</f>
        <v>48118.0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25740</f>
        <v>25740.0</v>
      </c>
      <c r="F125" s="10"/>
      <c r="G125" s="2" t="n">
        <f>48372444320</f>
        <v>4.837244432E10</v>
      </c>
      <c r="H125" s="10"/>
      <c r="I125" s="2" t="n">
        <f>904</f>
        <v>904.0</v>
      </c>
      <c r="J125" s="10"/>
      <c r="K125" s="2" t="n">
        <f>47963</f>
        <v>47963.0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9828</f>
        <v>9828.0</v>
      </c>
      <c r="F126" s="10"/>
      <c r="G126" s="2" t="n">
        <f>17041870500</f>
        <v>1.70418705E10</v>
      </c>
      <c r="H126" s="10"/>
      <c r="I126" s="2" t="n">
        <f>954</f>
        <v>954.0</v>
      </c>
      <c r="J126" s="10"/>
      <c r="K126" s="2" t="n">
        <f>65645</f>
        <v>65645.0</v>
      </c>
    </row>
    <row r="127">
      <c r="A127" s="8" t="s">
        <v>19</v>
      </c>
      <c r="B127" s="9" t="s">
        <v>56</v>
      </c>
      <c r="C127" s="9" t="s">
        <v>57</v>
      </c>
      <c r="D127" s="10" t="s">
        <v>29</v>
      </c>
      <c r="E127" s="2" t="n">
        <f>5900</f>
        <v>5900.0</v>
      </c>
      <c r="F127" s="10" t="s">
        <v>29</v>
      </c>
      <c r="G127" s="2" t="n">
        <f>10257372000</f>
        <v>1.0257372E10</v>
      </c>
      <c r="H127" s="10"/>
      <c r="I127" s="2" t="n">
        <f>291</f>
        <v>291.0</v>
      </c>
      <c r="J127" s="10"/>
      <c r="K127" s="2" t="n">
        <f>65820</f>
        <v>65820.0</v>
      </c>
    </row>
    <row r="128">
      <c r="A128" s="8" t="s">
        <v>20</v>
      </c>
      <c r="B128" s="9" t="s">
        <v>56</v>
      </c>
      <c r="C128" s="9" t="s">
        <v>57</v>
      </c>
      <c r="D128" s="10"/>
      <c r="E128" s="2" t="n">
        <f>9819</f>
        <v>9819.0</v>
      </c>
      <c r="F128" s="10"/>
      <c r="G128" s="2" t="n">
        <f>17094371960</f>
        <v>1.709437196E10</v>
      </c>
      <c r="H128" s="10"/>
      <c r="I128" s="2" t="n">
        <f>1418</f>
        <v>1418.0</v>
      </c>
      <c r="J128" s="10"/>
      <c r="K128" s="2" t="n">
        <f>65104</f>
        <v>65104.0</v>
      </c>
    </row>
    <row r="129">
      <c r="A129" s="8" t="s">
        <v>21</v>
      </c>
      <c r="B129" s="9" t="s">
        <v>56</v>
      </c>
      <c r="C129" s="9" t="s">
        <v>57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22</v>
      </c>
      <c r="B130" s="9" t="s">
        <v>56</v>
      </c>
      <c r="C130" s="9" t="s">
        <v>57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23</v>
      </c>
      <c r="B131" s="9" t="s">
        <v>56</v>
      </c>
      <c r="C131" s="9" t="s">
        <v>57</v>
      </c>
      <c r="D131" s="10"/>
      <c r="E131" s="2" t="n">
        <f>15261</f>
        <v>15261.0</v>
      </c>
      <c r="F131" s="10"/>
      <c r="G131" s="2" t="n">
        <f>26604042900</f>
        <v>2.66040429E10</v>
      </c>
      <c r="H131" s="10"/>
      <c r="I131" s="2" t="n">
        <f>110</f>
        <v>110.0</v>
      </c>
      <c r="J131" s="10"/>
      <c r="K131" s="2" t="n">
        <f>67334</f>
        <v>67334.0</v>
      </c>
    </row>
    <row r="132">
      <c r="A132" s="8" t="s">
        <v>24</v>
      </c>
      <c r="B132" s="9" t="s">
        <v>56</v>
      </c>
      <c r="C132" s="9" t="s">
        <v>57</v>
      </c>
      <c r="D132" s="10" t="s">
        <v>25</v>
      </c>
      <c r="E132" s="2" t="n">
        <f>75349</f>
        <v>75349.0</v>
      </c>
      <c r="F132" s="10" t="s">
        <v>25</v>
      </c>
      <c r="G132" s="2" t="n">
        <f>132332859150</f>
        <v>1.3233285915E11</v>
      </c>
      <c r="H132" s="10"/>
      <c r="I132" s="2" t="n">
        <f>881</f>
        <v>881.0</v>
      </c>
      <c r="J132" s="10"/>
      <c r="K132" s="2" t="n">
        <f>77543</f>
        <v>77543.0</v>
      </c>
    </row>
    <row r="133">
      <c r="A133" s="8" t="s">
        <v>26</v>
      </c>
      <c r="B133" s="9" t="s">
        <v>56</v>
      </c>
      <c r="C133" s="9" t="s">
        <v>57</v>
      </c>
      <c r="D133" s="10"/>
      <c r="E133" s="2" t="n">
        <f>64430</f>
        <v>64430.0</v>
      </c>
      <c r="F133" s="10"/>
      <c r="G133" s="2" t="n">
        <f>113902208800</f>
        <v>1.139022088E11</v>
      </c>
      <c r="H133" s="10" t="s">
        <v>25</v>
      </c>
      <c r="I133" s="2" t="n">
        <f>2130</f>
        <v>2130.0</v>
      </c>
      <c r="J133" s="10" t="s">
        <v>25</v>
      </c>
      <c r="K133" s="2" t="n">
        <f>80027</f>
        <v>80027.0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18142</f>
        <v>18142.0</v>
      </c>
      <c r="F134" s="10"/>
      <c r="G134" s="2" t="n">
        <f>32187988050</f>
        <v>3.218798805E10</v>
      </c>
      <c r="H134" s="10"/>
      <c r="I134" s="2" t="n">
        <f>193</f>
        <v>193.0</v>
      </c>
      <c r="J134" s="10"/>
      <c r="K134" s="2" t="n">
        <f>74075</f>
        <v>74075.0</v>
      </c>
    </row>
    <row r="135">
      <c r="A135" s="8" t="s">
        <v>28</v>
      </c>
      <c r="B135" s="9" t="s">
        <v>56</v>
      </c>
      <c r="C135" s="9" t="s">
        <v>57</v>
      </c>
      <c r="D135" s="10"/>
      <c r="E135" s="2" t="n">
        <f>7321</f>
        <v>7321.0</v>
      </c>
      <c r="F135" s="10"/>
      <c r="G135" s="2" t="n">
        <f>12853706300</f>
        <v>1.28537063E10</v>
      </c>
      <c r="H135" s="10"/>
      <c r="I135" s="2" t="n">
        <f>477</f>
        <v>477.0</v>
      </c>
      <c r="J135" s="10"/>
      <c r="K135" s="2" t="n">
        <f>73869</f>
        <v>73869.0</v>
      </c>
    </row>
    <row r="136">
      <c r="A136" s="8" t="s">
        <v>30</v>
      </c>
      <c r="B136" s="9" t="s">
        <v>56</v>
      </c>
      <c r="C136" s="9" t="s">
        <v>57</v>
      </c>
      <c r="D136" s="10"/>
      <c r="E136" s="2"/>
      <c r="F136" s="10"/>
      <c r="G136" s="2"/>
      <c r="H136" s="10"/>
      <c r="I136" s="2"/>
      <c r="J136" s="10"/>
      <c r="K136" s="2"/>
    </row>
    <row r="137">
      <c r="A137" s="8" t="s">
        <v>31</v>
      </c>
      <c r="B137" s="9" t="s">
        <v>56</v>
      </c>
      <c r="C137" s="9" t="s">
        <v>57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32</v>
      </c>
      <c r="B138" s="9" t="s">
        <v>56</v>
      </c>
      <c r="C138" s="9" t="s">
        <v>57</v>
      </c>
      <c r="D138" s="10"/>
      <c r="E138" s="2" t="n">
        <f>9952</f>
        <v>9952.0</v>
      </c>
      <c r="F138" s="10"/>
      <c r="G138" s="2" t="n">
        <f>17082306500</f>
        <v>1.70823065E10</v>
      </c>
      <c r="H138" s="10"/>
      <c r="I138" s="2" t="n">
        <f>129</f>
        <v>129.0</v>
      </c>
      <c r="J138" s="10"/>
      <c r="K138" s="2" t="n">
        <f>53433</f>
        <v>53433.0</v>
      </c>
    </row>
    <row r="139">
      <c r="A139" s="8" t="s">
        <v>33</v>
      </c>
      <c r="B139" s="9" t="s">
        <v>56</v>
      </c>
      <c r="C139" s="9" t="s">
        <v>57</v>
      </c>
      <c r="D139" s="10"/>
      <c r="E139" s="2" t="n">
        <f>9673</f>
        <v>9673.0</v>
      </c>
      <c r="F139" s="10"/>
      <c r="G139" s="2" t="n">
        <f>16297717000</f>
        <v>1.6297717E10</v>
      </c>
      <c r="H139" s="10"/>
      <c r="I139" s="2" t="n">
        <f>469</f>
        <v>469.0</v>
      </c>
      <c r="J139" s="10"/>
      <c r="K139" s="2" t="n">
        <f>53433</f>
        <v>53433.0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7995</f>
        <v>7995.0</v>
      </c>
      <c r="F140" s="10"/>
      <c r="G140" s="2" t="n">
        <f>13395333000</f>
        <v>1.3395333E10</v>
      </c>
      <c r="H140" s="10"/>
      <c r="I140" s="2" t="n">
        <f>55</f>
        <v>55.0</v>
      </c>
      <c r="J140" s="10"/>
      <c r="K140" s="2" t="n">
        <f>53054</f>
        <v>53054.0</v>
      </c>
    </row>
    <row r="141">
      <c r="A141" s="8" t="s">
        <v>35</v>
      </c>
      <c r="B141" s="9" t="s">
        <v>56</v>
      </c>
      <c r="C141" s="9" t="s">
        <v>57</v>
      </c>
      <c r="D141" s="10"/>
      <c r="E141" s="2" t="n">
        <f>7622</f>
        <v>7622.0</v>
      </c>
      <c r="F141" s="10"/>
      <c r="G141" s="2" t="n">
        <f>12822583000</f>
        <v>1.2822583E10</v>
      </c>
      <c r="H141" s="10" t="s">
        <v>29</v>
      </c>
      <c r="I141" s="2" t="n">
        <f>30</f>
        <v>30.0</v>
      </c>
      <c r="J141" s="10" t="s">
        <v>29</v>
      </c>
      <c r="K141" s="2" t="n">
        <f>52962</f>
        <v>52962.0</v>
      </c>
    </row>
    <row r="142">
      <c r="A142" s="8" t="s">
        <v>36</v>
      </c>
      <c r="B142" s="9" t="s">
        <v>56</v>
      </c>
      <c r="C142" s="9" t="s">
        <v>57</v>
      </c>
      <c r="D142" s="10"/>
      <c r="E142" s="2" t="n">
        <f>15128</f>
        <v>15128.0</v>
      </c>
      <c r="F142" s="10"/>
      <c r="G142" s="2" t="n">
        <f>24833195900</f>
        <v>2.48331959E10</v>
      </c>
      <c r="H142" s="10"/>
      <c r="I142" s="2" t="n">
        <f>189</f>
        <v>189.0</v>
      </c>
      <c r="J142" s="10"/>
      <c r="K142" s="2" t="n">
        <f>53393</f>
        <v>53393.0</v>
      </c>
    </row>
    <row r="143">
      <c r="A143" s="8" t="s">
        <v>37</v>
      </c>
      <c r="B143" s="9" t="s">
        <v>56</v>
      </c>
      <c r="C143" s="9" t="s">
        <v>57</v>
      </c>
      <c r="D143" s="10"/>
      <c r="E143" s="2"/>
      <c r="F143" s="10"/>
      <c r="G143" s="2"/>
      <c r="H143" s="10"/>
      <c r="I143" s="2"/>
      <c r="J143" s="10"/>
      <c r="K143" s="2"/>
    </row>
    <row r="144">
      <c r="A144" s="8" t="s">
        <v>38</v>
      </c>
      <c r="B144" s="9" t="s">
        <v>56</v>
      </c>
      <c r="C144" s="9" t="s">
        <v>57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56</v>
      </c>
      <c r="C145" s="9" t="s">
        <v>57</v>
      </c>
      <c r="D145" s="10"/>
      <c r="E145" s="2" t="n">
        <f>11467</f>
        <v>11467.0</v>
      </c>
      <c r="F145" s="10"/>
      <c r="G145" s="2" t="n">
        <f>18811366500</f>
        <v>1.88113665E10</v>
      </c>
      <c r="H145" s="10"/>
      <c r="I145" s="2" t="n">
        <f>427</f>
        <v>427.0</v>
      </c>
      <c r="J145" s="10"/>
      <c r="K145" s="2" t="n">
        <f>54209</f>
        <v>54209.0</v>
      </c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11592</f>
        <v>11592.0</v>
      </c>
      <c r="F146" s="10"/>
      <c r="G146" s="2" t="n">
        <f>19199465500</f>
        <v>1.91994655E10</v>
      </c>
      <c r="H146" s="10"/>
      <c r="I146" s="2" t="n">
        <f>1088</f>
        <v>1088.0</v>
      </c>
      <c r="J146" s="10"/>
      <c r="K146" s="2" t="n">
        <f>55508</f>
        <v>55508.0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9443</f>
        <v>9443.0</v>
      </c>
      <c r="F147" s="10"/>
      <c r="G147" s="2" t="n">
        <f>15743850500</f>
        <v>1.57438505E10</v>
      </c>
      <c r="H147" s="10"/>
      <c r="I147" s="2" t="n">
        <f>290</f>
        <v>290.0</v>
      </c>
      <c r="J147" s="10"/>
      <c r="K147" s="2" t="n">
        <f>55868</f>
        <v>55868.0</v>
      </c>
    </row>
    <row r="148">
      <c r="A148" s="8" t="s">
        <v>42</v>
      </c>
      <c r="B148" s="9" t="s">
        <v>56</v>
      </c>
      <c r="C148" s="9" t="s">
        <v>57</v>
      </c>
      <c r="D148" s="10"/>
      <c r="E148" s="2" t="n">
        <f>12430</f>
        <v>12430.0</v>
      </c>
      <c r="F148" s="10"/>
      <c r="G148" s="2" t="n">
        <f>20664760000</f>
        <v>2.066476E10</v>
      </c>
      <c r="H148" s="10"/>
      <c r="I148" s="2" t="n">
        <f>481</f>
        <v>481.0</v>
      </c>
      <c r="J148" s="10"/>
      <c r="K148" s="2" t="n">
        <f>56739</f>
        <v>56739.0</v>
      </c>
    </row>
    <row r="149">
      <c r="A149" s="8" t="s">
        <v>43</v>
      </c>
      <c r="B149" s="9" t="s">
        <v>56</v>
      </c>
      <c r="C149" s="9" t="s">
        <v>57</v>
      </c>
      <c r="D149" s="10"/>
      <c r="E149" s="2" t="n">
        <f>9851</f>
        <v>9851.0</v>
      </c>
      <c r="F149" s="10"/>
      <c r="G149" s="2" t="n">
        <f>16382840000</f>
        <v>1.638284E10</v>
      </c>
      <c r="H149" s="10"/>
      <c r="I149" s="2" t="n">
        <f>538</f>
        <v>538.0</v>
      </c>
      <c r="J149" s="10"/>
      <c r="K149" s="2" t="n">
        <f>56270</f>
        <v>56270.0</v>
      </c>
    </row>
    <row r="150">
      <c r="A150" s="8" t="s">
        <v>44</v>
      </c>
      <c r="B150" s="9" t="s">
        <v>56</v>
      </c>
      <c r="C150" s="9" t="s">
        <v>57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45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46</v>
      </c>
      <c r="B152" s="9" t="s">
        <v>56</v>
      </c>
      <c r="C152" s="9" t="s">
        <v>57</v>
      </c>
      <c r="D152" s="10"/>
      <c r="E152" s="2" t="n">
        <f>8679</f>
        <v>8679.0</v>
      </c>
      <c r="F152" s="10"/>
      <c r="G152" s="2" t="n">
        <f>14663929104</f>
        <v>1.4663929104E10</v>
      </c>
      <c r="H152" s="10"/>
      <c r="I152" s="2" t="n">
        <f>587</f>
        <v>587.0</v>
      </c>
      <c r="J152" s="10"/>
      <c r="K152" s="2" t="n">
        <f>54824</f>
        <v>54824.0</v>
      </c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9380</f>
        <v>9380.0</v>
      </c>
      <c r="F153" s="10"/>
      <c r="G153" s="2" t="n">
        <f>15958294332</f>
        <v>1.5958294332E10</v>
      </c>
      <c r="H153" s="10"/>
      <c r="I153" s="2" t="n">
        <f>221</f>
        <v>221.0</v>
      </c>
      <c r="J153" s="10"/>
      <c r="K153" s="2" t="n">
        <f>55667</f>
        <v>55667.0</v>
      </c>
    </row>
    <row r="154">
      <c r="A154" s="8" t="s">
        <v>48</v>
      </c>
      <c r="B154" s="9" t="s">
        <v>56</v>
      </c>
      <c r="C154" s="9" t="s">
        <v>57</v>
      </c>
      <c r="D154" s="10"/>
      <c r="E154" s="2" t="n">
        <f>10032</f>
        <v>10032.0</v>
      </c>
      <c r="F154" s="10"/>
      <c r="G154" s="2" t="n">
        <f>17094502331</f>
        <v>1.7094502331E10</v>
      </c>
      <c r="H154" s="10"/>
      <c r="I154" s="2" t="n">
        <f>261</f>
        <v>261.0</v>
      </c>
      <c r="J154" s="10"/>
      <c r="K154" s="2" t="n">
        <f>56171</f>
        <v>56171.0</v>
      </c>
    </row>
    <row r="155">
      <c r="A155" s="8" t="s">
        <v>49</v>
      </c>
      <c r="B155" s="9" t="s">
        <v>56</v>
      </c>
      <c r="C155" s="9" t="s">
        <v>57</v>
      </c>
      <c r="D155" s="10"/>
      <c r="E155" s="2" t="n">
        <f>9006</f>
        <v>9006.0</v>
      </c>
      <c r="F155" s="10"/>
      <c r="G155" s="2" t="n">
        <f>15212121322</f>
        <v>1.5212121322E10</v>
      </c>
      <c r="H155" s="10"/>
      <c r="I155" s="2" t="n">
        <f>246</f>
        <v>246.0</v>
      </c>
      <c r="J155" s="10"/>
      <c r="K155" s="2" t="n">
        <f>56138</f>
        <v>56138.0</v>
      </c>
    </row>
    <row r="156">
      <c r="A156" s="8" t="s">
        <v>16</v>
      </c>
      <c r="B156" s="9" t="s">
        <v>58</v>
      </c>
      <c r="C156" s="9" t="s">
        <v>59</v>
      </c>
      <c r="D156" s="10" t="s">
        <v>29</v>
      </c>
      <c r="E156" s="2" t="str">
        <f>"－"</f>
        <v>－</v>
      </c>
      <c r="F156" s="10" t="s">
        <v>29</v>
      </c>
      <c r="G156" s="2" t="str">
        <f>"－"</f>
        <v>－</v>
      </c>
      <c r="H156" s="10" t="s">
        <v>29</v>
      </c>
      <c r="I156" s="2" t="str">
        <f>"－"</f>
        <v>－</v>
      </c>
      <c r="J156" s="10"/>
      <c r="K156" s="2" t="n">
        <f>106</f>
        <v>106.0</v>
      </c>
    </row>
    <row r="157">
      <c r="A157" s="8" t="s">
        <v>19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106</f>
        <v>106.0</v>
      </c>
    </row>
    <row r="158">
      <c r="A158" s="8" t="s">
        <v>20</v>
      </c>
      <c r="B158" s="9" t="s">
        <v>58</v>
      </c>
      <c r="C158" s="9" t="s">
        <v>59</v>
      </c>
      <c r="D158" s="10"/>
      <c r="E158" s="2" t="str">
        <f>"－"</f>
        <v>－</v>
      </c>
      <c r="F158" s="10"/>
      <c r="G158" s="2" t="str">
        <f>"－"</f>
        <v>－</v>
      </c>
      <c r="H158" s="10"/>
      <c r="I158" s="2" t="str">
        <f>"－"</f>
        <v>－</v>
      </c>
      <c r="J158" s="10"/>
      <c r="K158" s="2" t="n">
        <f>106</f>
        <v>106.0</v>
      </c>
    </row>
    <row r="159">
      <c r="A159" s="8" t="s">
        <v>21</v>
      </c>
      <c r="B159" s="9" t="s">
        <v>58</v>
      </c>
      <c r="C159" s="9" t="s">
        <v>59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22</v>
      </c>
      <c r="B160" s="9" t="s">
        <v>58</v>
      </c>
      <c r="C160" s="9" t="s">
        <v>59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23</v>
      </c>
      <c r="B161" s="9" t="s">
        <v>58</v>
      </c>
      <c r="C161" s="9" t="s">
        <v>59</v>
      </c>
      <c r="D161" s="10"/>
      <c r="E161" s="2" t="str">
        <f>"－"</f>
        <v>－</v>
      </c>
      <c r="F161" s="10"/>
      <c r="G161" s="2" t="str">
        <f>"－"</f>
        <v>－</v>
      </c>
      <c r="H161" s="10"/>
      <c r="I161" s="2" t="str">
        <f>"－"</f>
        <v>－</v>
      </c>
      <c r="J161" s="10"/>
      <c r="K161" s="2" t="n">
        <f>106</f>
        <v>106.0</v>
      </c>
    </row>
    <row r="162">
      <c r="A162" s="8" t="s">
        <v>24</v>
      </c>
      <c r="B162" s="9" t="s">
        <v>58</v>
      </c>
      <c r="C162" s="9" t="s">
        <v>59</v>
      </c>
      <c r="D162" s="10" t="s">
        <v>25</v>
      </c>
      <c r="E162" s="2" t="n">
        <f>210</f>
        <v>210.0</v>
      </c>
      <c r="F162" s="10" t="s">
        <v>25</v>
      </c>
      <c r="G162" s="2" t="n">
        <f>201768000</f>
        <v>2.01768E8</v>
      </c>
      <c r="H162" s="10"/>
      <c r="I162" s="2" t="str">
        <f>"－"</f>
        <v>－</v>
      </c>
      <c r="J162" s="10" t="s">
        <v>25</v>
      </c>
      <c r="K162" s="2" t="n">
        <f>166</f>
        <v>166.0</v>
      </c>
    </row>
    <row r="163">
      <c r="A163" s="8" t="s">
        <v>26</v>
      </c>
      <c r="B163" s="9" t="s">
        <v>58</v>
      </c>
      <c r="C163" s="9" t="s">
        <v>59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166</f>
        <v>166.0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166</f>
        <v>166.0</v>
      </c>
    </row>
    <row r="165">
      <c r="A165" s="8" t="s">
        <v>28</v>
      </c>
      <c r="B165" s="9" t="s">
        <v>58</v>
      </c>
      <c r="C165" s="9" t="s">
        <v>59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166</f>
        <v>166.0</v>
      </c>
    </row>
    <row r="166">
      <c r="A166" s="8" t="s">
        <v>30</v>
      </c>
      <c r="B166" s="9" t="s">
        <v>58</v>
      </c>
      <c r="C166" s="9" t="s">
        <v>59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31</v>
      </c>
      <c r="B167" s="9" t="s">
        <v>58</v>
      </c>
      <c r="C167" s="9" t="s">
        <v>59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32</v>
      </c>
      <c r="B168" s="9" t="s">
        <v>58</v>
      </c>
      <c r="C168" s="9" t="s">
        <v>59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 t="s">
        <v>29</v>
      </c>
      <c r="K168" s="2" t="n">
        <f>105</f>
        <v>105.0</v>
      </c>
    </row>
    <row r="169">
      <c r="A169" s="8" t="s">
        <v>33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105</f>
        <v>105.0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105</f>
        <v>105.0</v>
      </c>
    </row>
    <row r="171">
      <c r="A171" s="8" t="s">
        <v>35</v>
      </c>
      <c r="B171" s="9" t="s">
        <v>58</v>
      </c>
      <c r="C171" s="9" t="s">
        <v>59</v>
      </c>
      <c r="D171" s="10"/>
      <c r="E171" s="2" t="n">
        <f>1</f>
        <v>1.0</v>
      </c>
      <c r="F171" s="10"/>
      <c r="G171" s="2" t="n">
        <f>921500</f>
        <v>921500.0</v>
      </c>
      <c r="H171" s="10" t="s">
        <v>25</v>
      </c>
      <c r="I171" s="2" t="n">
        <f>1</f>
        <v>1.0</v>
      </c>
      <c r="J171" s="10"/>
      <c r="K171" s="2" t="n">
        <f>106</f>
        <v>106.0</v>
      </c>
    </row>
    <row r="172">
      <c r="A172" s="8" t="s">
        <v>36</v>
      </c>
      <c r="B172" s="9" t="s">
        <v>58</v>
      </c>
      <c r="C172" s="9" t="s">
        <v>59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106</f>
        <v>106.0</v>
      </c>
    </row>
    <row r="173">
      <c r="A173" s="8" t="s">
        <v>37</v>
      </c>
      <c r="B173" s="9" t="s">
        <v>58</v>
      </c>
      <c r="C173" s="9" t="s">
        <v>59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38</v>
      </c>
      <c r="B174" s="9" t="s">
        <v>58</v>
      </c>
      <c r="C174" s="9" t="s">
        <v>59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58</v>
      </c>
      <c r="C175" s="9" t="s">
        <v>59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106</f>
        <v>106.0</v>
      </c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106</f>
        <v>106.0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106</f>
        <v>106.0</v>
      </c>
    </row>
    <row r="178">
      <c r="A178" s="8" t="s">
        <v>42</v>
      </c>
      <c r="B178" s="9" t="s">
        <v>58</v>
      </c>
      <c r="C178" s="9" t="s">
        <v>59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106</f>
        <v>106.0</v>
      </c>
    </row>
    <row r="179">
      <c r="A179" s="8" t="s">
        <v>43</v>
      </c>
      <c r="B179" s="9" t="s">
        <v>58</v>
      </c>
      <c r="C179" s="9" t="s">
        <v>59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106</f>
        <v>106.0</v>
      </c>
    </row>
    <row r="180">
      <c r="A180" s="8" t="s">
        <v>44</v>
      </c>
      <c r="B180" s="9" t="s">
        <v>58</v>
      </c>
      <c r="C180" s="9" t="s">
        <v>59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45</v>
      </c>
      <c r="B181" s="9" t="s">
        <v>58</v>
      </c>
      <c r="C181" s="9" t="s">
        <v>59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46</v>
      </c>
      <c r="B182" s="9" t="s">
        <v>58</v>
      </c>
      <c r="C182" s="9" t="s">
        <v>59</v>
      </c>
      <c r="D182" s="10"/>
      <c r="E182" s="2" t="n">
        <f>20</f>
        <v>20.0</v>
      </c>
      <c r="F182" s="10"/>
      <c r="G182" s="2" t="n">
        <f>18340000</f>
        <v>1.834E7</v>
      </c>
      <c r="H182" s="10"/>
      <c r="I182" s="2" t="str">
        <f>"－"</f>
        <v>－</v>
      </c>
      <c r="J182" s="10"/>
      <c r="K182" s="2" t="n">
        <f>126</f>
        <v>126.0</v>
      </c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126</f>
        <v>126.0</v>
      </c>
    </row>
    <row r="184">
      <c r="A184" s="8" t="s">
        <v>48</v>
      </c>
      <c r="B184" s="9" t="s">
        <v>58</v>
      </c>
      <c r="C184" s="9" t="s">
        <v>59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126</f>
        <v>126.0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126</f>
        <v>126.0</v>
      </c>
    </row>
    <row r="186">
      <c r="A186" s="8" t="s">
        <v>16</v>
      </c>
      <c r="B186" s="9" t="s">
        <v>60</v>
      </c>
      <c r="C186" s="9" t="s">
        <v>61</v>
      </c>
      <c r="D186" s="10" t="s">
        <v>29</v>
      </c>
      <c r="E186" s="2" t="str">
        <f>"－"</f>
        <v>－</v>
      </c>
      <c r="F186" s="10" t="s">
        <v>29</v>
      </c>
      <c r="G186" s="2" t="str">
        <f>"－"</f>
        <v>－</v>
      </c>
      <c r="H186" s="10" t="s">
        <v>29</v>
      </c>
      <c r="I186" s="2" t="str">
        <f>"－"</f>
        <v>－</v>
      </c>
      <c r="J186" s="10" t="s">
        <v>29</v>
      </c>
      <c r="K186" s="2" t="n">
        <f>36348</f>
        <v>36348.0</v>
      </c>
    </row>
    <row r="187">
      <c r="A187" s="8" t="s">
        <v>19</v>
      </c>
      <c r="B187" s="9" t="s">
        <v>60</v>
      </c>
      <c r="C187" s="9" t="s">
        <v>61</v>
      </c>
      <c r="D187" s="10"/>
      <c r="E187" s="2" t="n">
        <f>16000</f>
        <v>16000.0</v>
      </c>
      <c r="F187" s="10"/>
      <c r="G187" s="2" t="n">
        <f>25122000000</f>
        <v>2.5122E10</v>
      </c>
      <c r="H187" s="10"/>
      <c r="I187" s="2" t="str">
        <f>"－"</f>
        <v>－</v>
      </c>
      <c r="J187" s="10"/>
      <c r="K187" s="2" t="n">
        <f>36348</f>
        <v>36348.0</v>
      </c>
    </row>
    <row r="188">
      <c r="A188" s="8" t="s">
        <v>20</v>
      </c>
      <c r="B188" s="9" t="s">
        <v>60</v>
      </c>
      <c r="C188" s="9" t="s">
        <v>61</v>
      </c>
      <c r="D188" s="10"/>
      <c r="E188" s="2" t="n">
        <f>10000</f>
        <v>10000.0</v>
      </c>
      <c r="F188" s="10"/>
      <c r="G188" s="2" t="n">
        <f>15717500000</f>
        <v>1.57175E10</v>
      </c>
      <c r="H188" s="10"/>
      <c r="I188" s="2" t="str">
        <f>"－"</f>
        <v>－</v>
      </c>
      <c r="J188" s="10"/>
      <c r="K188" s="2" t="n">
        <f>41348</f>
        <v>41348.0</v>
      </c>
    </row>
    <row r="189">
      <c r="A189" s="8" t="s">
        <v>21</v>
      </c>
      <c r="B189" s="9" t="s">
        <v>60</v>
      </c>
      <c r="C189" s="9" t="s">
        <v>61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22</v>
      </c>
      <c r="B190" s="9" t="s">
        <v>60</v>
      </c>
      <c r="C190" s="9" t="s">
        <v>61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23</v>
      </c>
      <c r="B191" s="9" t="s">
        <v>60</v>
      </c>
      <c r="C191" s="9" t="s">
        <v>61</v>
      </c>
      <c r="D191" s="10"/>
      <c r="E191" s="2" t="n">
        <f>1400</f>
        <v>1400.0</v>
      </c>
      <c r="F191" s="10"/>
      <c r="G191" s="2" t="n">
        <f>2200450000</f>
        <v>2.20045E9</v>
      </c>
      <c r="H191" s="10"/>
      <c r="I191" s="2" t="str">
        <f>"－"</f>
        <v>－</v>
      </c>
      <c r="J191" s="10"/>
      <c r="K191" s="2" t="n">
        <f>37348</f>
        <v>37348.0</v>
      </c>
    </row>
    <row r="192">
      <c r="A192" s="8" t="s">
        <v>24</v>
      </c>
      <c r="B192" s="9" t="s">
        <v>60</v>
      </c>
      <c r="C192" s="9" t="s">
        <v>61</v>
      </c>
      <c r="D192" s="10"/>
      <c r="E192" s="2" t="n">
        <f>13762</f>
        <v>13762.0</v>
      </c>
      <c r="F192" s="10"/>
      <c r="G192" s="2" t="n">
        <f>21609604750</f>
        <v>2.160960475E10</v>
      </c>
      <c r="H192" s="10" t="s">
        <v>25</v>
      </c>
      <c r="I192" s="2" t="n">
        <f>1400</f>
        <v>1400.0</v>
      </c>
      <c r="J192" s="10"/>
      <c r="K192" s="2" t="n">
        <f>37348</f>
        <v>37348.0</v>
      </c>
    </row>
    <row r="193">
      <c r="A193" s="8" t="s">
        <v>26</v>
      </c>
      <c r="B193" s="9" t="s">
        <v>60</v>
      </c>
      <c r="C193" s="9" t="s">
        <v>61</v>
      </c>
      <c r="D193" s="10" t="s">
        <v>25</v>
      </c>
      <c r="E193" s="2" t="n">
        <f>19782</f>
        <v>19782.0</v>
      </c>
      <c r="F193" s="10" t="s">
        <v>25</v>
      </c>
      <c r="G193" s="2" t="n">
        <f>31412323750</f>
        <v>3.141232375E10</v>
      </c>
      <c r="H193" s="10"/>
      <c r="I193" s="2" t="n">
        <f>310</f>
        <v>310.0</v>
      </c>
      <c r="J193" s="10"/>
      <c r="K193" s="2" t="n">
        <f>37396</f>
        <v>37396.0</v>
      </c>
    </row>
    <row r="194">
      <c r="A194" s="8" t="s">
        <v>27</v>
      </c>
      <c r="B194" s="9" t="s">
        <v>60</v>
      </c>
      <c r="C194" s="9" t="s">
        <v>61</v>
      </c>
      <c r="D194" s="10"/>
      <c r="E194" s="2" t="str">
        <f>"－"</f>
        <v>－</v>
      </c>
      <c r="F194" s="10"/>
      <c r="G194" s="2" t="str">
        <f>"－"</f>
        <v>－</v>
      </c>
      <c r="H194" s="10"/>
      <c r="I194" s="2" t="str">
        <f>"－"</f>
        <v>－</v>
      </c>
      <c r="J194" s="10"/>
      <c r="K194" s="2" t="n">
        <f>37328</f>
        <v>37328.0</v>
      </c>
    </row>
    <row r="195">
      <c r="A195" s="8" t="s">
        <v>28</v>
      </c>
      <c r="B195" s="9" t="s">
        <v>60</v>
      </c>
      <c r="C195" s="9" t="s">
        <v>61</v>
      </c>
      <c r="D195" s="10"/>
      <c r="E195" s="2" t="n">
        <f>5749</f>
        <v>5749.0</v>
      </c>
      <c r="F195" s="10"/>
      <c r="G195" s="2" t="n">
        <f>9077671000</f>
        <v>9.077671E9</v>
      </c>
      <c r="H195" s="10"/>
      <c r="I195" s="2" t="str">
        <f>"－"</f>
        <v>－</v>
      </c>
      <c r="J195" s="10" t="s">
        <v>25</v>
      </c>
      <c r="K195" s="2" t="n">
        <f>43077</f>
        <v>43077.0</v>
      </c>
    </row>
    <row r="196">
      <c r="A196" s="8" t="s">
        <v>30</v>
      </c>
      <c r="B196" s="9" t="s">
        <v>60</v>
      </c>
      <c r="C196" s="9" t="s">
        <v>61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31</v>
      </c>
      <c r="B197" s="9" t="s">
        <v>60</v>
      </c>
      <c r="C197" s="9" t="s">
        <v>61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32</v>
      </c>
      <c r="B198" s="9" t="s">
        <v>60</v>
      </c>
      <c r="C198" s="9" t="s">
        <v>61</v>
      </c>
      <c r="D198" s="10"/>
      <c r="E198" s="2" t="n">
        <f>2445</f>
        <v>2445.0</v>
      </c>
      <c r="F198" s="10"/>
      <c r="G198" s="2" t="n">
        <f>3833337015</f>
        <v>3.833337015E9</v>
      </c>
      <c r="H198" s="10"/>
      <c r="I198" s="2" t="str">
        <f>"－"</f>
        <v>－</v>
      </c>
      <c r="J198" s="10"/>
      <c r="K198" s="2" t="n">
        <f>38622</f>
        <v>38622.0</v>
      </c>
    </row>
    <row r="199">
      <c r="A199" s="8" t="s">
        <v>33</v>
      </c>
      <c r="B199" s="9" t="s">
        <v>60</v>
      </c>
      <c r="C199" s="9" t="s">
        <v>61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38622</f>
        <v>38622.0</v>
      </c>
    </row>
    <row r="200">
      <c r="A200" s="8" t="s">
        <v>34</v>
      </c>
      <c r="B200" s="9" t="s">
        <v>60</v>
      </c>
      <c r="C200" s="9" t="s">
        <v>61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38622</f>
        <v>38622.0</v>
      </c>
    </row>
    <row r="201">
      <c r="A201" s="8" t="s">
        <v>35</v>
      </c>
      <c r="B201" s="9" t="s">
        <v>60</v>
      </c>
      <c r="C201" s="9" t="s">
        <v>61</v>
      </c>
      <c r="D201" s="10"/>
      <c r="E201" s="2" t="n">
        <f>352</f>
        <v>352.0</v>
      </c>
      <c r="F201" s="10"/>
      <c r="G201" s="2" t="n">
        <f>563820576</f>
        <v>5.63820576E8</v>
      </c>
      <c r="H201" s="10"/>
      <c r="I201" s="2" t="n">
        <f>70</f>
        <v>70.0</v>
      </c>
      <c r="J201" s="10"/>
      <c r="K201" s="2" t="n">
        <f>38622</f>
        <v>38622.0</v>
      </c>
    </row>
    <row r="202">
      <c r="A202" s="8" t="s">
        <v>36</v>
      </c>
      <c r="B202" s="9" t="s">
        <v>60</v>
      </c>
      <c r="C202" s="9" t="s">
        <v>61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38622</f>
        <v>38622.0</v>
      </c>
    </row>
    <row r="203">
      <c r="A203" s="8" t="s">
        <v>37</v>
      </c>
      <c r="B203" s="9" t="s">
        <v>60</v>
      </c>
      <c r="C203" s="9" t="s">
        <v>61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38</v>
      </c>
      <c r="B204" s="9" t="s">
        <v>60</v>
      </c>
      <c r="C204" s="9" t="s">
        <v>61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60</v>
      </c>
      <c r="C205" s="9" t="s">
        <v>61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38622</f>
        <v>38622.0</v>
      </c>
    </row>
    <row r="206">
      <c r="A206" s="8" t="s">
        <v>40</v>
      </c>
      <c r="B206" s="9" t="s">
        <v>60</v>
      </c>
      <c r="C206" s="9" t="s">
        <v>61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38622</f>
        <v>38622.0</v>
      </c>
    </row>
    <row r="207">
      <c r="A207" s="8" t="s">
        <v>41</v>
      </c>
      <c r="B207" s="9" t="s">
        <v>60</v>
      </c>
      <c r="C207" s="9" t="s">
        <v>61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38622</f>
        <v>38622.0</v>
      </c>
    </row>
    <row r="208">
      <c r="A208" s="8" t="s">
        <v>42</v>
      </c>
      <c r="B208" s="9" t="s">
        <v>60</v>
      </c>
      <c r="C208" s="9" t="s">
        <v>61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38622</f>
        <v>38622.0</v>
      </c>
    </row>
    <row r="209">
      <c r="A209" s="8" t="s">
        <v>43</v>
      </c>
      <c r="B209" s="9" t="s">
        <v>60</v>
      </c>
      <c r="C209" s="9" t="s">
        <v>61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38622</f>
        <v>38622.0</v>
      </c>
    </row>
    <row r="210">
      <c r="A210" s="8" t="s">
        <v>44</v>
      </c>
      <c r="B210" s="9" t="s">
        <v>60</v>
      </c>
      <c r="C210" s="9" t="s">
        <v>61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45</v>
      </c>
      <c r="B211" s="9" t="s">
        <v>60</v>
      </c>
      <c r="C211" s="9" t="s">
        <v>61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46</v>
      </c>
      <c r="B212" s="9" t="s">
        <v>60</v>
      </c>
      <c r="C212" s="9" t="s">
        <v>61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38622</f>
        <v>38622.0</v>
      </c>
    </row>
    <row r="213">
      <c r="A213" s="8" t="s">
        <v>47</v>
      </c>
      <c r="B213" s="9" t="s">
        <v>60</v>
      </c>
      <c r="C213" s="9" t="s">
        <v>61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38622</f>
        <v>38622.0</v>
      </c>
    </row>
    <row r="214">
      <c r="A214" s="8" t="s">
        <v>48</v>
      </c>
      <c r="B214" s="9" t="s">
        <v>60</v>
      </c>
      <c r="C214" s="9" t="s">
        <v>61</v>
      </c>
      <c r="D214" s="10"/>
      <c r="E214" s="2" t="str">
        <f>"－"</f>
        <v>－</v>
      </c>
      <c r="F214" s="10"/>
      <c r="G214" s="2" t="str">
        <f>"－"</f>
        <v>－</v>
      </c>
      <c r="H214" s="10"/>
      <c r="I214" s="2" t="str">
        <f>"－"</f>
        <v>－</v>
      </c>
      <c r="J214" s="10"/>
      <c r="K214" s="2" t="n">
        <f>38622</f>
        <v>38622.0</v>
      </c>
    </row>
    <row r="215">
      <c r="A215" s="8" t="s">
        <v>49</v>
      </c>
      <c r="B215" s="9" t="s">
        <v>60</v>
      </c>
      <c r="C215" s="9" t="s">
        <v>61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38622</f>
        <v>38622.0</v>
      </c>
    </row>
    <row r="216">
      <c r="A216" s="8" t="s">
        <v>16</v>
      </c>
      <c r="B216" s="9" t="s">
        <v>62</v>
      </c>
      <c r="C216" s="9" t="s">
        <v>63</v>
      </c>
      <c r="D216" s="10"/>
      <c r="E216" s="2" t="n">
        <f>439</f>
        <v>439.0</v>
      </c>
      <c r="F216" s="10"/>
      <c r="G216" s="2" t="n">
        <f>880621870</f>
        <v>8.8062187E8</v>
      </c>
      <c r="H216" s="10"/>
      <c r="I216" s="2" t="n">
        <f>5</f>
        <v>5.0</v>
      </c>
      <c r="J216" s="10"/>
      <c r="K216" s="2" t="n">
        <f>70464</f>
        <v>70464.0</v>
      </c>
    </row>
    <row r="217">
      <c r="A217" s="8" t="s">
        <v>19</v>
      </c>
      <c r="B217" s="9" t="s">
        <v>62</v>
      </c>
      <c r="C217" s="9" t="s">
        <v>63</v>
      </c>
      <c r="D217" s="10"/>
      <c r="E217" s="2" t="n">
        <f>6163</f>
        <v>6163.0</v>
      </c>
      <c r="F217" s="10"/>
      <c r="G217" s="2" t="n">
        <f>12270992910</f>
        <v>1.227099291E10</v>
      </c>
      <c r="H217" s="10"/>
      <c r="I217" s="2" t="n">
        <f>3</f>
        <v>3.0</v>
      </c>
      <c r="J217" s="10"/>
      <c r="K217" s="2" t="n">
        <f>70712</f>
        <v>70712.0</v>
      </c>
    </row>
    <row r="218">
      <c r="A218" s="8" t="s">
        <v>20</v>
      </c>
      <c r="B218" s="9" t="s">
        <v>62</v>
      </c>
      <c r="C218" s="9" t="s">
        <v>63</v>
      </c>
      <c r="D218" s="10"/>
      <c r="E218" s="2" t="n">
        <f>19420</f>
        <v>19420.0</v>
      </c>
      <c r="F218" s="10"/>
      <c r="G218" s="2" t="n">
        <f>38706795990</f>
        <v>3.870679599E10</v>
      </c>
      <c r="H218" s="10"/>
      <c r="I218" s="2" t="n">
        <f>28</f>
        <v>28.0</v>
      </c>
      <c r="J218" s="10"/>
      <c r="K218" s="2" t="n">
        <f>72339</f>
        <v>72339.0</v>
      </c>
    </row>
    <row r="219">
      <c r="A219" s="8" t="s">
        <v>21</v>
      </c>
      <c r="B219" s="9" t="s">
        <v>62</v>
      </c>
      <c r="C219" s="9" t="s">
        <v>63</v>
      </c>
      <c r="D219" s="10"/>
      <c r="E219" s="2"/>
      <c r="F219" s="10"/>
      <c r="G219" s="2"/>
      <c r="H219" s="10"/>
      <c r="I219" s="2"/>
      <c r="J219" s="10"/>
      <c r="K219" s="2"/>
    </row>
    <row r="220">
      <c r="A220" s="8" t="s">
        <v>22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23</v>
      </c>
      <c r="B221" s="9" t="s">
        <v>62</v>
      </c>
      <c r="C221" s="9" t="s">
        <v>63</v>
      </c>
      <c r="D221" s="10"/>
      <c r="E221" s="2" t="n">
        <f>54793</f>
        <v>54793.0</v>
      </c>
      <c r="F221" s="10"/>
      <c r="G221" s="2" t="n">
        <f>109372436540</f>
        <v>1.0937243654E11</v>
      </c>
      <c r="H221" s="10"/>
      <c r="I221" s="2" t="n">
        <f>46</f>
        <v>46.0</v>
      </c>
      <c r="J221" s="10"/>
      <c r="K221" s="2" t="n">
        <f>74259</f>
        <v>74259.0</v>
      </c>
    </row>
    <row r="222">
      <c r="A222" s="8" t="s">
        <v>24</v>
      </c>
      <c r="B222" s="9" t="s">
        <v>62</v>
      </c>
      <c r="C222" s="9" t="s">
        <v>63</v>
      </c>
      <c r="D222" s="10" t="s">
        <v>25</v>
      </c>
      <c r="E222" s="2" t="n">
        <f>62234</f>
        <v>62234.0</v>
      </c>
      <c r="F222" s="10" t="s">
        <v>25</v>
      </c>
      <c r="G222" s="2" t="n">
        <f>124363405900</f>
        <v>1.243634059E11</v>
      </c>
      <c r="H222" s="10" t="s">
        <v>25</v>
      </c>
      <c r="I222" s="2" t="n">
        <f>408</f>
        <v>408.0</v>
      </c>
      <c r="J222" s="10" t="s">
        <v>25</v>
      </c>
      <c r="K222" s="2" t="n">
        <f>88469</f>
        <v>88469.0</v>
      </c>
    </row>
    <row r="223">
      <c r="A223" s="8" t="s">
        <v>26</v>
      </c>
      <c r="B223" s="9" t="s">
        <v>62</v>
      </c>
      <c r="C223" s="9" t="s">
        <v>63</v>
      </c>
      <c r="D223" s="10"/>
      <c r="E223" s="2" t="n">
        <f>19543</f>
        <v>19543.0</v>
      </c>
      <c r="F223" s="10"/>
      <c r="G223" s="2" t="n">
        <f>39122726200</f>
        <v>3.91227262E10</v>
      </c>
      <c r="H223" s="10"/>
      <c r="I223" s="2" t="n">
        <f>37</f>
        <v>37.0</v>
      </c>
      <c r="J223" s="10"/>
      <c r="K223" s="2" t="n">
        <f>88050</f>
        <v>88050.0</v>
      </c>
    </row>
    <row r="224">
      <c r="A224" s="8" t="s">
        <v>27</v>
      </c>
      <c r="B224" s="9" t="s">
        <v>62</v>
      </c>
      <c r="C224" s="9" t="s">
        <v>63</v>
      </c>
      <c r="D224" s="10"/>
      <c r="E224" s="2" t="n">
        <f>2179</f>
        <v>2179.0</v>
      </c>
      <c r="F224" s="10"/>
      <c r="G224" s="2" t="n">
        <f>4361414770</f>
        <v>4.36141477E9</v>
      </c>
      <c r="H224" s="10"/>
      <c r="I224" s="2" t="n">
        <f>93</f>
        <v>93.0</v>
      </c>
      <c r="J224" s="10"/>
      <c r="K224" s="2" t="n">
        <f>86898</f>
        <v>86898.0</v>
      </c>
    </row>
    <row r="225">
      <c r="A225" s="8" t="s">
        <v>28</v>
      </c>
      <c r="B225" s="9" t="s">
        <v>62</v>
      </c>
      <c r="C225" s="9" t="s">
        <v>63</v>
      </c>
      <c r="D225" s="10"/>
      <c r="E225" s="2" t="n">
        <f>291</f>
        <v>291.0</v>
      </c>
      <c r="F225" s="10"/>
      <c r="G225" s="2" t="n">
        <f>579136580</f>
        <v>5.7913658E8</v>
      </c>
      <c r="H225" s="10"/>
      <c r="I225" s="2" t="n">
        <f>33</f>
        <v>33.0</v>
      </c>
      <c r="J225" s="10"/>
      <c r="K225" s="2" t="n">
        <f>86747</f>
        <v>86747.0</v>
      </c>
    </row>
    <row r="226">
      <c r="A226" s="8" t="s">
        <v>30</v>
      </c>
      <c r="B226" s="9" t="s">
        <v>62</v>
      </c>
      <c r="C226" s="9" t="s">
        <v>63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31</v>
      </c>
      <c r="B227" s="9" t="s">
        <v>62</v>
      </c>
      <c r="C227" s="9" t="s">
        <v>63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32</v>
      </c>
      <c r="B228" s="9" t="s">
        <v>62</v>
      </c>
      <c r="C228" s="9" t="s">
        <v>63</v>
      </c>
      <c r="D228" s="10"/>
      <c r="E228" s="2" t="n">
        <f>920</f>
        <v>920.0</v>
      </c>
      <c r="F228" s="10"/>
      <c r="G228" s="2" t="n">
        <f>1811315590</f>
        <v>1.81131559E9</v>
      </c>
      <c r="H228" s="10"/>
      <c r="I228" s="2" t="n">
        <f>38</f>
        <v>38.0</v>
      </c>
      <c r="J228" s="10"/>
      <c r="K228" s="2" t="n">
        <f>69016</f>
        <v>69016.0</v>
      </c>
    </row>
    <row r="229">
      <c r="A229" s="8" t="s">
        <v>33</v>
      </c>
      <c r="B229" s="9" t="s">
        <v>62</v>
      </c>
      <c r="C229" s="9" t="s">
        <v>63</v>
      </c>
      <c r="D229" s="10"/>
      <c r="E229" s="2" t="n">
        <f>1974</f>
        <v>1974.0</v>
      </c>
      <c r="F229" s="10"/>
      <c r="G229" s="2" t="n">
        <f>3786492190</f>
        <v>3.78649219E9</v>
      </c>
      <c r="H229" s="10"/>
      <c r="I229" s="2" t="n">
        <f>101</f>
        <v>101.0</v>
      </c>
      <c r="J229" s="10"/>
      <c r="K229" s="2" t="n">
        <f>70323</f>
        <v>70323.0</v>
      </c>
    </row>
    <row r="230">
      <c r="A230" s="8" t="s">
        <v>34</v>
      </c>
      <c r="B230" s="9" t="s">
        <v>62</v>
      </c>
      <c r="C230" s="9" t="s">
        <v>63</v>
      </c>
      <c r="D230" s="10"/>
      <c r="E230" s="2" t="n">
        <f>3577</f>
        <v>3577.0</v>
      </c>
      <c r="F230" s="10"/>
      <c r="G230" s="2" t="n">
        <f>6666274880</f>
        <v>6.66627488E9</v>
      </c>
      <c r="H230" s="10"/>
      <c r="I230" s="2" t="n">
        <f>63</f>
        <v>63.0</v>
      </c>
      <c r="J230" s="10"/>
      <c r="K230" s="2" t="n">
        <f>71424</f>
        <v>71424.0</v>
      </c>
    </row>
    <row r="231">
      <c r="A231" s="8" t="s">
        <v>35</v>
      </c>
      <c r="B231" s="9" t="s">
        <v>62</v>
      </c>
      <c r="C231" s="9" t="s">
        <v>63</v>
      </c>
      <c r="D231" s="10"/>
      <c r="E231" s="2" t="n">
        <f>1562</f>
        <v>1562.0</v>
      </c>
      <c r="F231" s="10"/>
      <c r="G231" s="2" t="n">
        <f>2937756750</f>
        <v>2.93775675E9</v>
      </c>
      <c r="H231" s="10"/>
      <c r="I231" s="2" t="n">
        <f>278</f>
        <v>278.0</v>
      </c>
      <c r="J231" s="10"/>
      <c r="K231" s="2" t="n">
        <f>71214</f>
        <v>71214.0</v>
      </c>
    </row>
    <row r="232">
      <c r="A232" s="8" t="s">
        <v>36</v>
      </c>
      <c r="B232" s="9" t="s">
        <v>62</v>
      </c>
      <c r="C232" s="9" t="s">
        <v>63</v>
      </c>
      <c r="D232" s="10"/>
      <c r="E232" s="2" t="n">
        <f>919</f>
        <v>919.0</v>
      </c>
      <c r="F232" s="10"/>
      <c r="G232" s="2" t="n">
        <f>1737408660</f>
        <v>1.73740866E9</v>
      </c>
      <c r="H232" s="10" t="s">
        <v>29</v>
      </c>
      <c r="I232" s="2" t="str">
        <f>"－"</f>
        <v>－</v>
      </c>
      <c r="J232" s="10"/>
      <c r="K232" s="2" t="n">
        <f>71256</f>
        <v>71256.0</v>
      </c>
    </row>
    <row r="233">
      <c r="A233" s="8" t="s">
        <v>37</v>
      </c>
      <c r="B233" s="9" t="s">
        <v>62</v>
      </c>
      <c r="C233" s="9" t="s">
        <v>63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38</v>
      </c>
      <c r="B234" s="9" t="s">
        <v>62</v>
      </c>
      <c r="C234" s="9" t="s">
        <v>63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62</v>
      </c>
      <c r="C235" s="9" t="s">
        <v>63</v>
      </c>
      <c r="D235" s="10"/>
      <c r="E235" s="2" t="n">
        <f>1043</f>
        <v>1043.0</v>
      </c>
      <c r="F235" s="10"/>
      <c r="G235" s="2" t="n">
        <f>1963786120</f>
        <v>1.96378612E9</v>
      </c>
      <c r="H235" s="10"/>
      <c r="I235" s="2" t="n">
        <f>4</f>
        <v>4.0</v>
      </c>
      <c r="J235" s="10"/>
      <c r="K235" s="2" t="n">
        <f>70735</f>
        <v>70735.0</v>
      </c>
    </row>
    <row r="236">
      <c r="A236" s="8" t="s">
        <v>40</v>
      </c>
      <c r="B236" s="9" t="s">
        <v>62</v>
      </c>
      <c r="C236" s="9" t="s">
        <v>63</v>
      </c>
      <c r="D236" s="10" t="s">
        <v>29</v>
      </c>
      <c r="E236" s="2" t="n">
        <f>209</f>
        <v>209.0</v>
      </c>
      <c r="F236" s="10" t="s">
        <v>29</v>
      </c>
      <c r="G236" s="2" t="n">
        <f>395100940</f>
        <v>3.9510094E8</v>
      </c>
      <c r="H236" s="10"/>
      <c r="I236" s="2" t="n">
        <f>20</f>
        <v>20.0</v>
      </c>
      <c r="J236" s="10"/>
      <c r="K236" s="2" t="n">
        <f>70679</f>
        <v>70679.0</v>
      </c>
    </row>
    <row r="237">
      <c r="A237" s="8" t="s">
        <v>41</v>
      </c>
      <c r="B237" s="9" t="s">
        <v>62</v>
      </c>
      <c r="C237" s="9" t="s">
        <v>63</v>
      </c>
      <c r="D237" s="10"/>
      <c r="E237" s="2" t="n">
        <f>3184</f>
        <v>3184.0</v>
      </c>
      <c r="F237" s="10"/>
      <c r="G237" s="2" t="n">
        <f>5974678900</f>
        <v>5.9746789E9</v>
      </c>
      <c r="H237" s="10"/>
      <c r="I237" s="2" t="n">
        <f>11</f>
        <v>11.0</v>
      </c>
      <c r="J237" s="10"/>
      <c r="K237" s="2" t="n">
        <f>67672</f>
        <v>67672.0</v>
      </c>
    </row>
    <row r="238">
      <c r="A238" s="8" t="s">
        <v>42</v>
      </c>
      <c r="B238" s="9" t="s">
        <v>62</v>
      </c>
      <c r="C238" s="9" t="s">
        <v>63</v>
      </c>
      <c r="D238" s="10"/>
      <c r="E238" s="2" t="n">
        <f>4584</f>
        <v>4584.0</v>
      </c>
      <c r="F238" s="10"/>
      <c r="G238" s="2" t="n">
        <f>8638605950</f>
        <v>8.63860595E9</v>
      </c>
      <c r="H238" s="10"/>
      <c r="I238" s="2" t="n">
        <f>4</f>
        <v>4.0</v>
      </c>
      <c r="J238" s="10"/>
      <c r="K238" s="2" t="n">
        <f>66576</f>
        <v>66576.0</v>
      </c>
    </row>
    <row r="239">
      <c r="A239" s="8" t="s">
        <v>43</v>
      </c>
      <c r="B239" s="9" t="s">
        <v>62</v>
      </c>
      <c r="C239" s="9" t="s">
        <v>63</v>
      </c>
      <c r="D239" s="10"/>
      <c r="E239" s="2" t="n">
        <f>2483</f>
        <v>2483.0</v>
      </c>
      <c r="F239" s="10"/>
      <c r="G239" s="2" t="n">
        <f>4686119120</f>
        <v>4.68611912E9</v>
      </c>
      <c r="H239" s="10"/>
      <c r="I239" s="2" t="str">
        <f>"－"</f>
        <v>－</v>
      </c>
      <c r="J239" s="10"/>
      <c r="K239" s="2" t="n">
        <f>65994</f>
        <v>65994.0</v>
      </c>
    </row>
    <row r="240">
      <c r="A240" s="8" t="s">
        <v>44</v>
      </c>
      <c r="B240" s="9" t="s">
        <v>62</v>
      </c>
      <c r="C240" s="9" t="s">
        <v>63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45</v>
      </c>
      <c r="B241" s="9" t="s">
        <v>62</v>
      </c>
      <c r="C241" s="9" t="s">
        <v>63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46</v>
      </c>
      <c r="B242" s="9" t="s">
        <v>62</v>
      </c>
      <c r="C242" s="9" t="s">
        <v>63</v>
      </c>
      <c r="D242" s="10"/>
      <c r="E242" s="2" t="n">
        <f>343</f>
        <v>343.0</v>
      </c>
      <c r="F242" s="10"/>
      <c r="G242" s="2" t="n">
        <f>655169290</f>
        <v>6.5516929E8</v>
      </c>
      <c r="H242" s="10"/>
      <c r="I242" s="2" t="n">
        <f>1</f>
        <v>1.0</v>
      </c>
      <c r="J242" s="10" t="s">
        <v>29</v>
      </c>
      <c r="K242" s="2" t="n">
        <f>65927</f>
        <v>65927.0</v>
      </c>
    </row>
    <row r="243">
      <c r="A243" s="8" t="s">
        <v>47</v>
      </c>
      <c r="B243" s="9" t="s">
        <v>62</v>
      </c>
      <c r="C243" s="9" t="s">
        <v>63</v>
      </c>
      <c r="D243" s="10"/>
      <c r="E243" s="2" t="n">
        <f>228</f>
        <v>228.0</v>
      </c>
      <c r="F243" s="10"/>
      <c r="G243" s="2" t="n">
        <f>441972250</f>
        <v>4.4197225E8</v>
      </c>
      <c r="H243" s="10"/>
      <c r="I243" s="2" t="n">
        <f>2</f>
        <v>2.0</v>
      </c>
      <c r="J243" s="10"/>
      <c r="K243" s="2" t="n">
        <f>65945</f>
        <v>65945.0</v>
      </c>
    </row>
    <row r="244">
      <c r="A244" s="8" t="s">
        <v>48</v>
      </c>
      <c r="B244" s="9" t="s">
        <v>62</v>
      </c>
      <c r="C244" s="9" t="s">
        <v>63</v>
      </c>
      <c r="D244" s="10"/>
      <c r="E244" s="2" t="n">
        <f>2116</f>
        <v>2116.0</v>
      </c>
      <c r="F244" s="10"/>
      <c r="G244" s="2" t="n">
        <f>4125552440</f>
        <v>4.12555244E9</v>
      </c>
      <c r="H244" s="10"/>
      <c r="I244" s="2" t="str">
        <f>"－"</f>
        <v>－</v>
      </c>
      <c r="J244" s="10"/>
      <c r="K244" s="2" t="n">
        <f>66757</f>
        <v>66757.0</v>
      </c>
    </row>
    <row r="245">
      <c r="A245" s="8" t="s">
        <v>49</v>
      </c>
      <c r="B245" s="9" t="s">
        <v>62</v>
      </c>
      <c r="C245" s="9" t="s">
        <v>63</v>
      </c>
      <c r="D245" s="10"/>
      <c r="E245" s="2" t="n">
        <f>347</f>
        <v>347.0</v>
      </c>
      <c r="F245" s="10"/>
      <c r="G245" s="2" t="n">
        <f>675618320</f>
        <v>6.7561832E8</v>
      </c>
      <c r="H245" s="10"/>
      <c r="I245" s="2" t="n">
        <f>15</f>
        <v>15.0</v>
      </c>
      <c r="J245" s="10"/>
      <c r="K245" s="2" t="n">
        <f>66710</f>
        <v>66710.0</v>
      </c>
    </row>
    <row r="246">
      <c r="A246" s="8" t="s">
        <v>16</v>
      </c>
      <c r="B246" s="9" t="s">
        <v>64</v>
      </c>
      <c r="C246" s="9" t="s">
        <v>65</v>
      </c>
      <c r="D246" s="10" t="s">
        <v>66</v>
      </c>
      <c r="E246" s="2" t="str">
        <f>"－"</f>
        <v>－</v>
      </c>
      <c r="F246" s="10" t="s">
        <v>66</v>
      </c>
      <c r="G246" s="2" t="str">
        <f>"－"</f>
        <v>－</v>
      </c>
      <c r="H246" s="10" t="s">
        <v>66</v>
      </c>
      <c r="I246" s="2" t="str">
        <f>"－"</f>
        <v>－</v>
      </c>
      <c r="J246" s="10" t="s">
        <v>66</v>
      </c>
      <c r="K246" s="2" t="str">
        <f>"－"</f>
        <v>－</v>
      </c>
    </row>
    <row r="247">
      <c r="A247" s="8" t="s">
        <v>19</v>
      </c>
      <c r="B247" s="9" t="s">
        <v>64</v>
      </c>
      <c r="C247" s="9" t="s">
        <v>65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20</v>
      </c>
      <c r="B248" s="9" t="s">
        <v>64</v>
      </c>
      <c r="C248" s="9" t="s">
        <v>65</v>
      </c>
      <c r="D248" s="10"/>
      <c r="E248" s="2" t="str">
        <f>"－"</f>
        <v>－</v>
      </c>
      <c r="F248" s="10"/>
      <c r="G248" s="2" t="str">
        <f>"－"</f>
        <v>－</v>
      </c>
      <c r="H248" s="10"/>
      <c r="I248" s="2" t="str">
        <f>"－"</f>
        <v>－</v>
      </c>
      <c r="J248" s="10"/>
      <c r="K248" s="2" t="str">
        <f>"－"</f>
        <v>－</v>
      </c>
    </row>
    <row r="249">
      <c r="A249" s="8" t="s">
        <v>21</v>
      </c>
      <c r="B249" s="9" t="s">
        <v>64</v>
      </c>
      <c r="C249" s="9" t="s">
        <v>65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22</v>
      </c>
      <c r="B250" s="9" t="s">
        <v>64</v>
      </c>
      <c r="C250" s="9" t="s">
        <v>65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23</v>
      </c>
      <c r="B251" s="9" t="s">
        <v>64</v>
      </c>
      <c r="C251" s="9" t="s">
        <v>65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str">
        <f>"－"</f>
        <v>－</v>
      </c>
    </row>
    <row r="252">
      <c r="A252" s="8" t="s">
        <v>24</v>
      </c>
      <c r="B252" s="9" t="s">
        <v>64</v>
      </c>
      <c r="C252" s="9" t="s">
        <v>65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26</v>
      </c>
      <c r="B253" s="9" t="s">
        <v>64</v>
      </c>
      <c r="C253" s="9" t="s">
        <v>65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64</v>
      </c>
      <c r="C254" s="9" t="s">
        <v>65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64</v>
      </c>
      <c r="C255" s="9" t="s">
        <v>65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30</v>
      </c>
      <c r="B256" s="9" t="s">
        <v>64</v>
      </c>
      <c r="C256" s="9" t="s">
        <v>65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31</v>
      </c>
      <c r="B257" s="9" t="s">
        <v>64</v>
      </c>
      <c r="C257" s="9" t="s">
        <v>65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32</v>
      </c>
      <c r="B258" s="9" t="s">
        <v>64</v>
      </c>
      <c r="C258" s="9" t="s">
        <v>65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33</v>
      </c>
      <c r="B259" s="9" t="s">
        <v>64</v>
      </c>
      <c r="C259" s="9" t="s">
        <v>65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64</v>
      </c>
      <c r="C260" s="9" t="s">
        <v>65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64</v>
      </c>
      <c r="C261" s="9" t="s">
        <v>65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36</v>
      </c>
      <c r="B262" s="9" t="s">
        <v>64</v>
      </c>
      <c r="C262" s="9" t="s">
        <v>65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37</v>
      </c>
      <c r="B263" s="9" t="s">
        <v>64</v>
      </c>
      <c r="C263" s="9" t="s">
        <v>65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38</v>
      </c>
      <c r="B264" s="9" t="s">
        <v>64</v>
      </c>
      <c r="C264" s="9" t="s">
        <v>65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64</v>
      </c>
      <c r="C265" s="9" t="s">
        <v>65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40</v>
      </c>
      <c r="B266" s="9" t="s">
        <v>64</v>
      </c>
      <c r="C266" s="9" t="s">
        <v>65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64</v>
      </c>
      <c r="C267" s="9" t="s">
        <v>65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64</v>
      </c>
      <c r="C268" s="9" t="s">
        <v>65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43</v>
      </c>
      <c r="B269" s="9" t="s">
        <v>64</v>
      </c>
      <c r="C269" s="9" t="s">
        <v>65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44</v>
      </c>
      <c r="B270" s="9" t="s">
        <v>64</v>
      </c>
      <c r="C270" s="9" t="s">
        <v>65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45</v>
      </c>
      <c r="B271" s="9" t="s">
        <v>64</v>
      </c>
      <c r="C271" s="9" t="s">
        <v>65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46</v>
      </c>
      <c r="B272" s="9" t="s">
        <v>64</v>
      </c>
      <c r="C272" s="9" t="s">
        <v>65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47</v>
      </c>
      <c r="B273" s="9" t="s">
        <v>64</v>
      </c>
      <c r="C273" s="9" t="s">
        <v>65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64</v>
      </c>
      <c r="C274" s="9" t="s">
        <v>65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64</v>
      </c>
      <c r="C275" s="9" t="s">
        <v>65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11787</f>
        <v>11787.0</v>
      </c>
      <c r="F276" s="10"/>
      <c r="G276" s="2" t="n">
        <f>7992156110</f>
        <v>7.99215611E9</v>
      </c>
      <c r="H276" s="10"/>
      <c r="I276" s="2" t="n">
        <f>381</f>
        <v>381.0</v>
      </c>
      <c r="J276" s="10"/>
      <c r="K276" s="2" t="n">
        <f>42040</f>
        <v>42040.0</v>
      </c>
    </row>
    <row r="277">
      <c r="A277" s="8" t="s">
        <v>19</v>
      </c>
      <c r="B277" s="9" t="s">
        <v>67</v>
      </c>
      <c r="C277" s="9" t="s">
        <v>68</v>
      </c>
      <c r="D277" s="10"/>
      <c r="E277" s="2" t="n">
        <f>10559</f>
        <v>10559.0</v>
      </c>
      <c r="F277" s="10"/>
      <c r="G277" s="2" t="n">
        <f>7021365520</f>
        <v>7.02136552E9</v>
      </c>
      <c r="H277" s="10" t="s">
        <v>29</v>
      </c>
      <c r="I277" s="2" t="n">
        <f>324</f>
        <v>324.0</v>
      </c>
      <c r="J277" s="10"/>
      <c r="K277" s="2" t="n">
        <f>43043</f>
        <v>43043.0</v>
      </c>
    </row>
    <row r="278">
      <c r="A278" s="8" t="s">
        <v>20</v>
      </c>
      <c r="B278" s="9" t="s">
        <v>67</v>
      </c>
      <c r="C278" s="9" t="s">
        <v>68</v>
      </c>
      <c r="D278" s="10"/>
      <c r="E278" s="2" t="n">
        <f>15412</f>
        <v>15412.0</v>
      </c>
      <c r="F278" s="10"/>
      <c r="G278" s="2" t="n">
        <f>10283771660</f>
        <v>1.028377166E10</v>
      </c>
      <c r="H278" s="10"/>
      <c r="I278" s="2" t="n">
        <f>400</f>
        <v>400.0</v>
      </c>
      <c r="J278" s="10"/>
      <c r="K278" s="2" t="n">
        <f>45903</f>
        <v>45903.0</v>
      </c>
    </row>
    <row r="279">
      <c r="A279" s="8" t="s">
        <v>21</v>
      </c>
      <c r="B279" s="9" t="s">
        <v>67</v>
      </c>
      <c r="C279" s="9" t="s">
        <v>68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22</v>
      </c>
      <c r="B280" s="9" t="s">
        <v>67</v>
      </c>
      <c r="C280" s="9" t="s">
        <v>68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23</v>
      </c>
      <c r="B281" s="9" t="s">
        <v>67</v>
      </c>
      <c r="C281" s="9" t="s">
        <v>68</v>
      </c>
      <c r="D281" s="10" t="s">
        <v>25</v>
      </c>
      <c r="E281" s="2" t="n">
        <f>74889</f>
        <v>74889.0</v>
      </c>
      <c r="F281" s="10" t="s">
        <v>25</v>
      </c>
      <c r="G281" s="2" t="n">
        <f>50474027890</f>
        <v>5.047402789E10</v>
      </c>
      <c r="H281" s="10"/>
      <c r="I281" s="2" t="n">
        <f>2067</f>
        <v>2067.0</v>
      </c>
      <c r="J281" s="10" t="s">
        <v>25</v>
      </c>
      <c r="K281" s="2" t="n">
        <f>66248</f>
        <v>66248.0</v>
      </c>
    </row>
    <row r="282">
      <c r="A282" s="8" t="s">
        <v>24</v>
      </c>
      <c r="B282" s="9" t="s">
        <v>67</v>
      </c>
      <c r="C282" s="9" t="s">
        <v>68</v>
      </c>
      <c r="D282" s="10"/>
      <c r="E282" s="2" t="n">
        <f>19408</f>
        <v>19408.0</v>
      </c>
      <c r="F282" s="10"/>
      <c r="G282" s="2" t="n">
        <f>12955291800</f>
        <v>1.29552918E10</v>
      </c>
      <c r="H282" s="10"/>
      <c r="I282" s="2" t="n">
        <f>851</f>
        <v>851.0</v>
      </c>
      <c r="J282" s="10"/>
      <c r="K282" s="2" t="n">
        <f>62810</f>
        <v>62810.0</v>
      </c>
    </row>
    <row r="283">
      <c r="A283" s="8" t="s">
        <v>26</v>
      </c>
      <c r="B283" s="9" t="s">
        <v>67</v>
      </c>
      <c r="C283" s="9" t="s">
        <v>68</v>
      </c>
      <c r="D283" s="10"/>
      <c r="E283" s="2" t="n">
        <f>47023</f>
        <v>47023.0</v>
      </c>
      <c r="F283" s="10"/>
      <c r="G283" s="2" t="n">
        <f>31609409160</f>
        <v>3.160940916E10</v>
      </c>
      <c r="H283" s="10" t="s">
        <v>25</v>
      </c>
      <c r="I283" s="2" t="n">
        <f>12713</f>
        <v>12713.0</v>
      </c>
      <c r="J283" s="10"/>
      <c r="K283" s="2" t="n">
        <f>51106</f>
        <v>51106.0</v>
      </c>
    </row>
    <row r="284">
      <c r="A284" s="8" t="s">
        <v>27</v>
      </c>
      <c r="B284" s="9" t="s">
        <v>67</v>
      </c>
      <c r="C284" s="9" t="s">
        <v>68</v>
      </c>
      <c r="D284" s="10"/>
      <c r="E284" s="2" t="n">
        <f>19306</f>
        <v>19306.0</v>
      </c>
      <c r="F284" s="10"/>
      <c r="G284" s="2" t="n">
        <f>13312345600</f>
        <v>1.33123456E10</v>
      </c>
      <c r="H284" s="10"/>
      <c r="I284" s="2" t="n">
        <f>1049</f>
        <v>1049.0</v>
      </c>
      <c r="J284" s="10"/>
      <c r="K284" s="2" t="n">
        <f>44253</f>
        <v>44253.0</v>
      </c>
    </row>
    <row r="285">
      <c r="A285" s="8" t="s">
        <v>28</v>
      </c>
      <c r="B285" s="9" t="s">
        <v>67</v>
      </c>
      <c r="C285" s="9" t="s">
        <v>68</v>
      </c>
      <c r="D285" s="10"/>
      <c r="E285" s="2" t="n">
        <f>9474</f>
        <v>9474.0</v>
      </c>
      <c r="F285" s="10"/>
      <c r="G285" s="2" t="n">
        <f>6478576156</f>
        <v>6.478576156E9</v>
      </c>
      <c r="H285" s="10"/>
      <c r="I285" s="2" t="n">
        <f>448</f>
        <v>448.0</v>
      </c>
      <c r="J285" s="10"/>
      <c r="K285" s="2" t="n">
        <f>45216</f>
        <v>45216.0</v>
      </c>
    </row>
    <row r="286">
      <c r="A286" s="8" t="s">
        <v>30</v>
      </c>
      <c r="B286" s="9" t="s">
        <v>67</v>
      </c>
      <c r="C286" s="9" t="s">
        <v>68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31</v>
      </c>
      <c r="B287" s="9" t="s">
        <v>67</v>
      </c>
      <c r="C287" s="9" t="s">
        <v>68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32</v>
      </c>
      <c r="B288" s="9" t="s">
        <v>67</v>
      </c>
      <c r="C288" s="9" t="s">
        <v>68</v>
      </c>
      <c r="D288" s="10"/>
      <c r="E288" s="2" t="n">
        <f>10463</f>
        <v>10463.0</v>
      </c>
      <c r="F288" s="10"/>
      <c r="G288" s="2" t="n">
        <f>6903666760</f>
        <v>6.90366676E9</v>
      </c>
      <c r="H288" s="10"/>
      <c r="I288" s="2" t="n">
        <f>532</f>
        <v>532.0</v>
      </c>
      <c r="J288" s="10"/>
      <c r="K288" s="2" t="n">
        <f>38305</f>
        <v>38305.0</v>
      </c>
    </row>
    <row r="289">
      <c r="A289" s="8" t="s">
        <v>33</v>
      </c>
      <c r="B289" s="9" t="s">
        <v>67</v>
      </c>
      <c r="C289" s="9" t="s">
        <v>68</v>
      </c>
      <c r="D289" s="10"/>
      <c r="E289" s="2" t="n">
        <f>13759</f>
        <v>13759.0</v>
      </c>
      <c r="F289" s="10"/>
      <c r="G289" s="2" t="n">
        <f>8812816088</f>
        <v>8.812816088E9</v>
      </c>
      <c r="H289" s="10"/>
      <c r="I289" s="2" t="n">
        <f>475</f>
        <v>475.0</v>
      </c>
      <c r="J289" s="10" t="s">
        <v>29</v>
      </c>
      <c r="K289" s="2" t="n">
        <f>37851</f>
        <v>37851.0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11967</f>
        <v>11967.0</v>
      </c>
      <c r="F290" s="10"/>
      <c r="G290" s="2" t="n">
        <f>7697862460</f>
        <v>7.69786246E9</v>
      </c>
      <c r="H290" s="10"/>
      <c r="I290" s="2" t="n">
        <f>385</f>
        <v>385.0</v>
      </c>
      <c r="J290" s="10"/>
      <c r="K290" s="2" t="n">
        <f>37962</f>
        <v>37962.0</v>
      </c>
    </row>
    <row r="291">
      <c r="A291" s="8" t="s">
        <v>35</v>
      </c>
      <c r="B291" s="9" t="s">
        <v>67</v>
      </c>
      <c r="C291" s="9" t="s">
        <v>68</v>
      </c>
      <c r="D291" s="10"/>
      <c r="E291" s="2" t="n">
        <f>11943</f>
        <v>11943.0</v>
      </c>
      <c r="F291" s="10"/>
      <c r="G291" s="2" t="n">
        <f>7672706200</f>
        <v>7.6727062E9</v>
      </c>
      <c r="H291" s="10"/>
      <c r="I291" s="2" t="n">
        <f>628</f>
        <v>628.0</v>
      </c>
      <c r="J291" s="10"/>
      <c r="K291" s="2" t="n">
        <f>38283</f>
        <v>38283.0</v>
      </c>
    </row>
    <row r="292">
      <c r="A292" s="8" t="s">
        <v>36</v>
      </c>
      <c r="B292" s="9" t="s">
        <v>67</v>
      </c>
      <c r="C292" s="9" t="s">
        <v>68</v>
      </c>
      <c r="D292" s="10"/>
      <c r="E292" s="2" t="n">
        <f>15824</f>
        <v>15824.0</v>
      </c>
      <c r="F292" s="10"/>
      <c r="G292" s="2" t="n">
        <f>9715316980</f>
        <v>9.71531698E9</v>
      </c>
      <c r="H292" s="10"/>
      <c r="I292" s="2" t="n">
        <f>1812</f>
        <v>1812.0</v>
      </c>
      <c r="J292" s="10"/>
      <c r="K292" s="2" t="n">
        <f>38010</f>
        <v>38010.0</v>
      </c>
    </row>
    <row r="293">
      <c r="A293" s="8" t="s">
        <v>37</v>
      </c>
      <c r="B293" s="9" t="s">
        <v>67</v>
      </c>
      <c r="C293" s="9" t="s">
        <v>68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 t="n">
        <f>10620</f>
        <v>10620.0</v>
      </c>
      <c r="F295" s="10"/>
      <c r="G295" s="2" t="n">
        <f>6516150920</f>
        <v>6.51615092E9</v>
      </c>
      <c r="H295" s="10"/>
      <c r="I295" s="2" t="n">
        <f>547</f>
        <v>547.0</v>
      </c>
      <c r="J295" s="10"/>
      <c r="K295" s="2" t="n">
        <f>37899</f>
        <v>37899.0</v>
      </c>
    </row>
    <row r="296">
      <c r="A296" s="8" t="s">
        <v>40</v>
      </c>
      <c r="B296" s="9" t="s">
        <v>67</v>
      </c>
      <c r="C296" s="9" t="s">
        <v>68</v>
      </c>
      <c r="D296" s="10" t="s">
        <v>29</v>
      </c>
      <c r="E296" s="2" t="n">
        <f>8720</f>
        <v>8720.0</v>
      </c>
      <c r="F296" s="10" t="s">
        <v>29</v>
      </c>
      <c r="G296" s="2" t="n">
        <f>5465659680</f>
        <v>5.46565968E9</v>
      </c>
      <c r="H296" s="10"/>
      <c r="I296" s="2" t="n">
        <f>414</f>
        <v>414.0</v>
      </c>
      <c r="J296" s="10"/>
      <c r="K296" s="2" t="n">
        <f>38646</f>
        <v>38646.0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9016</f>
        <v>9016.0</v>
      </c>
      <c r="F297" s="10"/>
      <c r="G297" s="2" t="n">
        <f>5685183500</f>
        <v>5.6851835E9</v>
      </c>
      <c r="H297" s="10"/>
      <c r="I297" s="2" t="n">
        <f>672</f>
        <v>672.0</v>
      </c>
      <c r="J297" s="10"/>
      <c r="K297" s="2" t="n">
        <f>38809</f>
        <v>38809.0</v>
      </c>
    </row>
    <row r="298">
      <c r="A298" s="8" t="s">
        <v>42</v>
      </c>
      <c r="B298" s="9" t="s">
        <v>67</v>
      </c>
      <c r="C298" s="9" t="s">
        <v>68</v>
      </c>
      <c r="D298" s="10"/>
      <c r="E298" s="2" t="n">
        <f>9701</f>
        <v>9701.0</v>
      </c>
      <c r="F298" s="10"/>
      <c r="G298" s="2" t="n">
        <f>6094067450</f>
        <v>6.09406745E9</v>
      </c>
      <c r="H298" s="10"/>
      <c r="I298" s="2" t="n">
        <f>473</f>
        <v>473.0</v>
      </c>
      <c r="J298" s="10"/>
      <c r="K298" s="2" t="n">
        <f>38657</f>
        <v>38657.0</v>
      </c>
    </row>
    <row r="299">
      <c r="A299" s="8" t="s">
        <v>43</v>
      </c>
      <c r="B299" s="9" t="s">
        <v>67</v>
      </c>
      <c r="C299" s="9" t="s">
        <v>68</v>
      </c>
      <c r="D299" s="10"/>
      <c r="E299" s="2" t="n">
        <f>17653</f>
        <v>17653.0</v>
      </c>
      <c r="F299" s="10"/>
      <c r="G299" s="2" t="n">
        <f>11541379512</f>
        <v>1.1541379512E10</v>
      </c>
      <c r="H299" s="10"/>
      <c r="I299" s="2" t="n">
        <f>1606</f>
        <v>1606.0</v>
      </c>
      <c r="J299" s="10"/>
      <c r="K299" s="2" t="n">
        <f>40875</f>
        <v>40875.0</v>
      </c>
    </row>
    <row r="300">
      <c r="A300" s="8" t="s">
        <v>44</v>
      </c>
      <c r="B300" s="9" t="s">
        <v>67</v>
      </c>
      <c r="C300" s="9" t="s">
        <v>68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45</v>
      </c>
      <c r="B301" s="9" t="s">
        <v>67</v>
      </c>
      <c r="C301" s="9" t="s">
        <v>68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46</v>
      </c>
      <c r="B302" s="9" t="s">
        <v>67</v>
      </c>
      <c r="C302" s="9" t="s">
        <v>68</v>
      </c>
      <c r="D302" s="10"/>
      <c r="E302" s="2" t="n">
        <f>12802</f>
        <v>12802.0</v>
      </c>
      <c r="F302" s="10"/>
      <c r="G302" s="2" t="n">
        <f>8527691060</f>
        <v>8.52769106E9</v>
      </c>
      <c r="H302" s="10"/>
      <c r="I302" s="2" t="n">
        <f>1498</f>
        <v>1498.0</v>
      </c>
      <c r="J302" s="10"/>
      <c r="K302" s="2" t="n">
        <f>40828</f>
        <v>40828.0</v>
      </c>
    </row>
    <row r="303">
      <c r="A303" s="8" t="s">
        <v>47</v>
      </c>
      <c r="B303" s="9" t="s">
        <v>67</v>
      </c>
      <c r="C303" s="9" t="s">
        <v>68</v>
      </c>
      <c r="D303" s="10"/>
      <c r="E303" s="2" t="n">
        <f>10653</f>
        <v>10653.0</v>
      </c>
      <c r="F303" s="10"/>
      <c r="G303" s="2" t="n">
        <f>7083222340</f>
        <v>7.08322234E9</v>
      </c>
      <c r="H303" s="10"/>
      <c r="I303" s="2" t="n">
        <f>425</f>
        <v>425.0</v>
      </c>
      <c r="J303" s="10"/>
      <c r="K303" s="2" t="n">
        <f>41627</f>
        <v>41627.0</v>
      </c>
    </row>
    <row r="304">
      <c r="A304" s="8" t="s">
        <v>48</v>
      </c>
      <c r="B304" s="9" t="s">
        <v>67</v>
      </c>
      <c r="C304" s="9" t="s">
        <v>68</v>
      </c>
      <c r="D304" s="10"/>
      <c r="E304" s="2" t="n">
        <f>9397</f>
        <v>9397.0</v>
      </c>
      <c r="F304" s="10"/>
      <c r="G304" s="2" t="n">
        <f>6210905240</f>
        <v>6.21090524E9</v>
      </c>
      <c r="H304" s="10"/>
      <c r="I304" s="2" t="n">
        <f>431</f>
        <v>431.0</v>
      </c>
      <c r="J304" s="10"/>
      <c r="K304" s="2" t="n">
        <f>40810</f>
        <v>40810.0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9565</f>
        <v>9565.0</v>
      </c>
      <c r="F305" s="10"/>
      <c r="G305" s="2" t="n">
        <f>6299339360</f>
        <v>6.29933936E9</v>
      </c>
      <c r="H305" s="10"/>
      <c r="I305" s="2" t="n">
        <f>420</f>
        <v>420.0</v>
      </c>
      <c r="J305" s="10"/>
      <c r="K305" s="2" t="n">
        <f>39994</f>
        <v>39994.0</v>
      </c>
    </row>
    <row r="306">
      <c r="A306" s="8" t="s">
        <v>16</v>
      </c>
      <c r="B306" s="9" t="s">
        <v>69</v>
      </c>
      <c r="C306" s="9" t="s">
        <v>70</v>
      </c>
      <c r="D306" s="10"/>
      <c r="E306" s="2" t="n">
        <f>9693</f>
        <v>9693.0</v>
      </c>
      <c r="F306" s="10"/>
      <c r="G306" s="2" t="n">
        <f>32013092000</f>
        <v>3.2013092E10</v>
      </c>
      <c r="H306" s="10"/>
      <c r="I306" s="2" t="n">
        <f>3446</f>
        <v>3446.0</v>
      </c>
      <c r="J306" s="10"/>
      <c r="K306" s="2" t="n">
        <f>5344</f>
        <v>5344.0</v>
      </c>
    </row>
    <row r="307">
      <c r="A307" s="8" t="s">
        <v>19</v>
      </c>
      <c r="B307" s="9" t="s">
        <v>69</v>
      </c>
      <c r="C307" s="9" t="s">
        <v>70</v>
      </c>
      <c r="D307" s="10"/>
      <c r="E307" s="2" t="n">
        <f>3760</f>
        <v>3760.0</v>
      </c>
      <c r="F307" s="10"/>
      <c r="G307" s="2" t="n">
        <f>12329429600</f>
        <v>1.23294296E10</v>
      </c>
      <c r="H307" s="10"/>
      <c r="I307" s="2" t="n">
        <f>818</f>
        <v>818.0</v>
      </c>
      <c r="J307" s="10"/>
      <c r="K307" s="2" t="n">
        <f>5032</f>
        <v>5032.0</v>
      </c>
    </row>
    <row r="308">
      <c r="A308" s="8" t="s">
        <v>20</v>
      </c>
      <c r="B308" s="9" t="s">
        <v>69</v>
      </c>
      <c r="C308" s="9" t="s">
        <v>70</v>
      </c>
      <c r="D308" s="10"/>
      <c r="E308" s="2" t="n">
        <f>1756</f>
        <v>1756.0</v>
      </c>
      <c r="F308" s="10"/>
      <c r="G308" s="2" t="n">
        <f>5772785800</f>
        <v>5.7727858E9</v>
      </c>
      <c r="H308" s="10"/>
      <c r="I308" s="2" t="n">
        <f>475</f>
        <v>475.0</v>
      </c>
      <c r="J308" s="10"/>
      <c r="K308" s="2" t="n">
        <f>5315</f>
        <v>5315.0</v>
      </c>
    </row>
    <row r="309">
      <c r="A309" s="8" t="s">
        <v>21</v>
      </c>
      <c r="B309" s="9" t="s">
        <v>69</v>
      </c>
      <c r="C309" s="9" t="s">
        <v>70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22</v>
      </c>
      <c r="B310" s="9" t="s">
        <v>69</v>
      </c>
      <c r="C310" s="9" t="s">
        <v>70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23</v>
      </c>
      <c r="B311" s="9" t="s">
        <v>69</v>
      </c>
      <c r="C311" s="9" t="s">
        <v>70</v>
      </c>
      <c r="D311" s="10"/>
      <c r="E311" s="2" t="n">
        <f>4238</f>
        <v>4238.0</v>
      </c>
      <c r="F311" s="10"/>
      <c r="G311" s="2" t="n">
        <f>13987069000</f>
        <v>1.3987069E10</v>
      </c>
      <c r="H311" s="10"/>
      <c r="I311" s="2" t="n">
        <f>1352</f>
        <v>1352.0</v>
      </c>
      <c r="J311" s="10"/>
      <c r="K311" s="2" t="n">
        <f>5266</f>
        <v>5266.0</v>
      </c>
    </row>
    <row r="312">
      <c r="A312" s="8" t="s">
        <v>24</v>
      </c>
      <c r="B312" s="9" t="s">
        <v>69</v>
      </c>
      <c r="C312" s="9" t="s">
        <v>70</v>
      </c>
      <c r="D312" s="10"/>
      <c r="E312" s="2" t="n">
        <f>5208</f>
        <v>5208.0</v>
      </c>
      <c r="F312" s="10"/>
      <c r="G312" s="2" t="n">
        <f>17156145200</f>
        <v>1.71561452E10</v>
      </c>
      <c r="H312" s="10"/>
      <c r="I312" s="2" t="n">
        <f>1084</f>
        <v>1084.0</v>
      </c>
      <c r="J312" s="10"/>
      <c r="K312" s="2" t="n">
        <f>6204</f>
        <v>6204.0</v>
      </c>
    </row>
    <row r="313">
      <c r="A313" s="8" t="s">
        <v>26</v>
      </c>
      <c r="B313" s="9" t="s">
        <v>69</v>
      </c>
      <c r="C313" s="9" t="s">
        <v>70</v>
      </c>
      <c r="D313" s="10"/>
      <c r="E313" s="2" t="n">
        <f>4159</f>
        <v>4159.0</v>
      </c>
      <c r="F313" s="10"/>
      <c r="G313" s="2" t="n">
        <f>13661442300</f>
        <v>1.36614423E10</v>
      </c>
      <c r="H313" s="10"/>
      <c r="I313" s="2" t="n">
        <f>864</f>
        <v>864.0</v>
      </c>
      <c r="J313" s="10"/>
      <c r="K313" s="2" t="n">
        <f>5266</f>
        <v>5266.0</v>
      </c>
    </row>
    <row r="314">
      <c r="A314" s="8" t="s">
        <v>27</v>
      </c>
      <c r="B314" s="9" t="s">
        <v>69</v>
      </c>
      <c r="C314" s="9" t="s">
        <v>70</v>
      </c>
      <c r="D314" s="10" t="s">
        <v>25</v>
      </c>
      <c r="E314" s="2" t="n">
        <f>15804</f>
        <v>15804.0</v>
      </c>
      <c r="F314" s="10" t="s">
        <v>25</v>
      </c>
      <c r="G314" s="2" t="n">
        <f>52055481000</f>
        <v>5.2055481E10</v>
      </c>
      <c r="H314" s="10" t="s">
        <v>25</v>
      </c>
      <c r="I314" s="2" t="n">
        <f>3775</f>
        <v>3775.0</v>
      </c>
      <c r="J314" s="10"/>
      <c r="K314" s="2" t="n">
        <f>5604</f>
        <v>5604.0</v>
      </c>
    </row>
    <row r="315">
      <c r="A315" s="8" t="s">
        <v>28</v>
      </c>
      <c r="B315" s="9" t="s">
        <v>69</v>
      </c>
      <c r="C315" s="9" t="s">
        <v>70</v>
      </c>
      <c r="D315" s="10"/>
      <c r="E315" s="2" t="n">
        <f>8120</f>
        <v>8120.0</v>
      </c>
      <c r="F315" s="10"/>
      <c r="G315" s="2" t="n">
        <f>26624614900</f>
        <v>2.66246149E10</v>
      </c>
      <c r="H315" s="10"/>
      <c r="I315" s="2" t="n">
        <f>1698</f>
        <v>1698.0</v>
      </c>
      <c r="J315" s="10"/>
      <c r="K315" s="2" t="n">
        <f>7331</f>
        <v>7331.0</v>
      </c>
    </row>
    <row r="316">
      <c r="A316" s="8" t="s">
        <v>30</v>
      </c>
      <c r="B316" s="9" t="s">
        <v>69</v>
      </c>
      <c r="C316" s="9" t="s">
        <v>70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31</v>
      </c>
      <c r="B317" s="9" t="s">
        <v>69</v>
      </c>
      <c r="C317" s="9" t="s">
        <v>70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32</v>
      </c>
      <c r="B318" s="9" t="s">
        <v>69</v>
      </c>
      <c r="C318" s="9" t="s">
        <v>70</v>
      </c>
      <c r="D318" s="10"/>
      <c r="E318" s="2" t="n">
        <f>5042</f>
        <v>5042.0</v>
      </c>
      <c r="F318" s="10"/>
      <c r="G318" s="2" t="n">
        <f>15883159500</f>
        <v>1.58831595E10</v>
      </c>
      <c r="H318" s="10"/>
      <c r="I318" s="2" t="n">
        <f>1323</f>
        <v>1323.0</v>
      </c>
      <c r="J318" s="10"/>
      <c r="K318" s="2" t="n">
        <f>6959</f>
        <v>6959.0</v>
      </c>
    </row>
    <row r="319">
      <c r="A319" s="8" t="s">
        <v>33</v>
      </c>
      <c r="B319" s="9" t="s">
        <v>69</v>
      </c>
      <c r="C319" s="9" t="s">
        <v>70</v>
      </c>
      <c r="D319" s="10"/>
      <c r="E319" s="2" t="n">
        <f>5861</f>
        <v>5861.0</v>
      </c>
      <c r="F319" s="10"/>
      <c r="G319" s="2" t="n">
        <f>18001132000</f>
        <v>1.8001132E10</v>
      </c>
      <c r="H319" s="10"/>
      <c r="I319" s="2" t="n">
        <f>1434</f>
        <v>1434.0</v>
      </c>
      <c r="J319" s="10"/>
      <c r="K319" s="2" t="n">
        <f>7370</f>
        <v>7370.0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4264</f>
        <v>4264.0</v>
      </c>
      <c r="F320" s="10"/>
      <c r="G320" s="2" t="n">
        <f>13008659300</f>
        <v>1.30086593E10</v>
      </c>
      <c r="H320" s="10"/>
      <c r="I320" s="2" t="n">
        <f>986</f>
        <v>986.0</v>
      </c>
      <c r="J320" s="10"/>
      <c r="K320" s="2" t="n">
        <f>7019</f>
        <v>7019.0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2805</f>
        <v>2805.0</v>
      </c>
      <c r="F321" s="10"/>
      <c r="G321" s="2" t="n">
        <f>8594779500</f>
        <v>8.5947795E9</v>
      </c>
      <c r="H321" s="10"/>
      <c r="I321" s="2" t="n">
        <f>639</f>
        <v>639.0</v>
      </c>
      <c r="J321" s="10"/>
      <c r="K321" s="2" t="n">
        <f>7052</f>
        <v>7052.0</v>
      </c>
    </row>
    <row r="322">
      <c r="A322" s="8" t="s">
        <v>36</v>
      </c>
      <c r="B322" s="9" t="s">
        <v>69</v>
      </c>
      <c r="C322" s="9" t="s">
        <v>70</v>
      </c>
      <c r="D322" s="10"/>
      <c r="E322" s="2" t="n">
        <f>3297</f>
        <v>3297.0</v>
      </c>
      <c r="F322" s="10"/>
      <c r="G322" s="2" t="n">
        <f>9895079000</f>
        <v>9.895079E9</v>
      </c>
      <c r="H322" s="10"/>
      <c r="I322" s="2" t="n">
        <f>907</f>
        <v>907.0</v>
      </c>
      <c r="J322" s="10"/>
      <c r="K322" s="2" t="n">
        <f>7067</f>
        <v>7067.0</v>
      </c>
    </row>
    <row r="323">
      <c r="A323" s="8" t="s">
        <v>37</v>
      </c>
      <c r="B323" s="9" t="s">
        <v>69</v>
      </c>
      <c r="C323" s="9" t="s">
        <v>70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 t="n">
        <f>4059</f>
        <v>4059.0</v>
      </c>
      <c r="F325" s="10"/>
      <c r="G325" s="2" t="n">
        <f>12119973600</f>
        <v>1.21199736E10</v>
      </c>
      <c r="H325" s="10" t="s">
        <v>29</v>
      </c>
      <c r="I325" s="2" t="str">
        <f>"－"</f>
        <v>－</v>
      </c>
      <c r="J325" s="10" t="s">
        <v>25</v>
      </c>
      <c r="K325" s="2" t="n">
        <f>9830</f>
        <v>9830.0</v>
      </c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3071</f>
        <v>3071.0</v>
      </c>
      <c r="F326" s="10"/>
      <c r="G326" s="2" t="n">
        <f>9226963300</f>
        <v>9.2269633E9</v>
      </c>
      <c r="H326" s="10"/>
      <c r="I326" s="2" t="n">
        <f>293</f>
        <v>293.0</v>
      </c>
      <c r="J326" s="10" t="s">
        <v>29</v>
      </c>
      <c r="K326" s="2" t="n">
        <f>4737</f>
        <v>4737.0</v>
      </c>
    </row>
    <row r="327">
      <c r="A327" s="8" t="s">
        <v>41</v>
      </c>
      <c r="B327" s="9" t="s">
        <v>69</v>
      </c>
      <c r="C327" s="9" t="s">
        <v>70</v>
      </c>
      <c r="D327" s="10"/>
      <c r="E327" s="2" t="n">
        <f>1598</f>
        <v>1598.0</v>
      </c>
      <c r="F327" s="10"/>
      <c r="G327" s="2" t="n">
        <f>4846270800</f>
        <v>4.8462708E9</v>
      </c>
      <c r="H327" s="10"/>
      <c r="I327" s="2" t="n">
        <f>576</f>
        <v>576.0</v>
      </c>
      <c r="J327" s="10"/>
      <c r="K327" s="2" t="n">
        <f>5155</f>
        <v>5155.0</v>
      </c>
    </row>
    <row r="328">
      <c r="A328" s="8" t="s">
        <v>42</v>
      </c>
      <c r="B328" s="9" t="s">
        <v>69</v>
      </c>
      <c r="C328" s="9" t="s">
        <v>70</v>
      </c>
      <c r="D328" s="10"/>
      <c r="E328" s="2" t="n">
        <f>3929</f>
        <v>3929.0</v>
      </c>
      <c r="F328" s="10"/>
      <c r="G328" s="2" t="n">
        <f>11918725800</f>
        <v>1.19187258E10</v>
      </c>
      <c r="H328" s="10"/>
      <c r="I328" s="2" t="n">
        <f>1821</f>
        <v>1821.0</v>
      </c>
      <c r="J328" s="10"/>
      <c r="K328" s="2" t="n">
        <f>6007</f>
        <v>6007.0</v>
      </c>
    </row>
    <row r="329">
      <c r="A329" s="8" t="s">
        <v>43</v>
      </c>
      <c r="B329" s="9" t="s">
        <v>69</v>
      </c>
      <c r="C329" s="9" t="s">
        <v>70</v>
      </c>
      <c r="D329" s="10"/>
      <c r="E329" s="2" t="n">
        <f>1434</f>
        <v>1434.0</v>
      </c>
      <c r="F329" s="10"/>
      <c r="G329" s="2" t="n">
        <f>4370106600</f>
        <v>4.3701066E9</v>
      </c>
      <c r="H329" s="10"/>
      <c r="I329" s="2" t="n">
        <f>540</f>
        <v>540.0</v>
      </c>
      <c r="J329" s="10"/>
      <c r="K329" s="2" t="n">
        <f>6168</f>
        <v>6168.0</v>
      </c>
    </row>
    <row r="330">
      <c r="A330" s="8" t="s">
        <v>44</v>
      </c>
      <c r="B330" s="9" t="s">
        <v>69</v>
      </c>
      <c r="C330" s="9" t="s">
        <v>70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45</v>
      </c>
      <c r="B331" s="9" t="s">
        <v>69</v>
      </c>
      <c r="C331" s="9" t="s">
        <v>70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46</v>
      </c>
      <c r="B332" s="9" t="s">
        <v>69</v>
      </c>
      <c r="C332" s="9" t="s">
        <v>70</v>
      </c>
      <c r="D332" s="10"/>
      <c r="E332" s="2" t="n">
        <f>2056</f>
        <v>2056.0</v>
      </c>
      <c r="F332" s="10"/>
      <c r="G332" s="2" t="n">
        <f>6394756400</f>
        <v>6.3947564E9</v>
      </c>
      <c r="H332" s="10"/>
      <c r="I332" s="2" t="n">
        <f>450</f>
        <v>450.0</v>
      </c>
      <c r="J332" s="10"/>
      <c r="K332" s="2" t="n">
        <f>6760</f>
        <v>6760.0</v>
      </c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2263</f>
        <v>2263.0</v>
      </c>
      <c r="F333" s="10"/>
      <c r="G333" s="2" t="n">
        <f>7114064400</f>
        <v>7.1140644E9</v>
      </c>
      <c r="H333" s="10"/>
      <c r="I333" s="2" t="n">
        <f>561</f>
        <v>561.0</v>
      </c>
      <c r="J333" s="10"/>
      <c r="K333" s="2" t="n">
        <f>7001</f>
        <v>7001.0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5867</f>
        <v>5867.0</v>
      </c>
      <c r="F334" s="10"/>
      <c r="G334" s="2" t="n">
        <f>18239052700</f>
        <v>1.82390527E10</v>
      </c>
      <c r="H334" s="10"/>
      <c r="I334" s="2" t="n">
        <f>2105</f>
        <v>2105.0</v>
      </c>
      <c r="J334" s="10"/>
      <c r="K334" s="2" t="n">
        <f>7181</f>
        <v>7181.0</v>
      </c>
    </row>
    <row r="335">
      <c r="A335" s="8" t="s">
        <v>49</v>
      </c>
      <c r="B335" s="9" t="s">
        <v>69</v>
      </c>
      <c r="C335" s="9" t="s">
        <v>70</v>
      </c>
      <c r="D335" s="10" t="s">
        <v>29</v>
      </c>
      <c r="E335" s="2" t="n">
        <f>1320</f>
        <v>1320.0</v>
      </c>
      <c r="F335" s="10" t="s">
        <v>29</v>
      </c>
      <c r="G335" s="2" t="n">
        <f>4082935200</f>
        <v>4.0829352E9</v>
      </c>
      <c r="H335" s="10"/>
      <c r="I335" s="2" t="n">
        <f>171</f>
        <v>171.0</v>
      </c>
      <c r="J335" s="10"/>
      <c r="K335" s="2" t="n">
        <f>7215</f>
        <v>7215.0</v>
      </c>
    </row>
    <row r="336">
      <c r="A336" s="8" t="s">
        <v>16</v>
      </c>
      <c r="B336" s="9" t="s">
        <v>71</v>
      </c>
      <c r="C336" s="9" t="s">
        <v>72</v>
      </c>
      <c r="D336" s="10" t="s">
        <v>66</v>
      </c>
      <c r="E336" s="2" t="str">
        <f>"－"</f>
        <v>－</v>
      </c>
      <c r="F336" s="10" t="s">
        <v>66</v>
      </c>
      <c r="G336" s="2" t="str">
        <f>"－"</f>
        <v>－</v>
      </c>
      <c r="H336" s="10" t="s">
        <v>66</v>
      </c>
      <c r="I336" s="2" t="str">
        <f>"－"</f>
        <v>－</v>
      </c>
      <c r="J336" s="10" t="s">
        <v>66</v>
      </c>
      <c r="K336" s="2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20</v>
      </c>
      <c r="B338" s="9" t="s">
        <v>71</v>
      </c>
      <c r="C338" s="9" t="s">
        <v>72</v>
      </c>
      <c r="D338" s="10"/>
      <c r="E338" s="2" t="str">
        <f>"－"</f>
        <v>－</v>
      </c>
      <c r="F338" s="10"/>
      <c r="G338" s="2" t="str">
        <f>"－"</f>
        <v>－</v>
      </c>
      <c r="H338" s="10"/>
      <c r="I338" s="2" t="str">
        <f>"－"</f>
        <v>－</v>
      </c>
      <c r="J338" s="10"/>
      <c r="K338" s="2" t="str">
        <f>"－"</f>
        <v>－</v>
      </c>
    </row>
    <row r="339">
      <c r="A339" s="8" t="s">
        <v>21</v>
      </c>
      <c r="B339" s="9" t="s">
        <v>71</v>
      </c>
      <c r="C339" s="9" t="s">
        <v>72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22</v>
      </c>
      <c r="B340" s="9" t="s">
        <v>71</v>
      </c>
      <c r="C340" s="9" t="s">
        <v>72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23</v>
      </c>
      <c r="B341" s="9" t="s">
        <v>71</v>
      </c>
      <c r="C341" s="9" t="s">
        <v>72</v>
      </c>
      <c r="D341" s="10"/>
      <c r="E341" s="2" t="str">
        <f>"－"</f>
        <v>－</v>
      </c>
      <c r="F341" s="10"/>
      <c r="G341" s="2" t="str">
        <f>"－"</f>
        <v>－</v>
      </c>
      <c r="H341" s="10"/>
      <c r="I341" s="2" t="str">
        <f>"－"</f>
        <v>－</v>
      </c>
      <c r="J341" s="10"/>
      <c r="K341" s="2" t="str">
        <f>"－"</f>
        <v>－</v>
      </c>
    </row>
    <row r="342">
      <c r="A342" s="8" t="s">
        <v>24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26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30</v>
      </c>
      <c r="B346" s="9" t="s">
        <v>71</v>
      </c>
      <c r="C346" s="9" t="s">
        <v>72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31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32</v>
      </c>
      <c r="B348" s="9" t="s">
        <v>71</v>
      </c>
      <c r="C348" s="9" t="s">
        <v>72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33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37</v>
      </c>
      <c r="B353" s="9" t="s">
        <v>71</v>
      </c>
      <c r="C353" s="9" t="s">
        <v>72</v>
      </c>
      <c r="D353" s="10"/>
      <c r="E353" s="2"/>
      <c r="F353" s="10"/>
      <c r="G353" s="2"/>
      <c r="H353" s="10"/>
      <c r="I353" s="2"/>
      <c r="J353" s="10"/>
      <c r="K353" s="2"/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43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44</v>
      </c>
      <c r="B360" s="9" t="s">
        <v>71</v>
      </c>
      <c r="C360" s="9" t="s">
        <v>72</v>
      </c>
      <c r="D360" s="10"/>
      <c r="E360" s="2"/>
      <c r="F360" s="10"/>
      <c r="G360" s="2"/>
      <c r="H360" s="10"/>
      <c r="I360" s="2"/>
      <c r="J360" s="10"/>
      <c r="K360" s="2"/>
    </row>
    <row r="361">
      <c r="A361" s="8" t="s">
        <v>45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46</v>
      </c>
      <c r="B362" s="9" t="s">
        <v>71</v>
      </c>
      <c r="C362" s="9" t="s">
        <v>72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66</v>
      </c>
      <c r="E366" s="2" t="str">
        <f>"－"</f>
        <v>－</v>
      </c>
      <c r="F366" s="10" t="s">
        <v>66</v>
      </c>
      <c r="G366" s="2" t="str">
        <f>"－"</f>
        <v>－</v>
      </c>
      <c r="H366" s="10" t="s">
        <v>66</v>
      </c>
      <c r="I366" s="2" t="str">
        <f>"－"</f>
        <v>－</v>
      </c>
      <c r="J366" s="10" t="s">
        <v>66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20</v>
      </c>
      <c r="B368" s="9" t="s">
        <v>73</v>
      </c>
      <c r="C368" s="9" t="s">
        <v>74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21</v>
      </c>
      <c r="B369" s="9" t="s">
        <v>73</v>
      </c>
      <c r="C369" s="9" t="s">
        <v>74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22</v>
      </c>
      <c r="B370" s="9" t="s">
        <v>73</v>
      </c>
      <c r="C370" s="9" t="s">
        <v>74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23</v>
      </c>
      <c r="B371" s="9" t="s">
        <v>73</v>
      </c>
      <c r="C371" s="9" t="s">
        <v>74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24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30</v>
      </c>
      <c r="B376" s="9" t="s">
        <v>73</v>
      </c>
      <c r="C376" s="9" t="s">
        <v>74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31</v>
      </c>
      <c r="B377" s="9" t="s">
        <v>73</v>
      </c>
      <c r="C377" s="9" t="s">
        <v>74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32</v>
      </c>
      <c r="B378" s="9" t="s">
        <v>73</v>
      </c>
      <c r="C378" s="9" t="s">
        <v>74</v>
      </c>
      <c r="D378" s="10"/>
      <c r="E378" s="2" t="str">
        <f>"－"</f>
        <v>－</v>
      </c>
      <c r="F378" s="10"/>
      <c r="G378" s="2" t="str">
        <f>"－"</f>
        <v>－</v>
      </c>
      <c r="H378" s="10"/>
      <c r="I378" s="2" t="str">
        <f>"－"</f>
        <v>－</v>
      </c>
      <c r="J378" s="10"/>
      <c r="K378" s="2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43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45</v>
      </c>
      <c r="B391" s="9" t="s">
        <v>73</v>
      </c>
      <c r="C391" s="9" t="s">
        <v>74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46</v>
      </c>
      <c r="B392" s="9" t="s">
        <v>73</v>
      </c>
      <c r="C392" s="9" t="s">
        <v>74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29</v>
      </c>
      <c r="E396" s="2" t="str">
        <f>"－"</f>
        <v>－</v>
      </c>
      <c r="F396" s="10" t="s">
        <v>29</v>
      </c>
      <c r="G396" s="2" t="str">
        <f>"－"</f>
        <v>－</v>
      </c>
      <c r="H396" s="10" t="s">
        <v>66</v>
      </c>
      <c r="I396" s="2" t="str">
        <f>"－"</f>
        <v>－</v>
      </c>
      <c r="J396" s="10" t="s">
        <v>29</v>
      </c>
      <c r="K396" s="2" t="n">
        <f>7014</f>
        <v>7014.0</v>
      </c>
    </row>
    <row r="397">
      <c r="A397" s="8" t="s">
        <v>19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7014</f>
        <v>7014.0</v>
      </c>
    </row>
    <row r="398">
      <c r="A398" s="8" t="s">
        <v>20</v>
      </c>
      <c r="B398" s="9" t="s">
        <v>75</v>
      </c>
      <c r="C398" s="9" t="s">
        <v>76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n">
        <f>7014</f>
        <v>7014.0</v>
      </c>
    </row>
    <row r="399">
      <c r="A399" s="8" t="s">
        <v>21</v>
      </c>
      <c r="B399" s="9" t="s">
        <v>75</v>
      </c>
      <c r="C399" s="9" t="s">
        <v>76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22</v>
      </c>
      <c r="B400" s="9" t="s">
        <v>75</v>
      </c>
      <c r="C400" s="9" t="s">
        <v>76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23</v>
      </c>
      <c r="B401" s="9" t="s">
        <v>75</v>
      </c>
      <c r="C401" s="9" t="s">
        <v>76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n">
        <f>7014</f>
        <v>7014.0</v>
      </c>
    </row>
    <row r="402">
      <c r="A402" s="8" t="s">
        <v>24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7014</f>
        <v>7014.0</v>
      </c>
    </row>
    <row r="403">
      <c r="A403" s="8" t="s">
        <v>26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7014</f>
        <v>7014.0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n">
        <f>7014</f>
        <v>7014.0</v>
      </c>
    </row>
    <row r="405">
      <c r="A405" s="8" t="s">
        <v>28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n">
        <f>7014</f>
        <v>7014.0</v>
      </c>
    </row>
    <row r="406">
      <c r="A406" s="8" t="s">
        <v>30</v>
      </c>
      <c r="B406" s="9" t="s">
        <v>75</v>
      </c>
      <c r="C406" s="9" t="s">
        <v>76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31</v>
      </c>
      <c r="B407" s="9" t="s">
        <v>75</v>
      </c>
      <c r="C407" s="9" t="s">
        <v>76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32</v>
      </c>
      <c r="B408" s="9" t="s">
        <v>75</v>
      </c>
      <c r="C408" s="9" t="s">
        <v>76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n">
        <f>7014</f>
        <v>7014.0</v>
      </c>
    </row>
    <row r="409">
      <c r="A409" s="8" t="s">
        <v>33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7014</f>
        <v>7014.0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7014</f>
        <v>7014.0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7014</f>
        <v>7014.0</v>
      </c>
    </row>
    <row r="412">
      <c r="A412" s="8" t="s">
        <v>36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7014</f>
        <v>7014.0</v>
      </c>
    </row>
    <row r="413">
      <c r="A413" s="8" t="s">
        <v>37</v>
      </c>
      <c r="B413" s="9" t="s">
        <v>75</v>
      </c>
      <c r="C413" s="9" t="s">
        <v>76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7014</f>
        <v>7014.0</v>
      </c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7014</f>
        <v>7014.0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7014</f>
        <v>7014.0</v>
      </c>
    </row>
    <row r="418">
      <c r="A418" s="8" t="s">
        <v>42</v>
      </c>
      <c r="B418" s="9" t="s">
        <v>75</v>
      </c>
      <c r="C418" s="9" t="s">
        <v>76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7014</f>
        <v>7014.0</v>
      </c>
    </row>
    <row r="419">
      <c r="A419" s="8" t="s">
        <v>43</v>
      </c>
      <c r="B419" s="9" t="s">
        <v>75</v>
      </c>
      <c r="C419" s="9" t="s">
        <v>76</v>
      </c>
      <c r="D419" s="10" t="s">
        <v>25</v>
      </c>
      <c r="E419" s="2" t="n">
        <f>5125</f>
        <v>5125.0</v>
      </c>
      <c r="F419" s="10" t="s">
        <v>25</v>
      </c>
      <c r="G419" s="2" t="n">
        <f>2987875000</f>
        <v>2.987875E9</v>
      </c>
      <c r="H419" s="10"/>
      <c r="I419" s="2" t="str">
        <f>"－"</f>
        <v>－</v>
      </c>
      <c r="J419" s="10" t="s">
        <v>25</v>
      </c>
      <c r="K419" s="2" t="n">
        <f>12139</f>
        <v>12139.0</v>
      </c>
    </row>
    <row r="420">
      <c r="A420" s="8" t="s">
        <v>44</v>
      </c>
      <c r="B420" s="9" t="s">
        <v>75</v>
      </c>
      <c r="C420" s="9" t="s">
        <v>76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45</v>
      </c>
      <c r="B421" s="9" t="s">
        <v>75</v>
      </c>
      <c r="C421" s="9" t="s">
        <v>76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46</v>
      </c>
      <c r="B422" s="9" t="s">
        <v>75</v>
      </c>
      <c r="C422" s="9" t="s">
        <v>76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12139</f>
        <v>12139.0</v>
      </c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12139</f>
        <v>12139.0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12139</f>
        <v>12139.0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12139</f>
        <v>12139.0</v>
      </c>
    </row>
    <row r="426">
      <c r="A426" s="8" t="s">
        <v>16</v>
      </c>
      <c r="B426" s="9" t="s">
        <v>77</v>
      </c>
      <c r="C426" s="9" t="s">
        <v>78</v>
      </c>
      <c r="D426" s="10"/>
      <c r="E426" s="2" t="n">
        <f>24</f>
        <v>24.0</v>
      </c>
      <c r="F426" s="10"/>
      <c r="G426" s="2" t="n">
        <f>5226000</f>
        <v>5226000.0</v>
      </c>
      <c r="H426" s="10" t="s">
        <v>66</v>
      </c>
      <c r="I426" s="2" t="str">
        <f>"－"</f>
        <v>－</v>
      </c>
      <c r="J426" s="10" t="s">
        <v>29</v>
      </c>
      <c r="K426" s="2" t="n">
        <f>166</f>
        <v>166.0</v>
      </c>
    </row>
    <row r="427">
      <c r="A427" s="8" t="s">
        <v>19</v>
      </c>
      <c r="B427" s="9" t="s">
        <v>77</v>
      </c>
      <c r="C427" s="9" t="s">
        <v>78</v>
      </c>
      <c r="D427" s="10"/>
      <c r="E427" s="2" t="n">
        <f>37</f>
        <v>37.0</v>
      </c>
      <c r="F427" s="10"/>
      <c r="G427" s="2" t="n">
        <f>7921500</f>
        <v>7921500.0</v>
      </c>
      <c r="H427" s="10"/>
      <c r="I427" s="2" t="str">
        <f>"－"</f>
        <v>－</v>
      </c>
      <c r="J427" s="10"/>
      <c r="K427" s="2" t="n">
        <f>199</f>
        <v>199.0</v>
      </c>
    </row>
    <row r="428">
      <c r="A428" s="8" t="s">
        <v>20</v>
      </c>
      <c r="B428" s="9" t="s">
        <v>77</v>
      </c>
      <c r="C428" s="9" t="s">
        <v>78</v>
      </c>
      <c r="D428" s="10"/>
      <c r="E428" s="2" t="n">
        <f>29</f>
        <v>29.0</v>
      </c>
      <c r="F428" s="10"/>
      <c r="G428" s="2" t="n">
        <f>6233500</f>
        <v>6233500.0</v>
      </c>
      <c r="H428" s="10"/>
      <c r="I428" s="2" t="str">
        <f>"－"</f>
        <v>－</v>
      </c>
      <c r="J428" s="10"/>
      <c r="K428" s="2" t="n">
        <f>210</f>
        <v>210.0</v>
      </c>
    </row>
    <row r="429">
      <c r="A429" s="8" t="s">
        <v>21</v>
      </c>
      <c r="B429" s="9" t="s">
        <v>77</v>
      </c>
      <c r="C429" s="9" t="s">
        <v>78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22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23</v>
      </c>
      <c r="B431" s="9" t="s">
        <v>77</v>
      </c>
      <c r="C431" s="9" t="s">
        <v>78</v>
      </c>
      <c r="D431" s="10"/>
      <c r="E431" s="2" t="n">
        <f>61</f>
        <v>61.0</v>
      </c>
      <c r="F431" s="10"/>
      <c r="G431" s="2" t="n">
        <f>12885000</f>
        <v>1.2885E7</v>
      </c>
      <c r="H431" s="10"/>
      <c r="I431" s="2" t="str">
        <f>"－"</f>
        <v>－</v>
      </c>
      <c r="J431" s="10"/>
      <c r="K431" s="2" t="n">
        <f>261</f>
        <v>261.0</v>
      </c>
    </row>
    <row r="432">
      <c r="A432" s="8" t="s">
        <v>24</v>
      </c>
      <c r="B432" s="9" t="s">
        <v>77</v>
      </c>
      <c r="C432" s="9" t="s">
        <v>78</v>
      </c>
      <c r="D432" s="10"/>
      <c r="E432" s="2" t="n">
        <f>49</f>
        <v>49.0</v>
      </c>
      <c r="F432" s="10"/>
      <c r="G432" s="2" t="n">
        <f>10227500</f>
        <v>1.02275E7</v>
      </c>
      <c r="H432" s="10"/>
      <c r="I432" s="2" t="str">
        <f>"－"</f>
        <v>－</v>
      </c>
      <c r="J432" s="10"/>
      <c r="K432" s="2" t="n">
        <f>294</f>
        <v>294.0</v>
      </c>
    </row>
    <row r="433">
      <c r="A433" s="8" t="s">
        <v>26</v>
      </c>
      <c r="B433" s="9" t="s">
        <v>77</v>
      </c>
      <c r="C433" s="9" t="s">
        <v>78</v>
      </c>
      <c r="D433" s="10" t="s">
        <v>25</v>
      </c>
      <c r="E433" s="2" t="n">
        <f>98</f>
        <v>98.0</v>
      </c>
      <c r="F433" s="10" t="s">
        <v>25</v>
      </c>
      <c r="G433" s="2" t="n">
        <f>21520500</f>
        <v>2.15205E7</v>
      </c>
      <c r="H433" s="10"/>
      <c r="I433" s="2" t="str">
        <f>"－"</f>
        <v>－</v>
      </c>
      <c r="J433" s="10" t="s">
        <v>25</v>
      </c>
      <c r="K433" s="2" t="n">
        <f>347</f>
        <v>347.0</v>
      </c>
    </row>
    <row r="434">
      <c r="A434" s="8" t="s">
        <v>27</v>
      </c>
      <c r="B434" s="9" t="s">
        <v>77</v>
      </c>
      <c r="C434" s="9" t="s">
        <v>78</v>
      </c>
      <c r="D434" s="10"/>
      <c r="E434" s="2" t="n">
        <f>25</f>
        <v>25.0</v>
      </c>
      <c r="F434" s="10"/>
      <c r="G434" s="2" t="n">
        <f>5433500</f>
        <v>5433500.0</v>
      </c>
      <c r="H434" s="10"/>
      <c r="I434" s="2" t="str">
        <f>"－"</f>
        <v>－</v>
      </c>
      <c r="J434" s="10"/>
      <c r="K434" s="2" t="n">
        <f>267</f>
        <v>267.0</v>
      </c>
    </row>
    <row r="435">
      <c r="A435" s="8" t="s">
        <v>28</v>
      </c>
      <c r="B435" s="9" t="s">
        <v>77</v>
      </c>
      <c r="C435" s="9" t="s">
        <v>78</v>
      </c>
      <c r="D435" s="10"/>
      <c r="E435" s="2" t="n">
        <f>38</f>
        <v>38.0</v>
      </c>
      <c r="F435" s="10"/>
      <c r="G435" s="2" t="n">
        <f>8518500</f>
        <v>8518500.0</v>
      </c>
      <c r="H435" s="10"/>
      <c r="I435" s="2" t="str">
        <f>"－"</f>
        <v>－</v>
      </c>
      <c r="J435" s="10"/>
      <c r="K435" s="2" t="n">
        <f>288</f>
        <v>288.0</v>
      </c>
    </row>
    <row r="436">
      <c r="A436" s="8" t="s">
        <v>30</v>
      </c>
      <c r="B436" s="9" t="s">
        <v>77</v>
      </c>
      <c r="C436" s="9" t="s">
        <v>78</v>
      </c>
      <c r="D436" s="10"/>
      <c r="E436" s="2"/>
      <c r="F436" s="10"/>
      <c r="G436" s="2"/>
      <c r="H436" s="10"/>
      <c r="I436" s="2"/>
      <c r="J436" s="10"/>
      <c r="K436" s="2"/>
    </row>
    <row r="437">
      <c r="A437" s="8" t="s">
        <v>31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32</v>
      </c>
      <c r="B438" s="9" t="s">
        <v>77</v>
      </c>
      <c r="C438" s="9" t="s">
        <v>78</v>
      </c>
      <c r="D438" s="10"/>
      <c r="E438" s="2" t="n">
        <f>31</f>
        <v>31.0</v>
      </c>
      <c r="F438" s="10"/>
      <c r="G438" s="2" t="n">
        <f>7078500</f>
        <v>7078500.0</v>
      </c>
      <c r="H438" s="10"/>
      <c r="I438" s="2" t="str">
        <f>"－"</f>
        <v>－</v>
      </c>
      <c r="J438" s="10"/>
      <c r="K438" s="2" t="n">
        <f>278</f>
        <v>278.0</v>
      </c>
    </row>
    <row r="439">
      <c r="A439" s="8" t="s">
        <v>33</v>
      </c>
      <c r="B439" s="9" t="s">
        <v>77</v>
      </c>
      <c r="C439" s="9" t="s">
        <v>78</v>
      </c>
      <c r="D439" s="10"/>
      <c r="E439" s="2" t="n">
        <f>68</f>
        <v>68.0</v>
      </c>
      <c r="F439" s="10"/>
      <c r="G439" s="2" t="n">
        <f>16369000</f>
        <v>1.6369E7</v>
      </c>
      <c r="H439" s="10"/>
      <c r="I439" s="2" t="str">
        <f>"－"</f>
        <v>－</v>
      </c>
      <c r="J439" s="10"/>
      <c r="K439" s="2" t="n">
        <f>270</f>
        <v>270.0</v>
      </c>
    </row>
    <row r="440">
      <c r="A440" s="8" t="s">
        <v>34</v>
      </c>
      <c r="B440" s="9" t="s">
        <v>77</v>
      </c>
      <c r="C440" s="9" t="s">
        <v>78</v>
      </c>
      <c r="D440" s="10"/>
      <c r="E440" s="2" t="n">
        <f>68</f>
        <v>68.0</v>
      </c>
      <c r="F440" s="10"/>
      <c r="G440" s="2" t="n">
        <f>16241500</f>
        <v>1.62415E7</v>
      </c>
      <c r="H440" s="10"/>
      <c r="I440" s="2" t="str">
        <f>"－"</f>
        <v>－</v>
      </c>
      <c r="J440" s="10"/>
      <c r="K440" s="2" t="n">
        <f>311</f>
        <v>311.0</v>
      </c>
    </row>
    <row r="441">
      <c r="A441" s="8" t="s">
        <v>35</v>
      </c>
      <c r="B441" s="9" t="s">
        <v>77</v>
      </c>
      <c r="C441" s="9" t="s">
        <v>78</v>
      </c>
      <c r="D441" s="10"/>
      <c r="E441" s="2" t="n">
        <f>26</f>
        <v>26.0</v>
      </c>
      <c r="F441" s="10"/>
      <c r="G441" s="2" t="n">
        <f>5967500</f>
        <v>5967500.0</v>
      </c>
      <c r="H441" s="10"/>
      <c r="I441" s="2" t="str">
        <f>"－"</f>
        <v>－</v>
      </c>
      <c r="J441" s="10"/>
      <c r="K441" s="2" t="n">
        <f>299</f>
        <v>299.0</v>
      </c>
    </row>
    <row r="442">
      <c r="A442" s="8" t="s">
        <v>36</v>
      </c>
      <c r="B442" s="9" t="s">
        <v>77</v>
      </c>
      <c r="C442" s="9" t="s">
        <v>78</v>
      </c>
      <c r="D442" s="10"/>
      <c r="E442" s="2" t="n">
        <f>74</f>
        <v>74.0</v>
      </c>
      <c r="F442" s="10"/>
      <c r="G442" s="2" t="n">
        <f>18123500</f>
        <v>1.81235E7</v>
      </c>
      <c r="H442" s="10"/>
      <c r="I442" s="2" t="str">
        <f>"－"</f>
        <v>－</v>
      </c>
      <c r="J442" s="10"/>
      <c r="K442" s="2" t="n">
        <f>288</f>
        <v>288.0</v>
      </c>
    </row>
    <row r="443">
      <c r="A443" s="8" t="s">
        <v>37</v>
      </c>
      <c r="B443" s="9" t="s">
        <v>77</v>
      </c>
      <c r="C443" s="9" t="s">
        <v>78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 t="n">
        <f>13</f>
        <v>13.0</v>
      </c>
      <c r="F445" s="10"/>
      <c r="G445" s="2" t="n">
        <f>3203000</f>
        <v>3203000.0</v>
      </c>
      <c r="H445" s="10"/>
      <c r="I445" s="2" t="str">
        <f>"－"</f>
        <v>－</v>
      </c>
      <c r="J445" s="10"/>
      <c r="K445" s="2" t="n">
        <f>293</f>
        <v>293.0</v>
      </c>
    </row>
    <row r="446">
      <c r="A446" s="8" t="s">
        <v>40</v>
      </c>
      <c r="B446" s="9" t="s">
        <v>77</v>
      </c>
      <c r="C446" s="9" t="s">
        <v>78</v>
      </c>
      <c r="D446" s="10"/>
      <c r="E446" s="2" t="n">
        <f>49</f>
        <v>49.0</v>
      </c>
      <c r="F446" s="10"/>
      <c r="G446" s="2" t="n">
        <f>11534500</f>
        <v>1.15345E7</v>
      </c>
      <c r="H446" s="10"/>
      <c r="I446" s="2" t="str">
        <f>"－"</f>
        <v>－</v>
      </c>
      <c r="J446" s="10"/>
      <c r="K446" s="2" t="n">
        <f>275</f>
        <v>275.0</v>
      </c>
    </row>
    <row r="447">
      <c r="A447" s="8" t="s">
        <v>41</v>
      </c>
      <c r="B447" s="9" t="s">
        <v>77</v>
      </c>
      <c r="C447" s="9" t="s">
        <v>78</v>
      </c>
      <c r="D447" s="10" t="s">
        <v>29</v>
      </c>
      <c r="E447" s="2" t="n">
        <f>1</f>
        <v>1.0</v>
      </c>
      <c r="F447" s="10" t="s">
        <v>29</v>
      </c>
      <c r="G447" s="2" t="n">
        <f>236500</f>
        <v>236500.0</v>
      </c>
      <c r="H447" s="10"/>
      <c r="I447" s="2" t="str">
        <f>"－"</f>
        <v>－</v>
      </c>
      <c r="J447" s="10"/>
      <c r="K447" s="2" t="n">
        <f>274</f>
        <v>274.0</v>
      </c>
    </row>
    <row r="448">
      <c r="A448" s="8" t="s">
        <v>42</v>
      </c>
      <c r="B448" s="9" t="s">
        <v>77</v>
      </c>
      <c r="C448" s="9" t="s">
        <v>78</v>
      </c>
      <c r="D448" s="10"/>
      <c r="E448" s="2" t="n">
        <f>10</f>
        <v>10.0</v>
      </c>
      <c r="F448" s="10"/>
      <c r="G448" s="2" t="n">
        <f>2342000</f>
        <v>2342000.0</v>
      </c>
      <c r="H448" s="10"/>
      <c r="I448" s="2" t="str">
        <f>"－"</f>
        <v>－</v>
      </c>
      <c r="J448" s="10"/>
      <c r="K448" s="2" t="n">
        <f>271</f>
        <v>271.0</v>
      </c>
    </row>
    <row r="449">
      <c r="A449" s="8" t="s">
        <v>43</v>
      </c>
      <c r="B449" s="9" t="s">
        <v>77</v>
      </c>
      <c r="C449" s="9" t="s">
        <v>78</v>
      </c>
      <c r="D449" s="10"/>
      <c r="E449" s="2" t="n">
        <f>5</f>
        <v>5.0</v>
      </c>
      <c r="F449" s="10"/>
      <c r="G449" s="2" t="n">
        <f>1179500</f>
        <v>1179500.0</v>
      </c>
      <c r="H449" s="10"/>
      <c r="I449" s="2" t="str">
        <f>"－"</f>
        <v>－</v>
      </c>
      <c r="J449" s="10"/>
      <c r="K449" s="2" t="n">
        <f>267</f>
        <v>267.0</v>
      </c>
    </row>
    <row r="450">
      <c r="A450" s="8" t="s">
        <v>44</v>
      </c>
      <c r="B450" s="9" t="s">
        <v>77</v>
      </c>
      <c r="C450" s="9" t="s">
        <v>78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 t="n">
        <f>11</f>
        <v>11.0</v>
      </c>
      <c r="F452" s="10"/>
      <c r="G452" s="2" t="n">
        <f>2489500</f>
        <v>2489500.0</v>
      </c>
      <c r="H452" s="10"/>
      <c r="I452" s="2" t="str">
        <f>"－"</f>
        <v>－</v>
      </c>
      <c r="J452" s="10"/>
      <c r="K452" s="2" t="n">
        <f>268</f>
        <v>268.0</v>
      </c>
    </row>
    <row r="453">
      <c r="A453" s="8" t="s">
        <v>47</v>
      </c>
      <c r="B453" s="9" t="s">
        <v>77</v>
      </c>
      <c r="C453" s="9" t="s">
        <v>78</v>
      </c>
      <c r="D453" s="10"/>
      <c r="E453" s="2" t="n">
        <f>29</f>
        <v>29.0</v>
      </c>
      <c r="F453" s="10"/>
      <c r="G453" s="2" t="n">
        <f>6420000</f>
        <v>6420000.0</v>
      </c>
      <c r="H453" s="10"/>
      <c r="I453" s="2" t="str">
        <f>"－"</f>
        <v>－</v>
      </c>
      <c r="J453" s="10"/>
      <c r="K453" s="2" t="n">
        <f>266</f>
        <v>266.0</v>
      </c>
    </row>
    <row r="454">
      <c r="A454" s="8" t="s">
        <v>48</v>
      </c>
      <c r="B454" s="9" t="s">
        <v>77</v>
      </c>
      <c r="C454" s="9" t="s">
        <v>78</v>
      </c>
      <c r="D454" s="10"/>
      <c r="E454" s="2" t="n">
        <f>3</f>
        <v>3.0</v>
      </c>
      <c r="F454" s="10"/>
      <c r="G454" s="2" t="n">
        <f>665000</f>
        <v>665000.0</v>
      </c>
      <c r="H454" s="10"/>
      <c r="I454" s="2" t="str">
        <f>"－"</f>
        <v>－</v>
      </c>
      <c r="J454" s="10"/>
      <c r="K454" s="2" t="n">
        <f>268</f>
        <v>268.0</v>
      </c>
    </row>
    <row r="455">
      <c r="A455" s="8" t="s">
        <v>49</v>
      </c>
      <c r="B455" s="9" t="s">
        <v>77</v>
      </c>
      <c r="C455" s="9" t="s">
        <v>78</v>
      </c>
      <c r="D455" s="10"/>
      <c r="E455" s="2" t="n">
        <f>6</f>
        <v>6.0</v>
      </c>
      <c r="F455" s="10"/>
      <c r="G455" s="2" t="n">
        <f>1392500</f>
        <v>1392500.0</v>
      </c>
      <c r="H455" s="10"/>
      <c r="I455" s="2" t="str">
        <f>"－"</f>
        <v>－</v>
      </c>
      <c r="J455" s="10"/>
      <c r="K455" s="2" t="n">
        <f>271</f>
        <v>271.0</v>
      </c>
    </row>
    <row r="456">
      <c r="A456" s="8" t="s">
        <v>16</v>
      </c>
      <c r="B456" s="9" t="s">
        <v>79</v>
      </c>
      <c r="C456" s="9" t="s">
        <v>80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19</v>
      </c>
      <c r="B457" s="9" t="s">
        <v>79</v>
      </c>
      <c r="C457" s="9" t="s">
        <v>80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20</v>
      </c>
      <c r="B458" s="9" t="s">
        <v>79</v>
      </c>
      <c r="C458" s="9" t="s">
        <v>80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21</v>
      </c>
      <c r="B459" s="9" t="s">
        <v>79</v>
      </c>
      <c r="C459" s="9" t="s">
        <v>80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23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24</v>
      </c>
      <c r="B462" s="9" t="s">
        <v>79</v>
      </c>
      <c r="C462" s="9" t="s">
        <v>80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26</v>
      </c>
      <c r="B463" s="9" t="s">
        <v>79</v>
      </c>
      <c r="C463" s="9" t="s">
        <v>80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27</v>
      </c>
      <c r="B464" s="9" t="s">
        <v>79</v>
      </c>
      <c r="C464" s="9" t="s">
        <v>80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28</v>
      </c>
      <c r="B465" s="9" t="s">
        <v>79</v>
      </c>
      <c r="C465" s="9" t="s">
        <v>80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30</v>
      </c>
      <c r="B466" s="9" t="s">
        <v>79</v>
      </c>
      <c r="C466" s="9" t="s">
        <v>80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31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32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33</v>
      </c>
      <c r="B469" s="9" t="s">
        <v>79</v>
      </c>
      <c r="C469" s="9" t="s">
        <v>80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34</v>
      </c>
      <c r="B470" s="9" t="s">
        <v>79</v>
      </c>
      <c r="C470" s="9" t="s">
        <v>80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35</v>
      </c>
      <c r="B471" s="9" t="s">
        <v>79</v>
      </c>
      <c r="C471" s="9" t="s">
        <v>80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36</v>
      </c>
      <c r="B472" s="9" t="s">
        <v>79</v>
      </c>
      <c r="C472" s="9" t="s">
        <v>80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37</v>
      </c>
      <c r="B473" s="9" t="s">
        <v>79</v>
      </c>
      <c r="C473" s="9" t="s">
        <v>80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41</v>
      </c>
      <c r="B477" s="9" t="s">
        <v>79</v>
      </c>
      <c r="C477" s="9" t="s">
        <v>80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42</v>
      </c>
      <c r="B478" s="9" t="s">
        <v>79</v>
      </c>
      <c r="C478" s="9" t="s">
        <v>80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43</v>
      </c>
      <c r="B479" s="9" t="s">
        <v>79</v>
      </c>
      <c r="C479" s="9" t="s">
        <v>80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44</v>
      </c>
      <c r="B480" s="9" t="s">
        <v>79</v>
      </c>
      <c r="C480" s="9" t="s">
        <v>80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48</v>
      </c>
      <c r="B484" s="9" t="s">
        <v>79</v>
      </c>
      <c r="C484" s="9" t="s">
        <v>80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49</v>
      </c>
      <c r="B485" s="9" t="s">
        <v>79</v>
      </c>
      <c r="C485" s="9" t="s">
        <v>80</v>
      </c>
      <c r="D485" s="10"/>
      <c r="E485" s="2"/>
      <c r="F485" s="10"/>
      <c r="G485" s="2"/>
      <c r="H485" s="10"/>
      <c r="I485" s="2"/>
      <c r="J485" s="10"/>
      <c r="K48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