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<sst xmlns="http://schemas.openxmlformats.org/spreadsheetml/2006/main" count="698" uniqueCount="72">
  <si>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</si>
  <si>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</si>
  <si>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</si>
  <si>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</si>
  <si>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</si>
  <si>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</si>
  <si>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</si>
  <si>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</si>
  <si>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</si>
  <si>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</si>
  <si>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</si>
  <si>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</si>
  <si>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</si>
  <si>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</si>
  <si>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</si>
  <si>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</si>
  <si>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</si>
  <si>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</si>
  <si>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</si>
  <si>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</si>
  <si>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</si>
  <si>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</si>
  <si>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</si>
  <si>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</si>
  <si>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</si>
  <si>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</si>
  <si>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7.1</t>
  </si>
  <si>
    <t>日経225オプション</t>
  </si>
  <si>
    <t>Nikkei 225 Options</t>
  </si>
  <si>
    <t>◎</t>
  </si>
  <si>
    <t>2</t>
  </si>
  <si>
    <t>3</t>
  </si>
  <si>
    <t>4</t>
  </si>
  <si>
    <t>5</t>
  </si>
  <si>
    <t>6</t>
  </si>
  <si>
    <t>7</t>
  </si>
  <si>
    <t>8</t>
  </si>
  <si>
    <t>●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</si>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</sst>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95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 t="s">
        <v>29</v>
      </c>
      <c r="E10" s="25" t="n">
        <f>79446</f>
        <v>79446.0</v>
      </c>
      <c r="F10" s="23" t="s">
        <v>29</v>
      </c>
      <c r="G10" s="25" t="n">
        <f>49703</f>
        <v>49703.0</v>
      </c>
      <c r="H10" s="23" t="s">
        <v>29</v>
      </c>
      <c r="I10" s="26" t="n">
        <f>129149</f>
        <v>129149.0</v>
      </c>
      <c r="J10" s="24"/>
      <c r="K10" s="25" t="n">
        <f>18279460688</f>
        <v>1.8279460688E10</v>
      </c>
      <c r="L10" s="23"/>
      <c r="M10" s="25" t="n">
        <f>7786670760</f>
        <v>7.78667076E9</v>
      </c>
      <c r="N10" s="23"/>
      <c r="O10" s="26" t="n">
        <f>26066131448</f>
        <v>2.6066131448E10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10049</f>
        <v>10049.0</v>
      </c>
      <c r="U10" s="23"/>
      <c r="V10" s="25" t="n">
        <f>9080</f>
        <v>9080.0</v>
      </c>
      <c r="W10" s="23"/>
      <c r="X10" s="26" t="n">
        <f>19129</f>
        <v>19129.0</v>
      </c>
      <c r="Y10" s="24"/>
      <c r="Z10" s="25" t="n">
        <f>834783</f>
        <v>834783.0</v>
      </c>
      <c r="AA10" s="23"/>
      <c r="AB10" s="25" t="n">
        <f>491438</f>
        <v>491438.0</v>
      </c>
      <c r="AC10" s="23"/>
      <c r="AD10" s="26" t="n">
        <f>1326221</f>
        <v>1326221.0</v>
      </c>
    </row>
    <row r="11">
      <c r="A11" s="30" t="s">
        <v>30</v>
      </c>
      <c r="B11" s="22" t="s">
        <v>27</v>
      </c>
      <c r="C11" s="22" t="s">
        <v>28</v>
      </c>
      <c r="D11" s="24"/>
      <c r="E11" s="25"/>
      <c r="F11" s="23"/>
      <c r="G11" s="25"/>
      <c r="H11" s="23"/>
      <c r="I11" s="26"/>
      <c r="J11" s="24"/>
      <c r="K11" s="25"/>
      <c r="L11" s="23"/>
      <c r="M11" s="25"/>
      <c r="N11" s="23"/>
      <c r="O11" s="26"/>
      <c r="P11" s="27"/>
      <c r="Q11" s="28"/>
      <c r="R11" s="29"/>
      <c r="S11" s="24"/>
      <c r="T11" s="25"/>
      <c r="U11" s="23"/>
      <c r="V11" s="25"/>
      <c r="W11" s="23"/>
      <c r="X11" s="26"/>
      <c r="Y11" s="24"/>
      <c r="Z11" s="25"/>
      <c r="AA11" s="23"/>
      <c r="AB11" s="25"/>
      <c r="AC11" s="23"/>
      <c r="AD11" s="26"/>
    </row>
    <row r="12">
      <c r="A12" s="30" t="s">
        <v>31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32</v>
      </c>
      <c r="B13" s="22" t="s">
        <v>27</v>
      </c>
      <c r="C13" s="22" t="s">
        <v>28</v>
      </c>
      <c r="D13" s="24"/>
      <c r="E13" s="25" t="n">
        <f>62413</f>
        <v>62413.0</v>
      </c>
      <c r="F13" s="23"/>
      <c r="G13" s="25" t="n">
        <f>43943</f>
        <v>43943.0</v>
      </c>
      <c r="H13" s="23"/>
      <c r="I13" s="26" t="n">
        <f>106356</f>
        <v>106356.0</v>
      </c>
      <c r="J13" s="24"/>
      <c r="K13" s="25" t="n">
        <f>22930893840</f>
        <v>2.293089384E10</v>
      </c>
      <c r="L13" s="23"/>
      <c r="M13" s="25" t="n">
        <f>12554970490</f>
        <v>1.255497049E10</v>
      </c>
      <c r="N13" s="23"/>
      <c r="O13" s="26" t="n">
        <f>35485864330</f>
        <v>3.548586433E10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13807</f>
        <v>13807.0</v>
      </c>
      <c r="U13" s="23"/>
      <c r="V13" s="25" t="n">
        <f>8305</f>
        <v>8305.0</v>
      </c>
      <c r="W13" s="23"/>
      <c r="X13" s="26" t="n">
        <f>22112</f>
        <v>22112.0</v>
      </c>
      <c r="Y13" s="24"/>
      <c r="Z13" s="25" t="n">
        <f>843469</f>
        <v>843469.0</v>
      </c>
      <c r="AA13" s="23"/>
      <c r="AB13" s="25" t="n">
        <f>494444</f>
        <v>494444.0</v>
      </c>
      <c r="AC13" s="23"/>
      <c r="AD13" s="26" t="n">
        <f>1337913</f>
        <v>1337913.0</v>
      </c>
    </row>
    <row r="14">
      <c r="A14" s="30" t="s">
        <v>33</v>
      </c>
      <c r="B14" s="22" t="s">
        <v>27</v>
      </c>
      <c r="C14" s="22" t="s">
        <v>28</v>
      </c>
      <c r="D14" s="24"/>
      <c r="E14" s="25" t="n">
        <f>51922</f>
        <v>51922.0</v>
      </c>
      <c r="F14" s="23"/>
      <c r="G14" s="25" t="n">
        <f>47000</f>
        <v>47000.0</v>
      </c>
      <c r="H14" s="23"/>
      <c r="I14" s="26" t="n">
        <f>98922</f>
        <v>98922.0</v>
      </c>
      <c r="J14" s="24"/>
      <c r="K14" s="25" t="n">
        <f>14333798910</f>
        <v>1.433379891E10</v>
      </c>
      <c r="L14" s="23"/>
      <c r="M14" s="25" t="n">
        <f>12325137215</f>
        <v>1.2325137215E10</v>
      </c>
      <c r="N14" s="23"/>
      <c r="O14" s="26" t="n">
        <f>26658936125</f>
        <v>2.6658936125E10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5810</f>
        <v>5810.0</v>
      </c>
      <c r="U14" s="23"/>
      <c r="V14" s="25" t="n">
        <f>3714</f>
        <v>3714.0</v>
      </c>
      <c r="W14" s="23"/>
      <c r="X14" s="26" t="n">
        <f>9524</f>
        <v>9524.0</v>
      </c>
      <c r="Y14" s="24"/>
      <c r="Z14" s="25" t="n">
        <f>851416</f>
        <v>851416.0</v>
      </c>
      <c r="AA14" s="23"/>
      <c r="AB14" s="25" t="n">
        <f>503897</f>
        <v>503897.0</v>
      </c>
      <c r="AC14" s="23"/>
      <c r="AD14" s="26" t="n">
        <f>1355313</f>
        <v>1355313.0</v>
      </c>
    </row>
    <row r="15">
      <c r="A15" s="30" t="s">
        <v>34</v>
      </c>
      <c r="B15" s="22" t="s">
        <v>27</v>
      </c>
      <c r="C15" s="22" t="s">
        <v>28</v>
      </c>
      <c r="D15" s="24"/>
      <c r="E15" s="25" t="n">
        <f>62835</f>
        <v>62835.0</v>
      </c>
      <c r="F15" s="23"/>
      <c r="G15" s="25" t="n">
        <f>43603</f>
        <v>43603.0</v>
      </c>
      <c r="H15" s="23"/>
      <c r="I15" s="26" t="n">
        <f>106438</f>
        <v>106438.0</v>
      </c>
      <c r="J15" s="24"/>
      <c r="K15" s="25" t="n">
        <f>18682423387</f>
        <v>1.8682423387E10</v>
      </c>
      <c r="L15" s="23"/>
      <c r="M15" s="25" t="n">
        <f>8266861700</f>
        <v>8.2668617E9</v>
      </c>
      <c r="N15" s="23"/>
      <c r="O15" s="26" t="n">
        <f>26949285087</f>
        <v>2.6949285087E10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11756</f>
        <v>11756.0</v>
      </c>
      <c r="U15" s="23"/>
      <c r="V15" s="25" t="n">
        <f>5767</f>
        <v>5767.0</v>
      </c>
      <c r="W15" s="23"/>
      <c r="X15" s="26" t="n">
        <f>17523</f>
        <v>17523.0</v>
      </c>
      <c r="Y15" s="24"/>
      <c r="Z15" s="25" t="n">
        <f>859254</f>
        <v>859254.0</v>
      </c>
      <c r="AA15" s="23"/>
      <c r="AB15" s="25" t="n">
        <f>511398</f>
        <v>511398.0</v>
      </c>
      <c r="AC15" s="23"/>
      <c r="AD15" s="26" t="n">
        <f>1370652</f>
        <v>1370652.0</v>
      </c>
    </row>
    <row r="16">
      <c r="A16" s="30" t="s">
        <v>35</v>
      </c>
      <c r="B16" s="22" t="s">
        <v>27</v>
      </c>
      <c r="C16" s="22" t="s">
        <v>28</v>
      </c>
      <c r="D16" s="24"/>
      <c r="E16" s="25" t="n">
        <f>57687</f>
        <v>57687.0</v>
      </c>
      <c r="F16" s="23"/>
      <c r="G16" s="25" t="n">
        <f>47555</f>
        <v>47555.0</v>
      </c>
      <c r="H16" s="23"/>
      <c r="I16" s="26" t="n">
        <f>105242</f>
        <v>105242.0</v>
      </c>
      <c r="J16" s="24"/>
      <c r="K16" s="25" t="n">
        <f>12174917137</f>
        <v>1.2174917137E10</v>
      </c>
      <c r="L16" s="23"/>
      <c r="M16" s="25" t="n">
        <f>12369316404</f>
        <v>1.2369316404E10</v>
      </c>
      <c r="N16" s="23"/>
      <c r="O16" s="26" t="n">
        <f>24544233541</f>
        <v>2.4544233541E10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9131</f>
        <v>9131.0</v>
      </c>
      <c r="U16" s="23"/>
      <c r="V16" s="25" t="n">
        <f>6085</f>
        <v>6085.0</v>
      </c>
      <c r="W16" s="23"/>
      <c r="X16" s="26" t="n">
        <f>15216</f>
        <v>15216.0</v>
      </c>
      <c r="Y16" s="24"/>
      <c r="Z16" s="25" t="n">
        <f>864142</f>
        <v>864142.0</v>
      </c>
      <c r="AA16" s="23" t="s">
        <v>29</v>
      </c>
      <c r="AB16" s="25" t="n">
        <f>518955</f>
        <v>518955.0</v>
      </c>
      <c r="AC16" s="23"/>
      <c r="AD16" s="26" t="n">
        <f>1383097</f>
        <v>1383097.0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54635</f>
        <v>54635.0</v>
      </c>
      <c r="F17" s="23"/>
      <c r="G17" s="25" t="n">
        <f>33667</f>
        <v>33667.0</v>
      </c>
      <c r="H17" s="23"/>
      <c r="I17" s="26" t="n">
        <f>88302</f>
        <v>88302.0</v>
      </c>
      <c r="J17" s="24"/>
      <c r="K17" s="25" t="n">
        <f>26612563784</f>
        <v>2.6612563784E10</v>
      </c>
      <c r="L17" s="23"/>
      <c r="M17" s="25" t="n">
        <f>13068317120</f>
        <v>1.306831712E10</v>
      </c>
      <c r="N17" s="23"/>
      <c r="O17" s="26" t="n">
        <f>39680880904</f>
        <v>3.9680880904E10</v>
      </c>
      <c r="P17" s="27" t="n">
        <f>15766</f>
        <v>15766.0</v>
      </c>
      <c r="Q17" s="28" t="n">
        <f>15735</f>
        <v>15735.0</v>
      </c>
      <c r="R17" s="29" t="n">
        <f>31501</f>
        <v>31501.0</v>
      </c>
      <c r="S17" s="24"/>
      <c r="T17" s="25" t="n">
        <f>6403</f>
        <v>6403.0</v>
      </c>
      <c r="U17" s="23"/>
      <c r="V17" s="25" t="n">
        <f>4009</f>
        <v>4009.0</v>
      </c>
      <c r="W17" s="23"/>
      <c r="X17" s="26" t="n">
        <f>10412</f>
        <v>10412.0</v>
      </c>
      <c r="Y17" s="24" t="s">
        <v>37</v>
      </c>
      <c r="Z17" s="25" t="n">
        <f>751587</f>
        <v>751587.0</v>
      </c>
      <c r="AA17" s="23" t="s">
        <v>37</v>
      </c>
      <c r="AB17" s="25" t="n">
        <f>412196</f>
        <v>412196.0</v>
      </c>
      <c r="AC17" s="23" t="s">
        <v>37</v>
      </c>
      <c r="AD17" s="26" t="n">
        <f>1163783</f>
        <v>1163783.0</v>
      </c>
    </row>
    <row r="18">
      <c r="A18" s="30" t="s">
        <v>38</v>
      </c>
      <c r="B18" s="22" t="s">
        <v>27</v>
      </c>
      <c r="C18" s="22" t="s">
        <v>28</v>
      </c>
      <c r="D18" s="24"/>
      <c r="E18" s="25"/>
      <c r="F18" s="23"/>
      <c r="G18" s="25"/>
      <c r="H18" s="23"/>
      <c r="I18" s="26"/>
      <c r="J18" s="24"/>
      <c r="K18" s="25"/>
      <c r="L18" s="23"/>
      <c r="M18" s="25"/>
      <c r="N18" s="23"/>
      <c r="O18" s="26"/>
      <c r="P18" s="27"/>
      <c r="Q18" s="28"/>
      <c r="R18" s="29"/>
      <c r="S18" s="24"/>
      <c r="T18" s="25"/>
      <c r="U18" s="23"/>
      <c r="V18" s="25"/>
      <c r="W18" s="23"/>
      <c r="X18" s="26"/>
      <c r="Y18" s="24"/>
      <c r="Z18" s="25"/>
      <c r="AA18" s="23"/>
      <c r="AB18" s="25"/>
      <c r="AC18" s="23"/>
      <c r="AD18" s="26"/>
    </row>
    <row r="19">
      <c r="A19" s="30" t="s">
        <v>39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40</v>
      </c>
      <c r="B20" s="22" t="s">
        <v>27</v>
      </c>
      <c r="C20" s="22" t="s">
        <v>28</v>
      </c>
      <c r="D20" s="24"/>
      <c r="E20" s="25" t="n">
        <f>41975</f>
        <v>41975.0</v>
      </c>
      <c r="F20" s="23"/>
      <c r="G20" s="25" t="n">
        <f>28648</f>
        <v>28648.0</v>
      </c>
      <c r="H20" s="23"/>
      <c r="I20" s="26" t="n">
        <f>70623</f>
        <v>70623.0</v>
      </c>
      <c r="J20" s="24"/>
      <c r="K20" s="25" t="n">
        <f>11520597220</f>
        <v>1.152059722E10</v>
      </c>
      <c r="L20" s="23"/>
      <c r="M20" s="25" t="n">
        <f>6863803330</f>
        <v>6.86380333E9</v>
      </c>
      <c r="N20" s="23"/>
      <c r="O20" s="26" t="n">
        <f>18384400550</f>
        <v>1.838440055E10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8120</f>
        <v>8120.0</v>
      </c>
      <c r="U20" s="23"/>
      <c r="V20" s="25" t="n">
        <f>4739</f>
        <v>4739.0</v>
      </c>
      <c r="W20" s="23"/>
      <c r="X20" s="26" t="n">
        <f>12859</f>
        <v>12859.0</v>
      </c>
      <c r="Y20" s="24"/>
      <c r="Z20" s="25" t="n">
        <f>763450</f>
        <v>763450.0</v>
      </c>
      <c r="AA20" s="23"/>
      <c r="AB20" s="25" t="n">
        <f>418661</f>
        <v>418661.0</v>
      </c>
      <c r="AC20" s="23"/>
      <c r="AD20" s="26" t="n">
        <f>1182111</f>
        <v>1182111.0</v>
      </c>
    </row>
    <row r="21">
      <c r="A21" s="30" t="s">
        <v>41</v>
      </c>
      <c r="B21" s="22" t="s">
        <v>27</v>
      </c>
      <c r="C21" s="22" t="s">
        <v>28</v>
      </c>
      <c r="D21" s="24"/>
      <c r="E21" s="25" t="n">
        <f>41286</f>
        <v>41286.0</v>
      </c>
      <c r="F21" s="23"/>
      <c r="G21" s="25" t="n">
        <f>24958</f>
        <v>24958.0</v>
      </c>
      <c r="H21" s="23"/>
      <c r="I21" s="26" t="n">
        <f>66244</f>
        <v>66244.0</v>
      </c>
      <c r="J21" s="24"/>
      <c r="K21" s="25" t="n">
        <f>11099861245</f>
        <v>1.1099861245E10</v>
      </c>
      <c r="L21" s="23"/>
      <c r="M21" s="25" t="n">
        <f>6377731760</f>
        <v>6.37773176E9</v>
      </c>
      <c r="N21" s="23"/>
      <c r="O21" s="26" t="n">
        <f>17477593005</f>
        <v>1.7477593005E10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5414</f>
        <v>5414.0</v>
      </c>
      <c r="U21" s="23"/>
      <c r="V21" s="25" t="n">
        <f>3004</f>
        <v>3004.0</v>
      </c>
      <c r="W21" s="23" t="s">
        <v>37</v>
      </c>
      <c r="X21" s="26" t="n">
        <f>8418</f>
        <v>8418.0</v>
      </c>
      <c r="Y21" s="24"/>
      <c r="Z21" s="25" t="n">
        <f>777153</f>
        <v>777153.0</v>
      </c>
      <c r="AA21" s="23"/>
      <c r="AB21" s="25" t="n">
        <f>422246</f>
        <v>422246.0</v>
      </c>
      <c r="AC21" s="23"/>
      <c r="AD21" s="26" t="n">
        <f>1199399</f>
        <v>1199399.0</v>
      </c>
    </row>
    <row r="22">
      <c r="A22" s="30" t="s">
        <v>42</v>
      </c>
      <c r="B22" s="22" t="s">
        <v>27</v>
      </c>
      <c r="C22" s="22" t="s">
        <v>28</v>
      </c>
      <c r="D22" s="24"/>
      <c r="E22" s="25" t="n">
        <f>42330</f>
        <v>42330.0</v>
      </c>
      <c r="F22" s="23"/>
      <c r="G22" s="25" t="n">
        <f>23206</f>
        <v>23206.0</v>
      </c>
      <c r="H22" s="23"/>
      <c r="I22" s="26" t="n">
        <f>65536</f>
        <v>65536.0</v>
      </c>
      <c r="J22" s="24"/>
      <c r="K22" s="25" t="n">
        <f>16558219040</f>
        <v>1.655821904E10</v>
      </c>
      <c r="L22" s="23"/>
      <c r="M22" s="25" t="n">
        <f>8159438390</f>
        <v>8.15943839E9</v>
      </c>
      <c r="N22" s="23"/>
      <c r="O22" s="26" t="n">
        <f>24717657430</f>
        <v>2.471765743E10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8961</f>
        <v>8961.0</v>
      </c>
      <c r="U22" s="23"/>
      <c r="V22" s="25" t="n">
        <f>3371</f>
        <v>3371.0</v>
      </c>
      <c r="W22" s="23"/>
      <c r="X22" s="26" t="n">
        <f>12332</f>
        <v>12332.0</v>
      </c>
      <c r="Y22" s="24"/>
      <c r="Z22" s="25" t="n">
        <f>789868</f>
        <v>789868.0</v>
      </c>
      <c r="AA22" s="23"/>
      <c r="AB22" s="25" t="n">
        <f>428228</f>
        <v>428228.0</v>
      </c>
      <c r="AC22" s="23"/>
      <c r="AD22" s="26" t="n">
        <f>1218096</f>
        <v>1218096.0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43229</f>
        <v>43229.0</v>
      </c>
      <c r="F23" s="23"/>
      <c r="G23" s="25" t="n">
        <f>26566</f>
        <v>26566.0</v>
      </c>
      <c r="H23" s="23"/>
      <c r="I23" s="26" t="n">
        <f>69795</f>
        <v>69795.0</v>
      </c>
      <c r="J23" s="24"/>
      <c r="K23" s="25" t="n">
        <f>9106923170</f>
        <v>9.10692317E9</v>
      </c>
      <c r="L23" s="23"/>
      <c r="M23" s="25" t="n">
        <f>4419518970</f>
        <v>4.41951897E9</v>
      </c>
      <c r="N23" s="23" t="s">
        <v>37</v>
      </c>
      <c r="O23" s="26" t="n">
        <f>13526442140</f>
        <v>1.352644214E10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6401</f>
        <v>6401.0</v>
      </c>
      <c r="U23" s="23"/>
      <c r="V23" s="25" t="n">
        <f>3913</f>
        <v>3913.0</v>
      </c>
      <c r="W23" s="23"/>
      <c r="X23" s="26" t="n">
        <f>10314</f>
        <v>10314.0</v>
      </c>
      <c r="Y23" s="24"/>
      <c r="Z23" s="25" t="n">
        <f>796816</f>
        <v>796816.0</v>
      </c>
      <c r="AA23" s="23"/>
      <c r="AB23" s="25" t="n">
        <f>431878</f>
        <v>431878.0</v>
      </c>
      <c r="AC23" s="23"/>
      <c r="AD23" s="26" t="n">
        <f>1228694</f>
        <v>1228694.0</v>
      </c>
    </row>
    <row r="24">
      <c r="A24" s="30" t="s">
        <v>44</v>
      </c>
      <c r="B24" s="22" t="s">
        <v>27</v>
      </c>
      <c r="C24" s="22" t="s">
        <v>28</v>
      </c>
      <c r="D24" s="24" t="s">
        <v>37</v>
      </c>
      <c r="E24" s="25" t="n">
        <f>36211</f>
        <v>36211.0</v>
      </c>
      <c r="F24" s="23"/>
      <c r="G24" s="25" t="n">
        <f>25133</f>
        <v>25133.0</v>
      </c>
      <c r="H24" s="23" t="s">
        <v>37</v>
      </c>
      <c r="I24" s="26" t="n">
        <f>61344</f>
        <v>61344.0</v>
      </c>
      <c r="J24" s="24" t="s">
        <v>37</v>
      </c>
      <c r="K24" s="25" t="n">
        <f>7886216820</f>
        <v>7.88621682E9</v>
      </c>
      <c r="L24" s="23"/>
      <c r="M24" s="25" t="n">
        <f>6011943240</f>
        <v>6.01194324E9</v>
      </c>
      <c r="N24" s="23"/>
      <c r="O24" s="26" t="n">
        <f>13898160060</f>
        <v>1.389816006E10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5838</f>
        <v>5838.0</v>
      </c>
      <c r="U24" s="23"/>
      <c r="V24" s="25" t="n">
        <f>6097</f>
        <v>6097.0</v>
      </c>
      <c r="W24" s="23"/>
      <c r="X24" s="26" t="n">
        <f>11935</f>
        <v>11935.0</v>
      </c>
      <c r="Y24" s="24"/>
      <c r="Z24" s="25" t="n">
        <f>802902</f>
        <v>802902.0</v>
      </c>
      <c r="AA24" s="23"/>
      <c r="AB24" s="25" t="n">
        <f>435936</f>
        <v>435936.0</v>
      </c>
      <c r="AC24" s="23"/>
      <c r="AD24" s="26" t="n">
        <f>1238838</f>
        <v>1238838.0</v>
      </c>
    </row>
    <row r="25">
      <c r="A25" s="30" t="s">
        <v>45</v>
      </c>
      <c r="B25" s="22" t="s">
        <v>27</v>
      </c>
      <c r="C25" s="22" t="s">
        <v>28</v>
      </c>
      <c r="D25" s="24"/>
      <c r="E25" s="25"/>
      <c r="F25" s="23"/>
      <c r="G25" s="25"/>
      <c r="H25" s="23"/>
      <c r="I25" s="26"/>
      <c r="J25" s="24"/>
      <c r="K25" s="25"/>
      <c r="L25" s="23"/>
      <c r="M25" s="25"/>
      <c r="N25" s="23"/>
      <c r="O25" s="26"/>
      <c r="P25" s="27"/>
      <c r="Q25" s="28"/>
      <c r="R25" s="29"/>
      <c r="S25" s="24"/>
      <c r="T25" s="25"/>
      <c r="U25" s="23"/>
      <c r="V25" s="25"/>
      <c r="W25" s="23"/>
      <c r="X25" s="26"/>
      <c r="Y25" s="24"/>
      <c r="Z25" s="25"/>
      <c r="AA25" s="23"/>
      <c r="AB25" s="25"/>
      <c r="AC25" s="23"/>
      <c r="AD25" s="26"/>
    </row>
    <row r="26">
      <c r="A26" s="30" t="s">
        <v>46</v>
      </c>
      <c r="B26" s="22" t="s">
        <v>27</v>
      </c>
      <c r="C26" s="22" t="s">
        <v>28</v>
      </c>
      <c r="D26" s="24"/>
      <c r="E26" s="25"/>
      <c r="F26" s="23"/>
      <c r="G26" s="25"/>
      <c r="H26" s="23"/>
      <c r="I26" s="26"/>
      <c r="J26" s="24"/>
      <c r="K26" s="25"/>
      <c r="L26" s="23"/>
      <c r="M26" s="25"/>
      <c r="N26" s="23"/>
      <c r="O26" s="26"/>
      <c r="P26" s="27"/>
      <c r="Q26" s="28"/>
      <c r="R26" s="29"/>
      <c r="S26" s="24"/>
      <c r="T26" s="25"/>
      <c r="U26" s="23"/>
      <c r="V26" s="25"/>
      <c r="W26" s="23"/>
      <c r="X26" s="26"/>
      <c r="Y26" s="24"/>
      <c r="Z26" s="25"/>
      <c r="AA26" s="23"/>
      <c r="AB26" s="25"/>
      <c r="AC26" s="23"/>
      <c r="AD26" s="26"/>
    </row>
    <row r="27">
      <c r="A27" s="30" t="s">
        <v>47</v>
      </c>
      <c r="B27" s="22" t="s">
        <v>27</v>
      </c>
      <c r="C27" s="22" t="s">
        <v>28</v>
      </c>
      <c r="D27" s="24"/>
      <c r="E27" s="25"/>
      <c r="F27" s="23"/>
      <c r="G27" s="25"/>
      <c r="H27" s="23"/>
      <c r="I27" s="26"/>
      <c r="J27" s="24"/>
      <c r="K27" s="25"/>
      <c r="L27" s="23"/>
      <c r="M27" s="25"/>
      <c r="N27" s="23"/>
      <c r="O27" s="26"/>
      <c r="P27" s="27"/>
      <c r="Q27" s="28"/>
      <c r="R27" s="29"/>
      <c r="S27" s="24"/>
      <c r="T27" s="25"/>
      <c r="U27" s="23"/>
      <c r="V27" s="25"/>
      <c r="W27" s="23"/>
      <c r="X27" s="26"/>
      <c r="Y27" s="24"/>
      <c r="Z27" s="25"/>
      <c r="AA27" s="23"/>
      <c r="AB27" s="25"/>
      <c r="AC27" s="23"/>
      <c r="AD27" s="26"/>
    </row>
    <row r="28">
      <c r="A28" s="30" t="s">
        <v>48</v>
      </c>
      <c r="B28" s="22" t="s">
        <v>27</v>
      </c>
      <c r="C28" s="22" t="s">
        <v>28</v>
      </c>
      <c r="D28" s="24"/>
      <c r="E28" s="25" t="n">
        <f>50728</f>
        <v>50728.0</v>
      </c>
      <c r="F28" s="23"/>
      <c r="G28" s="25" t="n">
        <f>23794</f>
        <v>23794.0</v>
      </c>
      <c r="H28" s="23"/>
      <c r="I28" s="26" t="n">
        <f>74522</f>
        <v>74522.0</v>
      </c>
      <c r="J28" s="24"/>
      <c r="K28" s="25" t="n">
        <f>11982241170</f>
        <v>1.198224117E10</v>
      </c>
      <c r="L28" s="23"/>
      <c r="M28" s="25" t="n">
        <f>6722102150</f>
        <v>6.72210215E9</v>
      </c>
      <c r="N28" s="23"/>
      <c r="O28" s="26" t="n">
        <f>18704343320</f>
        <v>1.870434332E10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11615</f>
        <v>11615.0</v>
      </c>
      <c r="U28" s="23"/>
      <c r="V28" s="25" t="n">
        <f>4350</f>
        <v>4350.0</v>
      </c>
      <c r="W28" s="23"/>
      <c r="X28" s="26" t="n">
        <f>15965</f>
        <v>15965.0</v>
      </c>
      <c r="Y28" s="24"/>
      <c r="Z28" s="25" t="n">
        <f>812665</f>
        <v>812665.0</v>
      </c>
      <c r="AA28" s="23"/>
      <c r="AB28" s="25" t="n">
        <f>443579</f>
        <v>443579.0</v>
      </c>
      <c r="AC28" s="23"/>
      <c r="AD28" s="26" t="n">
        <f>1256244</f>
        <v>1256244.0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68033</f>
        <v>68033.0</v>
      </c>
      <c r="F29" s="23"/>
      <c r="G29" s="25" t="n">
        <f>49510</f>
        <v>49510.0</v>
      </c>
      <c r="H29" s="23"/>
      <c r="I29" s="26" t="n">
        <f>117543</f>
        <v>117543.0</v>
      </c>
      <c r="J29" s="24"/>
      <c r="K29" s="25" t="n">
        <f>18517135820</f>
        <v>1.851713582E10</v>
      </c>
      <c r="L29" s="23"/>
      <c r="M29" s="25" t="n">
        <f>12981923300</f>
        <v>1.29819233E10</v>
      </c>
      <c r="N29" s="23"/>
      <c r="O29" s="26" t="n">
        <f>31499059120</f>
        <v>3.149905912E10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14695</f>
        <v>14695.0</v>
      </c>
      <c r="U29" s="23" t="s">
        <v>29</v>
      </c>
      <c r="V29" s="25" t="n">
        <f>10171</f>
        <v>10171.0</v>
      </c>
      <c r="W29" s="23" t="s">
        <v>29</v>
      </c>
      <c r="X29" s="26" t="n">
        <f>24866</f>
        <v>24866.0</v>
      </c>
      <c r="Y29" s="24"/>
      <c r="Z29" s="25" t="n">
        <f>819745</f>
        <v>819745.0</v>
      </c>
      <c r="AA29" s="23"/>
      <c r="AB29" s="25" t="n">
        <f>453599</f>
        <v>453599.0</v>
      </c>
      <c r="AC29" s="23"/>
      <c r="AD29" s="26" t="n">
        <f>1273344</f>
        <v>1273344.0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55032</f>
        <v>55032.0</v>
      </c>
      <c r="F30" s="23"/>
      <c r="G30" s="25" t="n">
        <f>36785</f>
        <v>36785.0</v>
      </c>
      <c r="H30" s="23"/>
      <c r="I30" s="26" t="n">
        <f>91817</f>
        <v>91817.0</v>
      </c>
      <c r="J30" s="24"/>
      <c r="K30" s="25" t="n">
        <f>17097381043</f>
        <v>1.7097381043E10</v>
      </c>
      <c r="L30" s="23"/>
      <c r="M30" s="25" t="n">
        <f>12614713920</f>
        <v>1.261471392E10</v>
      </c>
      <c r="N30" s="23"/>
      <c r="O30" s="26" t="n">
        <f>29712094963</f>
        <v>2.9712094963E10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9203</f>
        <v>9203.0</v>
      </c>
      <c r="U30" s="23"/>
      <c r="V30" s="25" t="n">
        <f>9688</f>
        <v>9688.0</v>
      </c>
      <c r="W30" s="23"/>
      <c r="X30" s="26" t="n">
        <f>18891</f>
        <v>18891.0</v>
      </c>
      <c r="Y30" s="24"/>
      <c r="Z30" s="25" t="n">
        <f>826551</f>
        <v>826551.0</v>
      </c>
      <c r="AA30" s="23"/>
      <c r="AB30" s="25" t="n">
        <f>457886</f>
        <v>457886.0</v>
      </c>
      <c r="AC30" s="23"/>
      <c r="AD30" s="26" t="n">
        <f>1284437</f>
        <v>1284437.0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65184</f>
        <v>65184.0</v>
      </c>
      <c r="F31" s="23"/>
      <c r="G31" s="25" t="n">
        <f>31933</f>
        <v>31933.0</v>
      </c>
      <c r="H31" s="23"/>
      <c r="I31" s="26" t="n">
        <f>97117</f>
        <v>97117.0</v>
      </c>
      <c r="J31" s="24" t="s">
        <v>29</v>
      </c>
      <c r="K31" s="25" t="n">
        <f>27695954726</f>
        <v>2.7695954726E10</v>
      </c>
      <c r="L31" s="23" t="s">
        <v>29</v>
      </c>
      <c r="M31" s="25" t="n">
        <f>14582134360</f>
        <v>1.458213436E10</v>
      </c>
      <c r="N31" s="23" t="s">
        <v>29</v>
      </c>
      <c r="O31" s="26" t="n">
        <f>42278089086</f>
        <v>4.2278089086E10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15793</f>
        <v>15793.0</v>
      </c>
      <c r="U31" s="23"/>
      <c r="V31" s="25" t="n">
        <f>3094</f>
        <v>3094.0</v>
      </c>
      <c r="W31" s="23"/>
      <c r="X31" s="26" t="n">
        <f>18887</f>
        <v>18887.0</v>
      </c>
      <c r="Y31" s="24"/>
      <c r="Z31" s="25" t="n">
        <f>843482</f>
        <v>843482.0</v>
      </c>
      <c r="AA31" s="23"/>
      <c r="AB31" s="25" t="n">
        <f>465260</f>
        <v>465260.0</v>
      </c>
      <c r="AC31" s="23"/>
      <c r="AD31" s="26" t="n">
        <f>1308742</f>
        <v>1308742.0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/>
      <c r="F33" s="23"/>
      <c r="G33" s="25"/>
      <c r="H33" s="23"/>
      <c r="I33" s="26"/>
      <c r="J33" s="24"/>
      <c r="K33" s="25"/>
      <c r="L33" s="23"/>
      <c r="M33" s="25"/>
      <c r="N33" s="23"/>
      <c r="O33" s="26"/>
      <c r="P33" s="27"/>
      <c r="Q33" s="28"/>
      <c r="R33" s="29"/>
      <c r="S33" s="24"/>
      <c r="T33" s="25"/>
      <c r="U33" s="23"/>
      <c r="V33" s="25"/>
      <c r="W33" s="23"/>
      <c r="X33" s="26"/>
      <c r="Y33" s="24"/>
      <c r="Z33" s="25"/>
      <c r="AA33" s="23"/>
      <c r="AB33" s="25"/>
      <c r="AC33" s="23"/>
      <c r="AD33" s="26"/>
    </row>
    <row r="34">
      <c r="A34" s="30" t="s">
        <v>54</v>
      </c>
      <c r="B34" s="22" t="s">
        <v>27</v>
      </c>
      <c r="C34" s="22" t="s">
        <v>28</v>
      </c>
      <c r="D34" s="24"/>
      <c r="E34" s="25" t="n">
        <f>51578</f>
        <v>51578.0</v>
      </c>
      <c r="F34" s="23"/>
      <c r="G34" s="25" t="n">
        <f>24393</f>
        <v>24393.0</v>
      </c>
      <c r="H34" s="23"/>
      <c r="I34" s="26" t="n">
        <f>75971</f>
        <v>75971.0</v>
      </c>
      <c r="J34" s="24"/>
      <c r="K34" s="25" t="n">
        <f>18558719660</f>
        <v>1.855871966E10</v>
      </c>
      <c r="L34" s="23"/>
      <c r="M34" s="25" t="n">
        <f>7127341620</f>
        <v>7.12734162E9</v>
      </c>
      <c r="N34" s="23"/>
      <c r="O34" s="26" t="n">
        <f>25686061280</f>
        <v>2.568606128E10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 t="s">
        <v>29</v>
      </c>
      <c r="T34" s="25" t="n">
        <f>18651</f>
        <v>18651.0</v>
      </c>
      <c r="U34" s="23"/>
      <c r="V34" s="25" t="n">
        <f>2569</f>
        <v>2569.0</v>
      </c>
      <c r="W34" s="23"/>
      <c r="X34" s="26" t="n">
        <f>21220</f>
        <v>21220.0</v>
      </c>
      <c r="Y34" s="24"/>
      <c r="Z34" s="25" t="n">
        <f>859474</f>
        <v>859474.0</v>
      </c>
      <c r="AA34" s="23"/>
      <c r="AB34" s="25" t="n">
        <f>468440</f>
        <v>468440.0</v>
      </c>
      <c r="AC34" s="23"/>
      <c r="AD34" s="26" t="n">
        <f>1327914</f>
        <v>1327914.0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50939</f>
        <v>50939.0</v>
      </c>
      <c r="F35" s="23"/>
      <c r="G35" s="25" t="n">
        <f>30204</f>
        <v>30204.0</v>
      </c>
      <c r="H35" s="23"/>
      <c r="I35" s="26" t="n">
        <f>81143</f>
        <v>81143.0</v>
      </c>
      <c r="J35" s="24"/>
      <c r="K35" s="25" t="n">
        <f>18076323880</f>
        <v>1.807632388E10</v>
      </c>
      <c r="L35" s="23"/>
      <c r="M35" s="25" t="n">
        <f>10012073060</f>
        <v>1.001207306E10</v>
      </c>
      <c r="N35" s="23"/>
      <c r="O35" s="26" t="n">
        <f>28088396940</f>
        <v>2.808839694E10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 t="s">
        <v>37</v>
      </c>
      <c r="T35" s="25" t="n">
        <f>5356</f>
        <v>5356.0</v>
      </c>
      <c r="U35" s="23"/>
      <c r="V35" s="25" t="n">
        <f>5877</f>
        <v>5877.0</v>
      </c>
      <c r="W35" s="23"/>
      <c r="X35" s="26" t="n">
        <f>11233</f>
        <v>11233.0</v>
      </c>
      <c r="Y35" s="24"/>
      <c r="Z35" s="25" t="n">
        <f>868318</f>
        <v>868318.0</v>
      </c>
      <c r="AA35" s="23"/>
      <c r="AB35" s="25" t="n">
        <f>474182</f>
        <v>474182.0</v>
      </c>
      <c r="AC35" s="23"/>
      <c r="AD35" s="26" t="n">
        <f>1342500</f>
        <v>1342500.0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61988</f>
        <v>61988.0</v>
      </c>
      <c r="F36" s="23" t="s">
        <v>37</v>
      </c>
      <c r="G36" s="25" t="n">
        <f>19546</f>
        <v>19546.0</v>
      </c>
      <c r="H36" s="23"/>
      <c r="I36" s="26" t="n">
        <f>81534</f>
        <v>81534.0</v>
      </c>
      <c r="J36" s="24"/>
      <c r="K36" s="25" t="n">
        <f>12974956321</f>
        <v>1.2974956321E10</v>
      </c>
      <c r="L36" s="23" t="s">
        <v>37</v>
      </c>
      <c r="M36" s="25" t="n">
        <f>4066169740</f>
        <v>4.06616974E9</v>
      </c>
      <c r="N36" s="23"/>
      <c r="O36" s="26" t="n">
        <f>17041126061</f>
        <v>1.7041126061E10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13177</f>
        <v>13177.0</v>
      </c>
      <c r="U36" s="23" t="s">
        <v>37</v>
      </c>
      <c r="V36" s="25" t="n">
        <f>2147</f>
        <v>2147.0</v>
      </c>
      <c r="W36" s="23"/>
      <c r="X36" s="26" t="n">
        <f>15324</f>
        <v>15324.0</v>
      </c>
      <c r="Y36" s="24"/>
      <c r="Z36" s="25" t="n">
        <f>878299</f>
        <v>878299.0</v>
      </c>
      <c r="AA36" s="23"/>
      <c r="AB36" s="25" t="n">
        <f>476112</f>
        <v>476112.0</v>
      </c>
      <c r="AC36" s="23"/>
      <c r="AD36" s="26" t="n">
        <f>1354411</f>
        <v>1354411.0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62259</f>
        <v>62259.0</v>
      </c>
      <c r="F37" s="23"/>
      <c r="G37" s="25" t="n">
        <f>27416</f>
        <v>27416.0</v>
      </c>
      <c r="H37" s="23"/>
      <c r="I37" s="26" t="n">
        <f>89675</f>
        <v>89675.0</v>
      </c>
      <c r="J37" s="24"/>
      <c r="K37" s="25" t="n">
        <f>21214391300</f>
        <v>2.12143913E10</v>
      </c>
      <c r="L37" s="23"/>
      <c r="M37" s="25" t="n">
        <f>9200992370</f>
        <v>9.20099237E9</v>
      </c>
      <c r="N37" s="23"/>
      <c r="O37" s="26" t="n">
        <f>30415383670</f>
        <v>3.041538367E10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12803</f>
        <v>12803.0</v>
      </c>
      <c r="U37" s="23"/>
      <c r="V37" s="25" t="n">
        <f>2736</f>
        <v>2736.0</v>
      </c>
      <c r="W37" s="23"/>
      <c r="X37" s="26" t="n">
        <f>15539</f>
        <v>15539.0</v>
      </c>
      <c r="Y37" s="24"/>
      <c r="Z37" s="25" t="n">
        <f>890400</f>
        <v>890400.0</v>
      </c>
      <c r="AA37" s="23"/>
      <c r="AB37" s="25" t="n">
        <f>479218</f>
        <v>479218.0</v>
      </c>
      <c r="AC37" s="23"/>
      <c r="AD37" s="26" t="n">
        <f>1369618</f>
        <v>1369618.0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67199</f>
        <v>67199.0</v>
      </c>
      <c r="F38" s="23"/>
      <c r="G38" s="25" t="n">
        <f>37441</f>
        <v>37441.0</v>
      </c>
      <c r="H38" s="23"/>
      <c r="I38" s="26" t="n">
        <f>104640</f>
        <v>104640.0</v>
      </c>
      <c r="J38" s="24"/>
      <c r="K38" s="25" t="n">
        <f>22901437590</f>
        <v>2.290143759E10</v>
      </c>
      <c r="L38" s="23"/>
      <c r="M38" s="25" t="n">
        <f>13043385659</f>
        <v>1.3043385659E10</v>
      </c>
      <c r="N38" s="23"/>
      <c r="O38" s="26" t="n">
        <f>35944823249</f>
        <v>3.5944823249E10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9645</f>
        <v>9645.0</v>
      </c>
      <c r="U38" s="23"/>
      <c r="V38" s="25" t="n">
        <f>5129</f>
        <v>5129.0</v>
      </c>
      <c r="W38" s="23"/>
      <c r="X38" s="26" t="n">
        <f>14774</f>
        <v>14774.0</v>
      </c>
      <c r="Y38" s="24" t="s">
        <v>29</v>
      </c>
      <c r="Z38" s="25" t="n">
        <f>903848</f>
        <v>903848.0</v>
      </c>
      <c r="AA38" s="23"/>
      <c r="AB38" s="25" t="n">
        <f>490110</f>
        <v>490110.0</v>
      </c>
      <c r="AC38" s="23" t="s">
        <v>29</v>
      </c>
      <c r="AD38" s="26" t="n">
        <f>1393958</f>
        <v>1393958.0</v>
      </c>
    </row>
    <row r="39">
      <c r="A39" s="30" t="s">
        <v>59</v>
      </c>
      <c r="B39" s="22" t="s">
        <v>27</v>
      </c>
      <c r="C39" s="22" t="s">
        <v>28</v>
      </c>
      <c r="D39" s="24"/>
      <c r="E39" s="25"/>
      <c r="F39" s="23"/>
      <c r="G39" s="25"/>
      <c r="H39" s="23"/>
      <c r="I39" s="26"/>
      <c r="J39" s="24"/>
      <c r="K39" s="25"/>
      <c r="L39" s="23"/>
      <c r="M39" s="25"/>
      <c r="N39" s="23"/>
      <c r="O39" s="26"/>
      <c r="P39" s="27"/>
      <c r="Q39" s="28"/>
      <c r="R39" s="29"/>
      <c r="S39" s="24"/>
      <c r="T39" s="25"/>
      <c r="U39" s="23"/>
      <c r="V39" s="25"/>
      <c r="W39" s="23"/>
      <c r="X39" s="26"/>
      <c r="Y39" s="24"/>
      <c r="Z39" s="25"/>
      <c r="AA39" s="23"/>
      <c r="AB39" s="25"/>
      <c r="AC39" s="23"/>
      <c r="AD39" s="26"/>
    </row>
    <row r="40">
      <c r="A40" s="30" t="s">
        <v>60</v>
      </c>
      <c r="B40" s="22" t="s">
        <v>27</v>
      </c>
      <c r="C40" s="22" t="s">
        <v>28</v>
      </c>
      <c r="D40" s="24"/>
      <c r="E40" s="25"/>
      <c r="F40" s="23"/>
      <c r="G40" s="25"/>
      <c r="H40" s="23"/>
      <c r="I40" s="26"/>
      <c r="J40" s="24"/>
      <c r="K40" s="25"/>
      <c r="L40" s="23"/>
      <c r="M40" s="25"/>
      <c r="N40" s="23"/>
      <c r="O40" s="26"/>
      <c r="P40" s="27"/>
      <c r="Q40" s="28"/>
      <c r="R40" s="29"/>
      <c r="S40" s="24"/>
      <c r="T40" s="25"/>
      <c r="U40" s="23"/>
      <c r="V40" s="25"/>
      <c r="W40" s="23"/>
      <c r="X40" s="26"/>
      <c r="Y40" s="24"/>
      <c r="Z40" s="25"/>
      <c r="AA40" s="23"/>
      <c r="AB40" s="25"/>
      <c r="AC40" s="23"/>
      <c r="AD40" s="26"/>
    </row>
    <row r="41">
      <c r="A41" s="30" t="s">
        <v>26</v>
      </c>
      <c r="B41" s="22" t="s">
        <v>61</v>
      </c>
      <c r="C41" s="22" t="s">
        <v>62</v>
      </c>
      <c r="D41" s="24" t="s">
        <v>37</v>
      </c>
      <c r="E41" s="25" t="n">
        <f>80</f>
        <v>80.0</v>
      </c>
      <c r="F41" s="23"/>
      <c r="G41" s="25" t="n">
        <f>371</f>
        <v>371.0</v>
      </c>
      <c r="H41" s="23"/>
      <c r="I41" s="26" t="n">
        <f>451</f>
        <v>451.0</v>
      </c>
      <c r="J41" s="24"/>
      <c r="K41" s="25" t="n">
        <f>19118000</f>
        <v>1.9118E7</v>
      </c>
      <c r="L41" s="23"/>
      <c r="M41" s="25" t="n">
        <f>94218000</f>
        <v>9.4218E7</v>
      </c>
      <c r="N41" s="23"/>
      <c r="O41" s="26" t="n">
        <f>113336000</f>
        <v>1.13336E8</v>
      </c>
      <c r="P41" s="27" t="n">
        <f>196</f>
        <v>196.0</v>
      </c>
      <c r="Q41" s="28" t="n">
        <f>106</f>
        <v>106.0</v>
      </c>
      <c r="R41" s="29" t="n">
        <f>302</f>
        <v>302.0</v>
      </c>
      <c r="S41" s="24" t="s">
        <v>37</v>
      </c>
      <c r="T41" s="25" t="n">
        <f>2</f>
        <v>2.0</v>
      </c>
      <c r="U41" s="23"/>
      <c r="V41" s="25" t="n">
        <f>300</f>
        <v>300.0</v>
      </c>
      <c r="W41" s="23"/>
      <c r="X41" s="26" t="n">
        <f>302</f>
        <v>302.0</v>
      </c>
      <c r="Y41" s="24" t="s">
        <v>37</v>
      </c>
      <c r="Z41" s="25" t="n">
        <f>474</f>
        <v>474.0</v>
      </c>
      <c r="AA41" s="23"/>
      <c r="AB41" s="25" t="n">
        <f>2391</f>
        <v>2391.0</v>
      </c>
      <c r="AC41" s="23" t="s">
        <v>37</v>
      </c>
      <c r="AD41" s="26" t="n">
        <f>2865</f>
        <v>2865.0</v>
      </c>
    </row>
    <row r="42">
      <c r="A42" s="30" t="s">
        <v>30</v>
      </c>
      <c r="B42" s="22" t="s">
        <v>61</v>
      </c>
      <c r="C42" s="22" t="s">
        <v>62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31</v>
      </c>
      <c r="B43" s="22" t="s">
        <v>61</v>
      </c>
      <c r="C43" s="22" t="s">
        <v>62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32</v>
      </c>
      <c r="B44" s="22" t="s">
        <v>61</v>
      </c>
      <c r="C44" s="22" t="s">
        <v>62</v>
      </c>
      <c r="D44" s="24"/>
      <c r="E44" s="25" t="n">
        <f>96</f>
        <v>96.0</v>
      </c>
      <c r="F44" s="23" t="s">
        <v>37</v>
      </c>
      <c r="G44" s="25" t="n">
        <f>115</f>
        <v>115.0</v>
      </c>
      <c r="H44" s="23" t="s">
        <v>37</v>
      </c>
      <c r="I44" s="26" t="n">
        <f>211</f>
        <v>211.0</v>
      </c>
      <c r="J44" s="24" t="s">
        <v>37</v>
      </c>
      <c r="K44" s="25" t="n">
        <f>12446000</f>
        <v>1.2446E7</v>
      </c>
      <c r="L44" s="23" t="s">
        <v>37</v>
      </c>
      <c r="M44" s="25" t="n">
        <f>7553000</f>
        <v>7553000.0</v>
      </c>
      <c r="N44" s="23" t="s">
        <v>37</v>
      </c>
      <c r="O44" s="26" t="n">
        <f>19999000</f>
        <v>1.9999E7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15</f>
        <v>15.0</v>
      </c>
      <c r="U44" s="23" t="s">
        <v>37</v>
      </c>
      <c r="V44" s="25" t="n">
        <f>3</f>
        <v>3.0</v>
      </c>
      <c r="W44" s="23" t="s">
        <v>37</v>
      </c>
      <c r="X44" s="26" t="n">
        <f>18</f>
        <v>18.0</v>
      </c>
      <c r="Y44" s="24"/>
      <c r="Z44" s="25" t="n">
        <f>518</f>
        <v>518.0</v>
      </c>
      <c r="AA44" s="23"/>
      <c r="AB44" s="25" t="n">
        <f>2446</f>
        <v>2446.0</v>
      </c>
      <c r="AC44" s="23"/>
      <c r="AD44" s="26" t="n">
        <f>2964</f>
        <v>2964.0</v>
      </c>
    </row>
    <row r="45">
      <c r="A45" s="30" t="s">
        <v>33</v>
      </c>
      <c r="B45" s="22" t="s">
        <v>61</v>
      </c>
      <c r="C45" s="22" t="s">
        <v>62</v>
      </c>
      <c r="D45" s="24"/>
      <c r="E45" s="25" t="n">
        <f>476</f>
        <v>476.0</v>
      </c>
      <c r="F45" s="23"/>
      <c r="G45" s="25" t="n">
        <f>132</f>
        <v>132.0</v>
      </c>
      <c r="H45" s="23"/>
      <c r="I45" s="26" t="n">
        <f>608</f>
        <v>608.0</v>
      </c>
      <c r="J45" s="24"/>
      <c r="K45" s="25" t="n">
        <f>31719000</f>
        <v>3.1719E7</v>
      </c>
      <c r="L45" s="23"/>
      <c r="M45" s="25" t="n">
        <f>19500000</f>
        <v>1.95E7</v>
      </c>
      <c r="N45" s="23"/>
      <c r="O45" s="26" t="n">
        <f>51219000</f>
        <v>5.1219E7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27</f>
        <v>27.0</v>
      </c>
      <c r="U45" s="23"/>
      <c r="V45" s="25" t="n">
        <f>8</f>
        <v>8.0</v>
      </c>
      <c r="W45" s="23"/>
      <c r="X45" s="26" t="n">
        <f>35</f>
        <v>35.0</v>
      </c>
      <c r="Y45" s="24"/>
      <c r="Z45" s="25" t="n">
        <f>920</f>
        <v>920.0</v>
      </c>
      <c r="AA45" s="23"/>
      <c r="AB45" s="25" t="n">
        <f>2480</f>
        <v>2480.0</v>
      </c>
      <c r="AC45" s="23"/>
      <c r="AD45" s="26" t="n">
        <f>3400</f>
        <v>3400.0</v>
      </c>
    </row>
    <row r="46">
      <c r="A46" s="30" t="s">
        <v>34</v>
      </c>
      <c r="B46" s="22" t="s">
        <v>61</v>
      </c>
      <c r="C46" s="22" t="s">
        <v>62</v>
      </c>
      <c r="D46" s="24"/>
      <c r="E46" s="25" t="n">
        <f>272</f>
        <v>272.0</v>
      </c>
      <c r="F46" s="23"/>
      <c r="G46" s="25" t="n">
        <f>1085</f>
        <v>1085.0</v>
      </c>
      <c r="H46" s="23"/>
      <c r="I46" s="26" t="n">
        <f>1357</f>
        <v>1357.0</v>
      </c>
      <c r="J46" s="24"/>
      <c r="K46" s="25" t="n">
        <f>38793000</f>
        <v>3.8793E7</v>
      </c>
      <c r="L46" s="23"/>
      <c r="M46" s="25" t="n">
        <f>37425000</f>
        <v>3.7425E7</v>
      </c>
      <c r="N46" s="23"/>
      <c r="O46" s="26" t="n">
        <f>76218000</f>
        <v>7.6218E7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10</f>
        <v>10.0</v>
      </c>
      <c r="U46" s="23"/>
      <c r="V46" s="25" t="n">
        <f>708</f>
        <v>708.0</v>
      </c>
      <c r="W46" s="23"/>
      <c r="X46" s="26" t="n">
        <f>718</f>
        <v>718.0</v>
      </c>
      <c r="Y46" s="24"/>
      <c r="Z46" s="25" t="n">
        <f>1029</f>
        <v>1029.0</v>
      </c>
      <c r="AA46" s="23" t="s">
        <v>37</v>
      </c>
      <c r="AB46" s="25" t="n">
        <f>1944</f>
        <v>1944.0</v>
      </c>
      <c r="AC46" s="23"/>
      <c r="AD46" s="26" t="n">
        <f>2973</f>
        <v>2973.0</v>
      </c>
    </row>
    <row r="47">
      <c r="A47" s="30" t="s">
        <v>35</v>
      </c>
      <c r="B47" s="22" t="s">
        <v>61</v>
      </c>
      <c r="C47" s="22" t="s">
        <v>62</v>
      </c>
      <c r="D47" s="24"/>
      <c r="E47" s="25" t="n">
        <f>794</f>
        <v>794.0</v>
      </c>
      <c r="F47" s="23"/>
      <c r="G47" s="25" t="n">
        <f>663</f>
        <v>663.0</v>
      </c>
      <c r="H47" s="23"/>
      <c r="I47" s="26" t="n">
        <f>1457</f>
        <v>1457.0</v>
      </c>
      <c r="J47" s="24"/>
      <c r="K47" s="25" t="n">
        <f>101954000</f>
        <v>1.01954E8</v>
      </c>
      <c r="L47" s="23"/>
      <c r="M47" s="25" t="n">
        <f>96317000</f>
        <v>9.6317E7</v>
      </c>
      <c r="N47" s="23"/>
      <c r="O47" s="26" t="n">
        <f>198271000</f>
        <v>1.98271E8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55</f>
        <v>55.0</v>
      </c>
      <c r="U47" s="23"/>
      <c r="V47" s="25" t="n">
        <f>16</f>
        <v>16.0</v>
      </c>
      <c r="W47" s="23"/>
      <c r="X47" s="26" t="n">
        <f>71</f>
        <v>71.0</v>
      </c>
      <c r="Y47" s="24"/>
      <c r="Z47" s="25" t="n">
        <f>1353</f>
        <v>1353.0</v>
      </c>
      <c r="AA47" s="23"/>
      <c r="AB47" s="25" t="n">
        <f>2256</f>
        <v>2256.0</v>
      </c>
      <c r="AC47" s="23"/>
      <c r="AD47" s="26" t="n">
        <f>3609</f>
        <v>3609.0</v>
      </c>
    </row>
    <row r="48">
      <c r="A48" s="30" t="s">
        <v>36</v>
      </c>
      <c r="B48" s="22" t="s">
        <v>61</v>
      </c>
      <c r="C48" s="22" t="s">
        <v>62</v>
      </c>
      <c r="D48" s="24"/>
      <c r="E48" s="25" t="n">
        <f>2109</f>
        <v>2109.0</v>
      </c>
      <c r="F48" s="23"/>
      <c r="G48" s="25" t="n">
        <f>1574</f>
        <v>1574.0</v>
      </c>
      <c r="H48" s="23"/>
      <c r="I48" s="26" t="n">
        <f>3683</f>
        <v>3683.0</v>
      </c>
      <c r="J48" s="24"/>
      <c r="K48" s="25" t="n">
        <f>162384000</f>
        <v>1.62384E8</v>
      </c>
      <c r="L48" s="23"/>
      <c r="M48" s="25" t="n">
        <f>183729000</f>
        <v>1.83729E8</v>
      </c>
      <c r="N48" s="23"/>
      <c r="O48" s="26" t="n">
        <f>346113000</f>
        <v>3.46113E8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141</f>
        <v>141.0</v>
      </c>
      <c r="U48" s="23"/>
      <c r="V48" s="25" t="n">
        <f>562</f>
        <v>562.0</v>
      </c>
      <c r="W48" s="23"/>
      <c r="X48" s="26" t="n">
        <f>703</f>
        <v>703.0</v>
      </c>
      <c r="Y48" s="24"/>
      <c r="Z48" s="25" t="n">
        <f>2049</f>
        <v>2049.0</v>
      </c>
      <c r="AA48" s="23"/>
      <c r="AB48" s="25" t="n">
        <f>3126</f>
        <v>3126.0</v>
      </c>
      <c r="AC48" s="23"/>
      <c r="AD48" s="26" t="n">
        <f>5175</f>
        <v>5175.0</v>
      </c>
    </row>
    <row r="49">
      <c r="A49" s="30" t="s">
        <v>38</v>
      </c>
      <c r="B49" s="22" t="s">
        <v>61</v>
      </c>
      <c r="C49" s="22" t="s">
        <v>62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39</v>
      </c>
      <c r="B50" s="22" t="s">
        <v>61</v>
      </c>
      <c r="C50" s="22" t="s">
        <v>62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40</v>
      </c>
      <c r="B51" s="22" t="s">
        <v>61</v>
      </c>
      <c r="C51" s="22" t="s">
        <v>62</v>
      </c>
      <c r="D51" s="24"/>
      <c r="E51" s="25" t="n">
        <f>2574</f>
        <v>2574.0</v>
      </c>
      <c r="F51" s="23"/>
      <c r="G51" s="25" t="n">
        <f>1890</f>
        <v>1890.0</v>
      </c>
      <c r="H51" s="23"/>
      <c r="I51" s="26" t="n">
        <f>4464</f>
        <v>4464.0</v>
      </c>
      <c r="J51" s="24"/>
      <c r="K51" s="25" t="n">
        <f>114042000</f>
        <v>1.14042E8</v>
      </c>
      <c r="L51" s="23"/>
      <c r="M51" s="25" t="n">
        <f>154469000</f>
        <v>1.54469E8</v>
      </c>
      <c r="N51" s="23"/>
      <c r="O51" s="26" t="n">
        <f>268511000</f>
        <v>2.68511E8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565</f>
        <v>565.0</v>
      </c>
      <c r="U51" s="23"/>
      <c r="V51" s="25" t="n">
        <f>98</f>
        <v>98.0</v>
      </c>
      <c r="W51" s="23"/>
      <c r="X51" s="26" t="n">
        <f>663</f>
        <v>663.0</v>
      </c>
      <c r="Y51" s="24"/>
      <c r="Z51" s="25" t="n">
        <f>2810</f>
        <v>2810.0</v>
      </c>
      <c r="AA51" s="23"/>
      <c r="AB51" s="25" t="n">
        <f>3704</f>
        <v>3704.0</v>
      </c>
      <c r="AC51" s="23"/>
      <c r="AD51" s="26" t="n">
        <f>6514</f>
        <v>6514.0</v>
      </c>
    </row>
    <row r="52">
      <c r="A52" s="30" t="s">
        <v>41</v>
      </c>
      <c r="B52" s="22" t="s">
        <v>61</v>
      </c>
      <c r="C52" s="22" t="s">
        <v>62</v>
      </c>
      <c r="D52" s="24"/>
      <c r="E52" s="25" t="n">
        <f>2115</f>
        <v>2115.0</v>
      </c>
      <c r="F52" s="23"/>
      <c r="G52" s="25" t="n">
        <f>3085</f>
        <v>3085.0</v>
      </c>
      <c r="H52" s="23"/>
      <c r="I52" s="26" t="n">
        <f>5200</f>
        <v>5200.0</v>
      </c>
      <c r="J52" s="24"/>
      <c r="K52" s="25" t="n">
        <f>124577000</f>
        <v>1.24577E8</v>
      </c>
      <c r="L52" s="23"/>
      <c r="M52" s="25" t="n">
        <f>178777000</f>
        <v>1.78777E8</v>
      </c>
      <c r="N52" s="23"/>
      <c r="O52" s="26" t="n">
        <f>303354000</f>
        <v>3.03354E8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261</f>
        <v>261.0</v>
      </c>
      <c r="U52" s="23"/>
      <c r="V52" s="25" t="n">
        <f>140</f>
        <v>140.0</v>
      </c>
      <c r="W52" s="23"/>
      <c r="X52" s="26" t="n">
        <f>401</f>
        <v>401.0</v>
      </c>
      <c r="Y52" s="24"/>
      <c r="Z52" s="25" t="n">
        <f>3636</f>
        <v>3636.0</v>
      </c>
      <c r="AA52" s="23"/>
      <c r="AB52" s="25" t="n">
        <f>5450</f>
        <v>5450.0</v>
      </c>
      <c r="AC52" s="23"/>
      <c r="AD52" s="26" t="n">
        <f>9086</f>
        <v>9086.0</v>
      </c>
    </row>
    <row r="53">
      <c r="A53" s="30" t="s">
        <v>42</v>
      </c>
      <c r="B53" s="22" t="s">
        <v>61</v>
      </c>
      <c r="C53" s="22" t="s">
        <v>62</v>
      </c>
      <c r="D53" s="24"/>
      <c r="E53" s="25" t="n">
        <f>2588</f>
        <v>2588.0</v>
      </c>
      <c r="F53" s="23"/>
      <c r="G53" s="25" t="n">
        <f>1535</f>
        <v>1535.0</v>
      </c>
      <c r="H53" s="23"/>
      <c r="I53" s="26" t="n">
        <f>4123</f>
        <v>4123.0</v>
      </c>
      <c r="J53" s="24"/>
      <c r="K53" s="25" t="n">
        <f>116067000</f>
        <v>1.16067E8</v>
      </c>
      <c r="L53" s="23"/>
      <c r="M53" s="25" t="n">
        <f>76274600</f>
        <v>7.62746E7</v>
      </c>
      <c r="N53" s="23"/>
      <c r="O53" s="26" t="n">
        <f>192341600</f>
        <v>1.923416E8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333</f>
        <v>333.0</v>
      </c>
      <c r="U53" s="23"/>
      <c r="V53" s="25" t="n">
        <f>354</f>
        <v>354.0</v>
      </c>
      <c r="W53" s="23"/>
      <c r="X53" s="26" t="n">
        <f>687</f>
        <v>687.0</v>
      </c>
      <c r="Y53" s="24"/>
      <c r="Z53" s="25" t="n">
        <f>4908</f>
        <v>4908.0</v>
      </c>
      <c r="AA53" s="23"/>
      <c r="AB53" s="25" t="n">
        <f>5590</f>
        <v>5590.0</v>
      </c>
      <c r="AC53" s="23"/>
      <c r="AD53" s="26" t="n">
        <f>10498</f>
        <v>10498.0</v>
      </c>
    </row>
    <row r="54">
      <c r="A54" s="30" t="s">
        <v>43</v>
      </c>
      <c r="B54" s="22" t="s">
        <v>61</v>
      </c>
      <c r="C54" s="22" t="s">
        <v>62</v>
      </c>
      <c r="D54" s="24"/>
      <c r="E54" s="25" t="n">
        <f>5295</f>
        <v>5295.0</v>
      </c>
      <c r="F54" s="23"/>
      <c r="G54" s="25" t="n">
        <f>3579</f>
        <v>3579.0</v>
      </c>
      <c r="H54" s="23"/>
      <c r="I54" s="26" t="n">
        <f>8874</f>
        <v>8874.0</v>
      </c>
      <c r="J54" s="24"/>
      <c r="K54" s="25" t="n">
        <f>164429000</f>
        <v>1.64429E8</v>
      </c>
      <c r="L54" s="23"/>
      <c r="M54" s="25" t="n">
        <f>210230000</f>
        <v>2.1023E8</v>
      </c>
      <c r="N54" s="23"/>
      <c r="O54" s="26" t="n">
        <f>374659000</f>
        <v>3.74659E8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384</f>
        <v>384.0</v>
      </c>
      <c r="U54" s="23"/>
      <c r="V54" s="25" t="n">
        <f>233</f>
        <v>233.0</v>
      </c>
      <c r="W54" s="23"/>
      <c r="X54" s="26" t="n">
        <f>617</f>
        <v>617.0</v>
      </c>
      <c r="Y54" s="24"/>
      <c r="Z54" s="25" t="n">
        <f>6426</f>
        <v>6426.0</v>
      </c>
      <c r="AA54" s="23"/>
      <c r="AB54" s="25" t="n">
        <f>6120</f>
        <v>6120.0</v>
      </c>
      <c r="AC54" s="23"/>
      <c r="AD54" s="26" t="n">
        <f>12546</f>
        <v>12546.0</v>
      </c>
    </row>
    <row r="55">
      <c r="A55" s="30" t="s">
        <v>44</v>
      </c>
      <c r="B55" s="22" t="s">
        <v>61</v>
      </c>
      <c r="C55" s="22" t="s">
        <v>62</v>
      </c>
      <c r="D55" s="24"/>
      <c r="E55" s="25" t="n">
        <f>3761</f>
        <v>3761.0</v>
      </c>
      <c r="F55" s="23"/>
      <c r="G55" s="25" t="n">
        <f>1013</f>
        <v>1013.0</v>
      </c>
      <c r="H55" s="23"/>
      <c r="I55" s="26" t="n">
        <f>4774</f>
        <v>4774.0</v>
      </c>
      <c r="J55" s="24" t="s">
        <v>29</v>
      </c>
      <c r="K55" s="25" t="n">
        <f>334134750</f>
        <v>3.3413475E8</v>
      </c>
      <c r="L55" s="23"/>
      <c r="M55" s="25" t="n">
        <f>117607000</f>
        <v>1.17607E8</v>
      </c>
      <c r="N55" s="23"/>
      <c r="O55" s="26" t="n">
        <f>451741750</f>
        <v>4.5174175E8</v>
      </c>
      <c r="P55" s="27" t="n">
        <f>8</f>
        <v>8.0</v>
      </c>
      <c r="Q55" s="28" t="n">
        <f>739</f>
        <v>739.0</v>
      </c>
      <c r="R55" s="29" t="n">
        <f>747</f>
        <v>747.0</v>
      </c>
      <c r="S55" s="24"/>
      <c r="T55" s="25" t="n">
        <f>1248</f>
        <v>1248.0</v>
      </c>
      <c r="U55" s="23"/>
      <c r="V55" s="25" t="n">
        <f>44</f>
        <v>44.0</v>
      </c>
      <c r="W55" s="23"/>
      <c r="X55" s="26" t="n">
        <f>1292</f>
        <v>1292.0</v>
      </c>
      <c r="Y55" s="24"/>
      <c r="Z55" s="25" t="n">
        <f>4251</f>
        <v>4251.0</v>
      </c>
      <c r="AA55" s="23"/>
      <c r="AB55" s="25" t="n">
        <f>2697</f>
        <v>2697.0</v>
      </c>
      <c r="AC55" s="23"/>
      <c r="AD55" s="26" t="n">
        <f>6948</f>
        <v>6948.0</v>
      </c>
    </row>
    <row r="56">
      <c r="A56" s="30" t="s">
        <v>45</v>
      </c>
      <c r="B56" s="22" t="s">
        <v>61</v>
      </c>
      <c r="C56" s="22" t="s">
        <v>62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46</v>
      </c>
      <c r="B57" s="22" t="s">
        <v>61</v>
      </c>
      <c r="C57" s="22" t="s">
        <v>62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47</v>
      </c>
      <c r="B58" s="22" t="s">
        <v>61</v>
      </c>
      <c r="C58" s="22" t="s">
        <v>62</v>
      </c>
      <c r="D58" s="24"/>
      <c r="E58" s="25"/>
      <c r="F58" s="23"/>
      <c r="G58" s="25"/>
      <c r="H58" s="23"/>
      <c r="I58" s="26"/>
      <c r="J58" s="24"/>
      <c r="K58" s="25"/>
      <c r="L58" s="23"/>
      <c r="M58" s="25"/>
      <c r="N58" s="23"/>
      <c r="O58" s="26"/>
      <c r="P58" s="27"/>
      <c r="Q58" s="28"/>
      <c r="R58" s="29"/>
      <c r="S58" s="24"/>
      <c r="T58" s="25"/>
      <c r="U58" s="23"/>
      <c r="V58" s="25"/>
      <c r="W58" s="23"/>
      <c r="X58" s="26"/>
      <c r="Y58" s="24"/>
      <c r="Z58" s="25"/>
      <c r="AA58" s="23"/>
      <c r="AB58" s="25"/>
      <c r="AC58" s="23"/>
      <c r="AD58" s="26"/>
    </row>
    <row r="59">
      <c r="A59" s="30" t="s">
        <v>48</v>
      </c>
      <c r="B59" s="22" t="s">
        <v>61</v>
      </c>
      <c r="C59" s="22" t="s">
        <v>62</v>
      </c>
      <c r="D59" s="24"/>
      <c r="E59" s="25" t="n">
        <f>3514</f>
        <v>3514.0</v>
      </c>
      <c r="F59" s="23"/>
      <c r="G59" s="25" t="n">
        <f>1365</f>
        <v>1365.0</v>
      </c>
      <c r="H59" s="23"/>
      <c r="I59" s="26" t="n">
        <f>4879</f>
        <v>4879.0</v>
      </c>
      <c r="J59" s="24"/>
      <c r="K59" s="25" t="n">
        <f>141763000</f>
        <v>1.41763E8</v>
      </c>
      <c r="L59" s="23"/>
      <c r="M59" s="25" t="n">
        <f>138274000</f>
        <v>1.38274E8</v>
      </c>
      <c r="N59" s="23"/>
      <c r="O59" s="26" t="n">
        <f>280037000</f>
        <v>2.80037E8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225</f>
        <v>225.0</v>
      </c>
      <c r="U59" s="23"/>
      <c r="V59" s="25" t="n">
        <f>52</f>
        <v>52.0</v>
      </c>
      <c r="W59" s="23"/>
      <c r="X59" s="26" t="n">
        <f>277</f>
        <v>277.0</v>
      </c>
      <c r="Y59" s="24"/>
      <c r="Z59" s="25" t="n">
        <f>6098</f>
        <v>6098.0</v>
      </c>
      <c r="AA59" s="23"/>
      <c r="AB59" s="25" t="n">
        <f>3250</f>
        <v>3250.0</v>
      </c>
      <c r="AC59" s="23"/>
      <c r="AD59" s="26" t="n">
        <f>9348</f>
        <v>9348.0</v>
      </c>
    </row>
    <row r="60">
      <c r="A60" s="30" t="s">
        <v>49</v>
      </c>
      <c r="B60" s="22" t="s">
        <v>61</v>
      </c>
      <c r="C60" s="22" t="s">
        <v>62</v>
      </c>
      <c r="D60" s="24" t="s">
        <v>29</v>
      </c>
      <c r="E60" s="25" t="n">
        <f>5638</f>
        <v>5638.0</v>
      </c>
      <c r="F60" s="23" t="s">
        <v>29</v>
      </c>
      <c r="G60" s="25" t="n">
        <f>4990</f>
        <v>4990.0</v>
      </c>
      <c r="H60" s="23" t="s">
        <v>29</v>
      </c>
      <c r="I60" s="26" t="n">
        <f>10628</f>
        <v>10628.0</v>
      </c>
      <c r="J60" s="24"/>
      <c r="K60" s="25" t="n">
        <f>153115000</f>
        <v>1.53115E8</v>
      </c>
      <c r="L60" s="23" t="s">
        <v>29</v>
      </c>
      <c r="M60" s="25" t="n">
        <f>381219000</f>
        <v>3.81219E8</v>
      </c>
      <c r="N60" s="23" t="s">
        <v>29</v>
      </c>
      <c r="O60" s="26" t="n">
        <f>534334000</f>
        <v>5.34334E8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 t="s">
        <v>29</v>
      </c>
      <c r="T60" s="25" t="n">
        <f>1692</f>
        <v>1692.0</v>
      </c>
      <c r="U60" s="23" t="s">
        <v>29</v>
      </c>
      <c r="V60" s="25" t="n">
        <f>1344</f>
        <v>1344.0</v>
      </c>
      <c r="W60" s="23" t="s">
        <v>29</v>
      </c>
      <c r="X60" s="26" t="n">
        <f>3036</f>
        <v>3036.0</v>
      </c>
      <c r="Y60" s="24"/>
      <c r="Z60" s="25" t="n">
        <f>8366</f>
        <v>8366.0</v>
      </c>
      <c r="AA60" s="23"/>
      <c r="AB60" s="25" t="n">
        <f>5745</f>
        <v>5745.0</v>
      </c>
      <c r="AC60" s="23"/>
      <c r="AD60" s="26" t="n">
        <f>14111</f>
        <v>14111.0</v>
      </c>
    </row>
    <row r="61">
      <c r="A61" s="30" t="s">
        <v>50</v>
      </c>
      <c r="B61" s="22" t="s">
        <v>61</v>
      </c>
      <c r="C61" s="22" t="s">
        <v>62</v>
      </c>
      <c r="D61" s="24"/>
      <c r="E61" s="25" t="n">
        <f>5007</f>
        <v>5007.0</v>
      </c>
      <c r="F61" s="23"/>
      <c r="G61" s="25" t="n">
        <f>2719</f>
        <v>2719.0</v>
      </c>
      <c r="H61" s="23"/>
      <c r="I61" s="26" t="n">
        <f>7726</f>
        <v>7726.0</v>
      </c>
      <c r="J61" s="24"/>
      <c r="K61" s="25" t="n">
        <f>176395000</f>
        <v>1.76395E8</v>
      </c>
      <c r="L61" s="23"/>
      <c r="M61" s="25" t="n">
        <f>179354000</f>
        <v>1.79354E8</v>
      </c>
      <c r="N61" s="23"/>
      <c r="O61" s="26" t="n">
        <f>355749000</f>
        <v>3.55749E8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747</f>
        <v>747.0</v>
      </c>
      <c r="U61" s="23"/>
      <c r="V61" s="25" t="n">
        <f>306</f>
        <v>306.0</v>
      </c>
      <c r="W61" s="23"/>
      <c r="X61" s="26" t="n">
        <f>1053</f>
        <v>1053.0</v>
      </c>
      <c r="Y61" s="24"/>
      <c r="Z61" s="25" t="n">
        <f>10203</f>
        <v>10203.0</v>
      </c>
      <c r="AA61" s="23"/>
      <c r="AB61" s="25" t="n">
        <f>6121</f>
        <v>6121.0</v>
      </c>
      <c r="AC61" s="23"/>
      <c r="AD61" s="26" t="n">
        <f>16324</f>
        <v>16324.0</v>
      </c>
    </row>
    <row r="62">
      <c r="A62" s="30" t="s">
        <v>51</v>
      </c>
      <c r="B62" s="22" t="s">
        <v>61</v>
      </c>
      <c r="C62" s="22" t="s">
        <v>62</v>
      </c>
      <c r="D62" s="24"/>
      <c r="E62" s="25" t="n">
        <f>2636</f>
        <v>2636.0</v>
      </c>
      <c r="F62" s="23"/>
      <c r="G62" s="25" t="n">
        <f>1493</f>
        <v>1493.0</v>
      </c>
      <c r="H62" s="23"/>
      <c r="I62" s="26" t="n">
        <f>4129</f>
        <v>4129.0</v>
      </c>
      <c r="J62" s="24"/>
      <c r="K62" s="25" t="n">
        <f>118304000</f>
        <v>1.18304E8</v>
      </c>
      <c r="L62" s="23"/>
      <c r="M62" s="25" t="n">
        <f>147407000</f>
        <v>1.47407E8</v>
      </c>
      <c r="N62" s="23"/>
      <c r="O62" s="26" t="n">
        <f>265711000</f>
        <v>2.65711E8</v>
      </c>
      <c r="P62" s="27" t="n">
        <f>19</f>
        <v>19.0</v>
      </c>
      <c r="Q62" s="28" t="n">
        <f>1628</f>
        <v>1628.0</v>
      </c>
      <c r="R62" s="29" t="n">
        <f>1647</f>
        <v>1647.0</v>
      </c>
      <c r="S62" s="24"/>
      <c r="T62" s="25" t="n">
        <f>159</f>
        <v>159.0</v>
      </c>
      <c r="U62" s="23"/>
      <c r="V62" s="25" t="n">
        <f>411</f>
        <v>411.0</v>
      </c>
      <c r="W62" s="23"/>
      <c r="X62" s="26" t="n">
        <f>570</f>
        <v>570.0</v>
      </c>
      <c r="Y62" s="24"/>
      <c r="Z62" s="25" t="n">
        <f>5228</f>
        <v>5228.0</v>
      </c>
      <c r="AA62" s="23"/>
      <c r="AB62" s="25" t="n">
        <f>4090</f>
        <v>4090.0</v>
      </c>
      <c r="AC62" s="23"/>
      <c r="AD62" s="26" t="n">
        <f>9318</f>
        <v>9318.0</v>
      </c>
    </row>
    <row r="63">
      <c r="A63" s="30" t="s">
        <v>52</v>
      </c>
      <c r="B63" s="22" t="s">
        <v>61</v>
      </c>
      <c r="C63" s="22" t="s">
        <v>62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53</v>
      </c>
      <c r="B64" s="22" t="s">
        <v>61</v>
      </c>
      <c r="C64" s="22" t="s">
        <v>62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54</v>
      </c>
      <c r="B65" s="22" t="s">
        <v>61</v>
      </c>
      <c r="C65" s="22" t="s">
        <v>62</v>
      </c>
      <c r="D65" s="24"/>
      <c r="E65" s="25" t="n">
        <f>2338</f>
        <v>2338.0</v>
      </c>
      <c r="F65" s="23"/>
      <c r="G65" s="25" t="n">
        <f>1670</f>
        <v>1670.0</v>
      </c>
      <c r="H65" s="23"/>
      <c r="I65" s="26" t="n">
        <f>4008</f>
        <v>4008.0</v>
      </c>
      <c r="J65" s="24"/>
      <c r="K65" s="25" t="n">
        <f>108522000</f>
        <v>1.08522E8</v>
      </c>
      <c r="L65" s="23"/>
      <c r="M65" s="25" t="n">
        <f>133150000</f>
        <v>1.3315E8</v>
      </c>
      <c r="N65" s="23"/>
      <c r="O65" s="26" t="n">
        <f>241672000</f>
        <v>2.41672E8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348</f>
        <v>348.0</v>
      </c>
      <c r="U65" s="23"/>
      <c r="V65" s="25" t="n">
        <f>124</f>
        <v>124.0</v>
      </c>
      <c r="W65" s="23"/>
      <c r="X65" s="26" t="n">
        <f>472</f>
        <v>472.0</v>
      </c>
      <c r="Y65" s="24"/>
      <c r="Z65" s="25" t="n">
        <f>6269</f>
        <v>6269.0</v>
      </c>
      <c r="AA65" s="23"/>
      <c r="AB65" s="25" t="n">
        <f>4977</f>
        <v>4977.0</v>
      </c>
      <c r="AC65" s="23"/>
      <c r="AD65" s="26" t="n">
        <f>11246</f>
        <v>11246.0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2358</f>
        <v>2358.0</v>
      </c>
      <c r="F66" s="23"/>
      <c r="G66" s="25" t="n">
        <f>2390</f>
        <v>2390.0</v>
      </c>
      <c r="H66" s="23"/>
      <c r="I66" s="26" t="n">
        <f>4748</f>
        <v>4748.0</v>
      </c>
      <c r="J66" s="24"/>
      <c r="K66" s="25" t="n">
        <f>76146000</f>
        <v>7.6146E7</v>
      </c>
      <c r="L66" s="23"/>
      <c r="M66" s="25" t="n">
        <f>35000000</f>
        <v>3.5E7</v>
      </c>
      <c r="N66" s="23"/>
      <c r="O66" s="26" t="n">
        <f>111146000</f>
        <v>1.11146E8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86</f>
        <v>86.0</v>
      </c>
      <c r="U66" s="23"/>
      <c r="V66" s="25" t="n">
        <f>69</f>
        <v>69.0</v>
      </c>
      <c r="W66" s="23"/>
      <c r="X66" s="26" t="n">
        <f>155</f>
        <v>155.0</v>
      </c>
      <c r="Y66" s="24"/>
      <c r="Z66" s="25" t="n">
        <f>7600</f>
        <v>7600.0</v>
      </c>
      <c r="AA66" s="23"/>
      <c r="AB66" s="25" t="n">
        <f>6681</f>
        <v>6681.0</v>
      </c>
      <c r="AC66" s="23"/>
      <c r="AD66" s="26" t="n">
        <f>14281</f>
        <v>14281.0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2834</f>
        <v>2834.0</v>
      </c>
      <c r="F67" s="23"/>
      <c r="G67" s="25" t="n">
        <f>1735</f>
        <v>1735.0</v>
      </c>
      <c r="H67" s="23"/>
      <c r="I67" s="26" t="n">
        <f>4569</f>
        <v>4569.0</v>
      </c>
      <c r="J67" s="24"/>
      <c r="K67" s="25" t="n">
        <f>79117000</f>
        <v>7.9117E7</v>
      </c>
      <c r="L67" s="23"/>
      <c r="M67" s="25" t="n">
        <f>205883000</f>
        <v>2.05883E8</v>
      </c>
      <c r="N67" s="23"/>
      <c r="O67" s="26" t="n">
        <f>285000000</f>
        <v>2.85E8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160</f>
        <v>160.0</v>
      </c>
      <c r="U67" s="23"/>
      <c r="V67" s="25" t="n">
        <f>113</f>
        <v>113.0</v>
      </c>
      <c r="W67" s="23"/>
      <c r="X67" s="26" t="n">
        <f>273</f>
        <v>273.0</v>
      </c>
      <c r="Y67" s="24"/>
      <c r="Z67" s="25" t="n">
        <f>8922</f>
        <v>8922.0</v>
      </c>
      <c r="AA67" s="23"/>
      <c r="AB67" s="25" t="n">
        <f>7081</f>
        <v>7081.0</v>
      </c>
      <c r="AC67" s="23"/>
      <c r="AD67" s="26" t="n">
        <f>16003</f>
        <v>16003.0</v>
      </c>
    </row>
    <row r="68">
      <c r="A68" s="30" t="s">
        <v>57</v>
      </c>
      <c r="B68" s="22" t="s">
        <v>61</v>
      </c>
      <c r="C68" s="22" t="s">
        <v>62</v>
      </c>
      <c r="D68" s="24"/>
      <c r="E68" s="25" t="n">
        <f>5224</f>
        <v>5224.0</v>
      </c>
      <c r="F68" s="23"/>
      <c r="G68" s="25" t="n">
        <f>3034</f>
        <v>3034.0</v>
      </c>
      <c r="H68" s="23"/>
      <c r="I68" s="26" t="n">
        <f>8258</f>
        <v>8258.0</v>
      </c>
      <c r="J68" s="24"/>
      <c r="K68" s="25" t="n">
        <f>146658000</f>
        <v>1.46658E8</v>
      </c>
      <c r="L68" s="23"/>
      <c r="M68" s="25" t="n">
        <f>88674000</f>
        <v>8.8674E7</v>
      </c>
      <c r="N68" s="23"/>
      <c r="O68" s="26" t="n">
        <f>235332000</f>
        <v>2.35332E8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1228</f>
        <v>1228.0</v>
      </c>
      <c r="U68" s="23"/>
      <c r="V68" s="25" t="n">
        <f>642</f>
        <v>642.0</v>
      </c>
      <c r="W68" s="23"/>
      <c r="X68" s="26" t="n">
        <f>1870</f>
        <v>1870.0</v>
      </c>
      <c r="Y68" s="24" t="s">
        <v>29</v>
      </c>
      <c r="Z68" s="25" t="n">
        <f>10921</f>
        <v>10921.0</v>
      </c>
      <c r="AA68" s="23" t="s">
        <v>29</v>
      </c>
      <c r="AB68" s="25" t="n">
        <f>7150</f>
        <v>7150.0</v>
      </c>
      <c r="AC68" s="23" t="s">
        <v>29</v>
      </c>
      <c r="AD68" s="26" t="n">
        <f>18071</f>
        <v>18071.0</v>
      </c>
    </row>
    <row r="69">
      <c r="A69" s="30" t="s">
        <v>58</v>
      </c>
      <c r="B69" s="22" t="s">
        <v>61</v>
      </c>
      <c r="C69" s="22" t="s">
        <v>62</v>
      </c>
      <c r="D69" s="24"/>
      <c r="E69" s="25" t="n">
        <f>2353</f>
        <v>2353.0</v>
      </c>
      <c r="F69" s="23"/>
      <c r="G69" s="25" t="n">
        <f>1532</f>
        <v>1532.0</v>
      </c>
      <c r="H69" s="23"/>
      <c r="I69" s="26" t="n">
        <f>3885</f>
        <v>3885.0</v>
      </c>
      <c r="J69" s="24"/>
      <c r="K69" s="25" t="n">
        <f>80223000</f>
        <v>8.0223E7</v>
      </c>
      <c r="L69" s="23"/>
      <c r="M69" s="25" t="n">
        <f>169028000</f>
        <v>1.69028E8</v>
      </c>
      <c r="N69" s="23"/>
      <c r="O69" s="26" t="n">
        <f>249251000</f>
        <v>2.49251E8</v>
      </c>
      <c r="P69" s="27" t="n">
        <f>9</f>
        <v>9.0</v>
      </c>
      <c r="Q69" s="28" t="n">
        <f>1660</f>
        <v>1660.0</v>
      </c>
      <c r="R69" s="29" t="n">
        <f>1669</f>
        <v>1669.0</v>
      </c>
      <c r="S69" s="24"/>
      <c r="T69" s="25" t="n">
        <f>92</f>
        <v>92.0</v>
      </c>
      <c r="U69" s="23"/>
      <c r="V69" s="25" t="n">
        <f>351</f>
        <v>351.0</v>
      </c>
      <c r="W69" s="23"/>
      <c r="X69" s="26" t="n">
        <f>443</f>
        <v>443.0</v>
      </c>
      <c r="Y69" s="24"/>
      <c r="Z69" s="25" t="n">
        <f>5195</f>
        <v>5195.0</v>
      </c>
      <c r="AA69" s="23"/>
      <c r="AB69" s="25" t="n">
        <f>2555</f>
        <v>2555.0</v>
      </c>
      <c r="AC69" s="23"/>
      <c r="AD69" s="26" t="n">
        <f>7750</f>
        <v>7750.0</v>
      </c>
    </row>
    <row r="70">
      <c r="A70" s="30" t="s">
        <v>59</v>
      </c>
      <c r="B70" s="22" t="s">
        <v>61</v>
      </c>
      <c r="C70" s="22" t="s">
        <v>62</v>
      </c>
      <c r="D70" s="24"/>
      <c r="E70" s="25"/>
      <c r="F70" s="23"/>
      <c r="G70" s="25"/>
      <c r="H70" s="23"/>
      <c r="I70" s="26"/>
      <c r="J70" s="24"/>
      <c r="K70" s="25"/>
      <c r="L70" s="23"/>
      <c r="M70" s="25"/>
      <c r="N70" s="23"/>
      <c r="O70" s="26"/>
      <c r="P70" s="27"/>
      <c r="Q70" s="28"/>
      <c r="R70" s="29"/>
      <c r="S70" s="24"/>
      <c r="T70" s="25"/>
      <c r="U70" s="23"/>
      <c r="V70" s="25"/>
      <c r="W70" s="23"/>
      <c r="X70" s="26"/>
      <c r="Y70" s="24"/>
      <c r="Z70" s="25"/>
      <c r="AA70" s="23"/>
      <c r="AB70" s="25"/>
      <c r="AC70" s="23"/>
      <c r="AD70" s="26"/>
    </row>
    <row r="71">
      <c r="A71" s="30" t="s">
        <v>60</v>
      </c>
      <c r="B71" s="22" t="s">
        <v>61</v>
      </c>
      <c r="C71" s="22" t="s">
        <v>62</v>
      </c>
      <c r="D71" s="24"/>
      <c r="E71" s="25"/>
      <c r="F71" s="23"/>
      <c r="G71" s="25"/>
      <c r="H71" s="23"/>
      <c r="I71" s="26"/>
      <c r="J71" s="24"/>
      <c r="K71" s="25"/>
      <c r="L71" s="23"/>
      <c r="M71" s="25"/>
      <c r="N71" s="23"/>
      <c r="O71" s="26"/>
      <c r="P71" s="27"/>
      <c r="Q71" s="28"/>
      <c r="R71" s="29"/>
      <c r="S71" s="24"/>
      <c r="T71" s="25"/>
      <c r="U71" s="23"/>
      <c r="V71" s="25"/>
      <c r="W71" s="23"/>
      <c r="X71" s="26"/>
      <c r="Y71" s="24"/>
      <c r="Z71" s="25"/>
      <c r="AA71" s="23"/>
      <c r="AB71" s="25"/>
      <c r="AC71" s="23"/>
      <c r="AD71" s="26"/>
    </row>
    <row r="72">
      <c r="A72" s="30" t="s">
        <v>26</v>
      </c>
      <c r="B72" s="22" t="s">
        <v>63</v>
      </c>
      <c r="C72" s="22" t="s">
        <v>64</v>
      </c>
      <c r="D72" s="24" t="s">
        <v>37</v>
      </c>
      <c r="E72" s="25" t="str">
        <f>"－"</f>
        <v>－</v>
      </c>
      <c r="F72" s="23" t="s">
        <v>37</v>
      </c>
      <c r="G72" s="25" t="str">
        <f>"－"</f>
        <v>－</v>
      </c>
      <c r="H72" s="23" t="s">
        <v>37</v>
      </c>
      <c r="I72" s="26" t="str">
        <f>"－"</f>
        <v>－</v>
      </c>
      <c r="J72" s="24" t="s">
        <v>37</v>
      </c>
      <c r="K72" s="25" t="str">
        <f>"－"</f>
        <v>－</v>
      </c>
      <c r="L72" s="23" t="s">
        <v>37</v>
      </c>
      <c r="M72" s="25" t="str">
        <f>"－"</f>
        <v>－</v>
      </c>
      <c r="N72" s="23" t="s">
        <v>37</v>
      </c>
      <c r="O72" s="26" t="str">
        <f>"－"</f>
        <v>－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 t="s">
        <v>37</v>
      </c>
      <c r="T72" s="25" t="str">
        <f>"－"</f>
        <v>－</v>
      </c>
      <c r="U72" s="23" t="s">
        <v>37</v>
      </c>
      <c r="V72" s="25" t="str">
        <f>"－"</f>
        <v>－</v>
      </c>
      <c r="W72" s="23" t="s">
        <v>37</v>
      </c>
      <c r="X72" s="26" t="str">
        <f>"－"</f>
        <v>－</v>
      </c>
      <c r="Y72" s="24"/>
      <c r="Z72" s="25" t="n">
        <f>74645</f>
        <v>74645.0</v>
      </c>
      <c r="AA72" s="23"/>
      <c r="AB72" s="25" t="n">
        <f>11990</f>
        <v>11990.0</v>
      </c>
      <c r="AC72" s="23"/>
      <c r="AD72" s="26" t="n">
        <f>86635</f>
        <v>86635.0</v>
      </c>
    </row>
    <row r="73">
      <c r="A73" s="30" t="s">
        <v>30</v>
      </c>
      <c r="B73" s="22" t="s">
        <v>63</v>
      </c>
      <c r="C73" s="22" t="s">
        <v>64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31</v>
      </c>
      <c r="B74" s="22" t="s">
        <v>63</v>
      </c>
      <c r="C74" s="22" t="s">
        <v>64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32</v>
      </c>
      <c r="B75" s="22" t="s">
        <v>63</v>
      </c>
      <c r="C75" s="22" t="s">
        <v>64</v>
      </c>
      <c r="D75" s="24"/>
      <c r="E75" s="25" t="str">
        <f>"－"</f>
        <v>－</v>
      </c>
      <c r="F75" s="23"/>
      <c r="G75" s="25" t="str">
        <f>"－"</f>
        <v>－</v>
      </c>
      <c r="H75" s="23"/>
      <c r="I75" s="26" t="str">
        <f>"－"</f>
        <v>－</v>
      </c>
      <c r="J75" s="24"/>
      <c r="K75" s="25" t="str">
        <f>"－"</f>
        <v>－</v>
      </c>
      <c r="L75" s="23"/>
      <c r="M75" s="25" t="str">
        <f>"－"</f>
        <v>－</v>
      </c>
      <c r="N75" s="23"/>
      <c r="O75" s="26" t="str">
        <f>"－"</f>
        <v>－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str">
        <f>"－"</f>
        <v>－</v>
      </c>
      <c r="U75" s="23"/>
      <c r="V75" s="25" t="str">
        <f>"－"</f>
        <v>－</v>
      </c>
      <c r="W75" s="23"/>
      <c r="X75" s="26" t="str">
        <f>"－"</f>
        <v>－</v>
      </c>
      <c r="Y75" s="24"/>
      <c r="Z75" s="25" t="n">
        <f>74645</f>
        <v>74645.0</v>
      </c>
      <c r="AA75" s="23"/>
      <c r="AB75" s="25" t="n">
        <f>11990</f>
        <v>11990.0</v>
      </c>
      <c r="AC75" s="23"/>
      <c r="AD75" s="26" t="n">
        <f>86635</f>
        <v>86635.0</v>
      </c>
    </row>
    <row r="76">
      <c r="A76" s="30" t="s">
        <v>33</v>
      </c>
      <c r="B76" s="22" t="s">
        <v>63</v>
      </c>
      <c r="C76" s="22" t="s">
        <v>64</v>
      </c>
      <c r="D76" s="24"/>
      <c r="E76" s="25" t="n">
        <f>2150</f>
        <v>2150.0</v>
      </c>
      <c r="F76" s="23"/>
      <c r="G76" s="25" t="n">
        <f>400</f>
        <v>400.0</v>
      </c>
      <c r="H76" s="23"/>
      <c r="I76" s="26" t="n">
        <f>2550</f>
        <v>2550.0</v>
      </c>
      <c r="J76" s="24"/>
      <c r="K76" s="25" t="n">
        <f>545725000</f>
        <v>5.45725E8</v>
      </c>
      <c r="L76" s="23" t="s">
        <v>29</v>
      </c>
      <c r="M76" s="25" t="n">
        <f>400000000</f>
        <v>4.0E8</v>
      </c>
      <c r="N76" s="23"/>
      <c r="O76" s="26" t="n">
        <f>945725000</f>
        <v>9.45725E8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n">
        <f>400</f>
        <v>400.0</v>
      </c>
      <c r="U76" s="23"/>
      <c r="V76" s="25" t="n">
        <f>400</f>
        <v>400.0</v>
      </c>
      <c r="W76" s="23"/>
      <c r="X76" s="26" t="n">
        <f>800</f>
        <v>800.0</v>
      </c>
      <c r="Y76" s="24"/>
      <c r="Z76" s="25" t="n">
        <f>73995</f>
        <v>73995.0</v>
      </c>
      <c r="AA76" s="23"/>
      <c r="AB76" s="25" t="n">
        <f>12390</f>
        <v>12390.0</v>
      </c>
      <c r="AC76" s="23"/>
      <c r="AD76" s="26" t="n">
        <f>86385</f>
        <v>86385.0</v>
      </c>
    </row>
    <row r="77">
      <c r="A77" s="30" t="s">
        <v>34</v>
      </c>
      <c r="B77" s="22" t="s">
        <v>63</v>
      </c>
      <c r="C77" s="22" t="s">
        <v>64</v>
      </c>
      <c r="D77" s="24"/>
      <c r="E77" s="25" t="str">
        <f>"－"</f>
        <v>－</v>
      </c>
      <c r="F77" s="23"/>
      <c r="G77" s="25" t="str">
        <f>"－"</f>
        <v>－</v>
      </c>
      <c r="H77" s="23"/>
      <c r="I77" s="26" t="str">
        <f>"－"</f>
        <v>－</v>
      </c>
      <c r="J77" s="24"/>
      <c r="K77" s="25" t="str">
        <f>"－"</f>
        <v>－</v>
      </c>
      <c r="L77" s="23"/>
      <c r="M77" s="25" t="str">
        <f>"－"</f>
        <v>－</v>
      </c>
      <c r="N77" s="23"/>
      <c r="O77" s="26" t="str">
        <f>"－"</f>
        <v>－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str">
        <f>"－"</f>
        <v>－</v>
      </c>
      <c r="U77" s="23"/>
      <c r="V77" s="25" t="str">
        <f>"－"</f>
        <v>－</v>
      </c>
      <c r="W77" s="23"/>
      <c r="X77" s="26" t="str">
        <f>"－"</f>
        <v>－</v>
      </c>
      <c r="Y77" s="24"/>
      <c r="Z77" s="25" t="n">
        <f>73995</f>
        <v>73995.0</v>
      </c>
      <c r="AA77" s="23"/>
      <c r="AB77" s="25" t="n">
        <f>12390</f>
        <v>12390.0</v>
      </c>
      <c r="AC77" s="23"/>
      <c r="AD77" s="26" t="n">
        <f>86385</f>
        <v>86385.0</v>
      </c>
    </row>
    <row r="78">
      <c r="A78" s="30" t="s">
        <v>35</v>
      </c>
      <c r="B78" s="22" t="s">
        <v>63</v>
      </c>
      <c r="C78" s="22" t="s">
        <v>64</v>
      </c>
      <c r="D78" s="24"/>
      <c r="E78" s="25" t="n">
        <f>500</f>
        <v>500.0</v>
      </c>
      <c r="F78" s="23" t="s">
        <v>29</v>
      </c>
      <c r="G78" s="25" t="n">
        <f>500</f>
        <v>500.0</v>
      </c>
      <c r="H78" s="23"/>
      <c r="I78" s="26" t="n">
        <f>1000</f>
        <v>1000.0</v>
      </c>
      <c r="J78" s="24"/>
      <c r="K78" s="25" t="n">
        <f>20000000</f>
        <v>2.0E7</v>
      </c>
      <c r="L78" s="23"/>
      <c r="M78" s="25" t="n">
        <f>28250000</f>
        <v>2.825E7</v>
      </c>
      <c r="N78" s="23"/>
      <c r="O78" s="26" t="n">
        <f>48250000</f>
        <v>4.825E7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500</f>
        <v>500.0</v>
      </c>
      <c r="U78" s="23" t="s">
        <v>29</v>
      </c>
      <c r="V78" s="25" t="n">
        <f>500</f>
        <v>500.0</v>
      </c>
      <c r="W78" s="23"/>
      <c r="X78" s="26" t="n">
        <f>1000</f>
        <v>1000.0</v>
      </c>
      <c r="Y78" s="24"/>
      <c r="Z78" s="25" t="n">
        <f>73495</f>
        <v>73495.0</v>
      </c>
      <c r="AA78" s="23" t="s">
        <v>29</v>
      </c>
      <c r="AB78" s="25" t="n">
        <f>12890</f>
        <v>12890.0</v>
      </c>
      <c r="AC78" s="23"/>
      <c r="AD78" s="26" t="n">
        <f>86385</f>
        <v>86385.0</v>
      </c>
    </row>
    <row r="79">
      <c r="A79" s="30" t="s">
        <v>36</v>
      </c>
      <c r="B79" s="22" t="s">
        <v>63</v>
      </c>
      <c r="C79" s="22" t="s">
        <v>64</v>
      </c>
      <c r="D79" s="24"/>
      <c r="E79" s="25" t="n">
        <f>281</f>
        <v>281.0</v>
      </c>
      <c r="F79" s="23"/>
      <c r="G79" s="25" t="str">
        <f>"－"</f>
        <v>－</v>
      </c>
      <c r="H79" s="23"/>
      <c r="I79" s="26" t="n">
        <f>281</f>
        <v>281.0</v>
      </c>
      <c r="J79" s="24"/>
      <c r="K79" s="25" t="n">
        <f>35796584</f>
        <v>3.5796584E7</v>
      </c>
      <c r="L79" s="23"/>
      <c r="M79" s="25" t="str">
        <f>"－"</f>
        <v>－</v>
      </c>
      <c r="N79" s="23"/>
      <c r="O79" s="26" t="n">
        <f>35796584</f>
        <v>3.5796584E7</v>
      </c>
      <c r="P79" s="27" t="n">
        <f>201</f>
        <v>201.0</v>
      </c>
      <c r="Q79" s="28" t="n">
        <f>500</f>
        <v>500.0</v>
      </c>
      <c r="R79" s="29" t="n">
        <f>701</f>
        <v>701.0</v>
      </c>
      <c r="S79" s="24"/>
      <c r="T79" s="25" t="str">
        <f>"－"</f>
        <v>－</v>
      </c>
      <c r="U79" s="23"/>
      <c r="V79" s="25" t="str">
        <f>"－"</f>
        <v>－</v>
      </c>
      <c r="W79" s="23"/>
      <c r="X79" s="26" t="str">
        <f>"－"</f>
        <v>－</v>
      </c>
      <c r="Y79" s="24"/>
      <c r="Z79" s="25" t="n">
        <f>67518</f>
        <v>67518.0</v>
      </c>
      <c r="AA79" s="23" t="s">
        <v>37</v>
      </c>
      <c r="AB79" s="25" t="n">
        <f>11088</f>
        <v>11088.0</v>
      </c>
      <c r="AC79" s="23"/>
      <c r="AD79" s="26" t="n">
        <f>78606</f>
        <v>78606.0</v>
      </c>
    </row>
    <row r="80">
      <c r="A80" s="30" t="s">
        <v>38</v>
      </c>
      <c r="B80" s="22" t="s">
        <v>63</v>
      </c>
      <c r="C80" s="22" t="s">
        <v>64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39</v>
      </c>
      <c r="B81" s="22" t="s">
        <v>63</v>
      </c>
      <c r="C81" s="22" t="s">
        <v>64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40</v>
      </c>
      <c r="B82" s="22" t="s">
        <v>63</v>
      </c>
      <c r="C82" s="22" t="s">
        <v>64</v>
      </c>
      <c r="D82" s="24"/>
      <c r="E82" s="25" t="str">
        <f>"－"</f>
        <v>－</v>
      </c>
      <c r="F82" s="23"/>
      <c r="G82" s="25" t="str">
        <f>"－"</f>
        <v>－</v>
      </c>
      <c r="H82" s="23"/>
      <c r="I82" s="26" t="str">
        <f>"－"</f>
        <v>－</v>
      </c>
      <c r="J82" s="24"/>
      <c r="K82" s="25" t="str">
        <f>"－"</f>
        <v>－</v>
      </c>
      <c r="L82" s="23"/>
      <c r="M82" s="25" t="str">
        <f>"－"</f>
        <v>－</v>
      </c>
      <c r="N82" s="23"/>
      <c r="O82" s="26" t="str">
        <f>"－"</f>
        <v>－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str">
        <f>"－"</f>
        <v>－</v>
      </c>
      <c r="U82" s="23"/>
      <c r="V82" s="25" t="str">
        <f>"－"</f>
        <v>－</v>
      </c>
      <c r="W82" s="23"/>
      <c r="X82" s="26" t="str">
        <f>"－"</f>
        <v>－</v>
      </c>
      <c r="Y82" s="24" t="s">
        <v>37</v>
      </c>
      <c r="Z82" s="25" t="n">
        <f>67473</f>
        <v>67473.0</v>
      </c>
      <c r="AA82" s="23"/>
      <c r="AB82" s="25" t="n">
        <f>11088</f>
        <v>11088.0</v>
      </c>
      <c r="AC82" s="23" t="s">
        <v>37</v>
      </c>
      <c r="AD82" s="26" t="n">
        <f>78561</f>
        <v>78561.0</v>
      </c>
    </row>
    <row r="83">
      <c r="A83" s="30" t="s">
        <v>41</v>
      </c>
      <c r="B83" s="22" t="s">
        <v>63</v>
      </c>
      <c r="C83" s="22" t="s">
        <v>64</v>
      </c>
      <c r="D83" s="24"/>
      <c r="E83" s="25" t="str">
        <f>"－"</f>
        <v>－</v>
      </c>
      <c r="F83" s="23"/>
      <c r="G83" s="25" t="str">
        <f>"－"</f>
        <v>－</v>
      </c>
      <c r="H83" s="23"/>
      <c r="I83" s="26" t="str">
        <f>"－"</f>
        <v>－</v>
      </c>
      <c r="J83" s="24"/>
      <c r="K83" s="25" t="str">
        <f>"－"</f>
        <v>－</v>
      </c>
      <c r="L83" s="23"/>
      <c r="M83" s="25" t="str">
        <f>"－"</f>
        <v>－</v>
      </c>
      <c r="N83" s="23"/>
      <c r="O83" s="26" t="str">
        <f>"－"</f>
        <v>－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str">
        <f>"－"</f>
        <v>－</v>
      </c>
      <c r="U83" s="23"/>
      <c r="V83" s="25" t="str">
        <f>"－"</f>
        <v>－</v>
      </c>
      <c r="W83" s="23"/>
      <c r="X83" s="26" t="str">
        <f>"－"</f>
        <v>－</v>
      </c>
      <c r="Y83" s="24"/>
      <c r="Z83" s="25" t="n">
        <f>67473</f>
        <v>67473.0</v>
      </c>
      <c r="AA83" s="23"/>
      <c r="AB83" s="25" t="n">
        <f>11088</f>
        <v>11088.0</v>
      </c>
      <c r="AC83" s="23"/>
      <c r="AD83" s="26" t="n">
        <f>78561</f>
        <v>78561.0</v>
      </c>
    </row>
    <row r="84">
      <c r="A84" s="30" t="s">
        <v>42</v>
      </c>
      <c r="B84" s="22" t="s">
        <v>63</v>
      </c>
      <c r="C84" s="22" t="s">
        <v>64</v>
      </c>
      <c r="D84" s="24"/>
      <c r="E84" s="25" t="str">
        <f>"－"</f>
        <v>－</v>
      </c>
      <c r="F84" s="23"/>
      <c r="G84" s="25" t="str">
        <f>"－"</f>
        <v>－</v>
      </c>
      <c r="H84" s="23"/>
      <c r="I84" s="26" t="str">
        <f>"－"</f>
        <v>－</v>
      </c>
      <c r="J84" s="24"/>
      <c r="K84" s="25" t="str">
        <f>"－"</f>
        <v>－</v>
      </c>
      <c r="L84" s="23"/>
      <c r="M84" s="25" t="str">
        <f>"－"</f>
        <v>－</v>
      </c>
      <c r="N84" s="23"/>
      <c r="O84" s="26" t="str">
        <f>"－"</f>
        <v>－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str">
        <f>"－"</f>
        <v>－</v>
      </c>
      <c r="U84" s="23"/>
      <c r="V84" s="25" t="str">
        <f>"－"</f>
        <v>－</v>
      </c>
      <c r="W84" s="23"/>
      <c r="X84" s="26" t="str">
        <f>"－"</f>
        <v>－</v>
      </c>
      <c r="Y84" s="24"/>
      <c r="Z84" s="25" t="n">
        <f>67473</f>
        <v>67473.0</v>
      </c>
      <c r="AA84" s="23"/>
      <c r="AB84" s="25" t="n">
        <f>11088</f>
        <v>11088.0</v>
      </c>
      <c r="AC84" s="23"/>
      <c r="AD84" s="26" t="n">
        <f>78561</f>
        <v>78561.0</v>
      </c>
    </row>
    <row r="85">
      <c r="A85" s="30" t="s">
        <v>43</v>
      </c>
      <c r="B85" s="22" t="s">
        <v>63</v>
      </c>
      <c r="C85" s="22" t="s">
        <v>64</v>
      </c>
      <c r="D85" s="24"/>
      <c r="E85" s="25" t="str">
        <f>"－"</f>
        <v>－</v>
      </c>
      <c r="F85" s="23"/>
      <c r="G85" s="25" t="str">
        <f>"－"</f>
        <v>－</v>
      </c>
      <c r="H85" s="23"/>
      <c r="I85" s="26" t="str">
        <f>"－"</f>
        <v>－</v>
      </c>
      <c r="J85" s="24"/>
      <c r="K85" s="25" t="str">
        <f>"－"</f>
        <v>－</v>
      </c>
      <c r="L85" s="23"/>
      <c r="M85" s="25" t="str">
        <f>"－"</f>
        <v>－</v>
      </c>
      <c r="N85" s="23"/>
      <c r="O85" s="26" t="str">
        <f>"－"</f>
        <v>－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str">
        <f>"－"</f>
        <v>－</v>
      </c>
      <c r="U85" s="23"/>
      <c r="V85" s="25" t="str">
        <f>"－"</f>
        <v>－</v>
      </c>
      <c r="W85" s="23"/>
      <c r="X85" s="26" t="str">
        <f>"－"</f>
        <v>－</v>
      </c>
      <c r="Y85" s="24"/>
      <c r="Z85" s="25" t="n">
        <f>67473</f>
        <v>67473.0</v>
      </c>
      <c r="AA85" s="23"/>
      <c r="AB85" s="25" t="n">
        <f>11088</f>
        <v>11088.0</v>
      </c>
      <c r="AC85" s="23"/>
      <c r="AD85" s="26" t="n">
        <f>78561</f>
        <v>78561.0</v>
      </c>
    </row>
    <row r="86">
      <c r="A86" s="30" t="s">
        <v>44</v>
      </c>
      <c r="B86" s="22" t="s">
        <v>63</v>
      </c>
      <c r="C86" s="22" t="s">
        <v>64</v>
      </c>
      <c r="D86" s="24"/>
      <c r="E86" s="25" t="str">
        <f>"－"</f>
        <v>－</v>
      </c>
      <c r="F86" s="23"/>
      <c r="G86" s="25" t="str">
        <f>"－"</f>
        <v>－</v>
      </c>
      <c r="H86" s="23"/>
      <c r="I86" s="26" t="str">
        <f>"－"</f>
        <v>－</v>
      </c>
      <c r="J86" s="24"/>
      <c r="K86" s="25" t="str">
        <f>"－"</f>
        <v>－</v>
      </c>
      <c r="L86" s="23"/>
      <c r="M86" s="25" t="str">
        <f>"－"</f>
        <v>－</v>
      </c>
      <c r="N86" s="23"/>
      <c r="O86" s="26" t="str">
        <f>"－"</f>
        <v>－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str">
        <f>"－"</f>
        <v>－</v>
      </c>
      <c r="U86" s="23"/>
      <c r="V86" s="25" t="str">
        <f>"－"</f>
        <v>－</v>
      </c>
      <c r="W86" s="23"/>
      <c r="X86" s="26" t="str">
        <f>"－"</f>
        <v>－</v>
      </c>
      <c r="Y86" s="24"/>
      <c r="Z86" s="25" t="n">
        <f>67473</f>
        <v>67473.0</v>
      </c>
      <c r="AA86" s="23"/>
      <c r="AB86" s="25" t="n">
        <f>11088</f>
        <v>11088.0</v>
      </c>
      <c r="AC86" s="23"/>
      <c r="AD86" s="26" t="n">
        <f>78561</f>
        <v>78561.0</v>
      </c>
    </row>
    <row r="87">
      <c r="A87" s="30" t="s">
        <v>45</v>
      </c>
      <c r="B87" s="22" t="s">
        <v>63</v>
      </c>
      <c r="C87" s="22" t="s">
        <v>64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46</v>
      </c>
      <c r="B88" s="22" t="s">
        <v>63</v>
      </c>
      <c r="C88" s="22" t="s">
        <v>64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47</v>
      </c>
      <c r="B89" s="22" t="s">
        <v>63</v>
      </c>
      <c r="C89" s="22" t="s">
        <v>64</v>
      </c>
      <c r="D89" s="24"/>
      <c r="E89" s="25"/>
      <c r="F89" s="23"/>
      <c r="G89" s="25"/>
      <c r="H89" s="23"/>
      <c r="I89" s="26"/>
      <c r="J89" s="24"/>
      <c r="K89" s="25"/>
      <c r="L89" s="23"/>
      <c r="M89" s="25"/>
      <c r="N89" s="23"/>
      <c r="O89" s="26"/>
      <c r="P89" s="27"/>
      <c r="Q89" s="28"/>
      <c r="R89" s="29"/>
      <c r="S89" s="24"/>
      <c r="T89" s="25"/>
      <c r="U89" s="23"/>
      <c r="V89" s="25"/>
      <c r="W89" s="23"/>
      <c r="X89" s="26"/>
      <c r="Y89" s="24"/>
      <c r="Z89" s="25"/>
      <c r="AA89" s="23"/>
      <c r="AB89" s="25"/>
      <c r="AC89" s="23"/>
      <c r="AD89" s="26"/>
    </row>
    <row r="90">
      <c r="A90" s="30" t="s">
        <v>48</v>
      </c>
      <c r="B90" s="22" t="s">
        <v>63</v>
      </c>
      <c r="C90" s="22" t="s">
        <v>64</v>
      </c>
      <c r="D90" s="24"/>
      <c r="E90" s="25" t="str">
        <f>"－"</f>
        <v>－</v>
      </c>
      <c r="F90" s="23"/>
      <c r="G90" s="25" t="str">
        <f>"－"</f>
        <v>－</v>
      </c>
      <c r="H90" s="23"/>
      <c r="I90" s="26" t="str">
        <f>"－"</f>
        <v>－</v>
      </c>
      <c r="J90" s="24"/>
      <c r="K90" s="25" t="str">
        <f>"－"</f>
        <v>－</v>
      </c>
      <c r="L90" s="23"/>
      <c r="M90" s="25" t="str">
        <f>"－"</f>
        <v>－</v>
      </c>
      <c r="N90" s="23"/>
      <c r="O90" s="26" t="str">
        <f>"－"</f>
        <v>－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str">
        <f>"－"</f>
        <v>－</v>
      </c>
      <c r="U90" s="23"/>
      <c r="V90" s="25" t="str">
        <f>"－"</f>
        <v>－</v>
      </c>
      <c r="W90" s="23"/>
      <c r="X90" s="26" t="str">
        <f>"－"</f>
        <v>－</v>
      </c>
      <c r="Y90" s="24"/>
      <c r="Z90" s="25" t="n">
        <f>67473</f>
        <v>67473.0</v>
      </c>
      <c r="AA90" s="23"/>
      <c r="AB90" s="25" t="n">
        <f>11088</f>
        <v>11088.0</v>
      </c>
      <c r="AC90" s="23"/>
      <c r="AD90" s="26" t="n">
        <f>78561</f>
        <v>78561.0</v>
      </c>
    </row>
    <row r="91">
      <c r="A91" s="30" t="s">
        <v>49</v>
      </c>
      <c r="B91" s="22" t="s">
        <v>63</v>
      </c>
      <c r="C91" s="22" t="s">
        <v>64</v>
      </c>
      <c r="D91" s="24"/>
      <c r="E91" s="25" t="n">
        <f>3500</f>
        <v>3500.0</v>
      </c>
      <c r="F91" s="23"/>
      <c r="G91" s="25" t="str">
        <f>"－"</f>
        <v>－</v>
      </c>
      <c r="H91" s="23"/>
      <c r="I91" s="26" t="n">
        <f>3500</f>
        <v>3500.0</v>
      </c>
      <c r="J91" s="24"/>
      <c r="K91" s="25" t="n">
        <f>586460000</f>
        <v>5.8646E8</v>
      </c>
      <c r="L91" s="23"/>
      <c r="M91" s="25" t="str">
        <f>"－"</f>
        <v>－</v>
      </c>
      <c r="N91" s="23"/>
      <c r="O91" s="26" t="n">
        <f>586460000</f>
        <v>5.8646E8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3500</f>
        <v>3500.0</v>
      </c>
      <c r="U91" s="23"/>
      <c r="V91" s="25" t="str">
        <f>"－"</f>
        <v>－</v>
      </c>
      <c r="W91" s="23"/>
      <c r="X91" s="26" t="n">
        <f>3500</f>
        <v>3500.0</v>
      </c>
      <c r="Y91" s="24"/>
      <c r="Z91" s="25" t="n">
        <f>69573</f>
        <v>69573.0</v>
      </c>
      <c r="AA91" s="23"/>
      <c r="AB91" s="25" t="n">
        <f>11088</f>
        <v>11088.0</v>
      </c>
      <c r="AC91" s="23"/>
      <c r="AD91" s="26" t="n">
        <f>80661</f>
        <v>80661.0</v>
      </c>
    </row>
    <row r="92">
      <c r="A92" s="30" t="s">
        <v>50</v>
      </c>
      <c r="B92" s="22" t="s">
        <v>63</v>
      </c>
      <c r="C92" s="22" t="s">
        <v>64</v>
      </c>
      <c r="D92" s="24"/>
      <c r="E92" s="25" t="n">
        <f>200</f>
        <v>200.0</v>
      </c>
      <c r="F92" s="23"/>
      <c r="G92" s="25" t="str">
        <f>"－"</f>
        <v>－</v>
      </c>
      <c r="H92" s="23"/>
      <c r="I92" s="26" t="n">
        <f>200</f>
        <v>200.0</v>
      </c>
      <c r="J92" s="24"/>
      <c r="K92" s="25" t="n">
        <f>8150000</f>
        <v>8150000.0</v>
      </c>
      <c r="L92" s="23"/>
      <c r="M92" s="25" t="str">
        <f>"－"</f>
        <v>－</v>
      </c>
      <c r="N92" s="23"/>
      <c r="O92" s="26" t="n">
        <f>8150000</f>
        <v>8150000.0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str">
        <f>"－"</f>
        <v>－</v>
      </c>
      <c r="U92" s="23"/>
      <c r="V92" s="25" t="str">
        <f>"－"</f>
        <v>－</v>
      </c>
      <c r="W92" s="23"/>
      <c r="X92" s="26" t="str">
        <f>"－"</f>
        <v>－</v>
      </c>
      <c r="Y92" s="24"/>
      <c r="Z92" s="25" t="n">
        <f>69773</f>
        <v>69773.0</v>
      </c>
      <c r="AA92" s="23"/>
      <c r="AB92" s="25" t="n">
        <f>11088</f>
        <v>11088.0</v>
      </c>
      <c r="AC92" s="23"/>
      <c r="AD92" s="26" t="n">
        <f>80861</f>
        <v>80861.0</v>
      </c>
    </row>
    <row r="93">
      <c r="A93" s="30" t="s">
        <v>51</v>
      </c>
      <c r="B93" s="22" t="s">
        <v>63</v>
      </c>
      <c r="C93" s="22" t="s">
        <v>64</v>
      </c>
      <c r="D93" s="24"/>
      <c r="E93" s="25" t="n">
        <f>6295</f>
        <v>6295.0</v>
      </c>
      <c r="F93" s="23"/>
      <c r="G93" s="25" t="str">
        <f>"－"</f>
        <v>－</v>
      </c>
      <c r="H93" s="23"/>
      <c r="I93" s="26" t="n">
        <f>6295</f>
        <v>6295.0</v>
      </c>
      <c r="J93" s="24"/>
      <c r="K93" s="25" t="n">
        <f>2303061480</f>
        <v>2.30306148E9</v>
      </c>
      <c r="L93" s="23"/>
      <c r="M93" s="25" t="str">
        <f>"－"</f>
        <v>－</v>
      </c>
      <c r="N93" s="23"/>
      <c r="O93" s="26" t="n">
        <f>2303061480</f>
        <v>2.30306148E9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n">
        <f>2420</f>
        <v>2420.0</v>
      </c>
      <c r="U93" s="23"/>
      <c r="V93" s="25" t="str">
        <f>"－"</f>
        <v>－</v>
      </c>
      <c r="W93" s="23"/>
      <c r="X93" s="26" t="n">
        <f>2420</f>
        <v>2420.0</v>
      </c>
      <c r="Y93" s="24"/>
      <c r="Z93" s="25" t="n">
        <f>76068</f>
        <v>76068.0</v>
      </c>
      <c r="AA93" s="23"/>
      <c r="AB93" s="25" t="n">
        <f>11088</f>
        <v>11088.0</v>
      </c>
      <c r="AC93" s="23"/>
      <c r="AD93" s="26" t="n">
        <f>87156</f>
        <v>87156.0</v>
      </c>
    </row>
    <row r="94">
      <c r="A94" s="30" t="s">
        <v>52</v>
      </c>
      <c r="B94" s="22" t="s">
        <v>63</v>
      </c>
      <c r="C94" s="22" t="s">
        <v>64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53</v>
      </c>
      <c r="B95" s="22" t="s">
        <v>63</v>
      </c>
      <c r="C95" s="22" t="s">
        <v>64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54</v>
      </c>
      <c r="B96" s="22" t="s">
        <v>63</v>
      </c>
      <c r="C96" s="22" t="s">
        <v>64</v>
      </c>
      <c r="D96" s="24" t="s">
        <v>29</v>
      </c>
      <c r="E96" s="25" t="n">
        <f>7094</f>
        <v>7094.0</v>
      </c>
      <c r="F96" s="23"/>
      <c r="G96" s="25" t="str">
        <f>"－"</f>
        <v>－</v>
      </c>
      <c r="H96" s="23" t="s">
        <v>29</v>
      </c>
      <c r="I96" s="26" t="n">
        <f>7094</f>
        <v>7094.0</v>
      </c>
      <c r="J96" s="24" t="s">
        <v>29</v>
      </c>
      <c r="K96" s="25" t="n">
        <f>4241173000</f>
        <v>4.241173E9</v>
      </c>
      <c r="L96" s="23"/>
      <c r="M96" s="25" t="str">
        <f>"－"</f>
        <v>－</v>
      </c>
      <c r="N96" s="23" t="s">
        <v>29</v>
      </c>
      <c r="O96" s="26" t="n">
        <f>4241173000</f>
        <v>4.241173E9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 t="s">
        <v>29</v>
      </c>
      <c r="T96" s="25" t="n">
        <f>7094</f>
        <v>7094.0</v>
      </c>
      <c r="U96" s="23"/>
      <c r="V96" s="25" t="str">
        <f>"－"</f>
        <v>－</v>
      </c>
      <c r="W96" s="23" t="s">
        <v>29</v>
      </c>
      <c r="X96" s="26" t="n">
        <f>7094</f>
        <v>7094.0</v>
      </c>
      <c r="Y96" s="24"/>
      <c r="Z96" s="25" t="n">
        <f>78255</f>
        <v>78255.0</v>
      </c>
      <c r="AA96" s="23"/>
      <c r="AB96" s="25" t="n">
        <f>11088</f>
        <v>11088.0</v>
      </c>
      <c r="AC96" s="23"/>
      <c r="AD96" s="26" t="n">
        <f>89343</f>
        <v>89343.0</v>
      </c>
    </row>
    <row r="97">
      <c r="A97" s="30" t="s">
        <v>55</v>
      </c>
      <c r="B97" s="22" t="s">
        <v>63</v>
      </c>
      <c r="C97" s="22" t="s">
        <v>64</v>
      </c>
      <c r="D97" s="24"/>
      <c r="E97" s="25" t="n">
        <f>3000</f>
        <v>3000.0</v>
      </c>
      <c r="F97" s="23"/>
      <c r="G97" s="25" t="str">
        <f>"－"</f>
        <v>－</v>
      </c>
      <c r="H97" s="23"/>
      <c r="I97" s="26" t="n">
        <f>3000</f>
        <v>3000.0</v>
      </c>
      <c r="J97" s="24"/>
      <c r="K97" s="25" t="n">
        <f>157500000</f>
        <v>1.575E8</v>
      </c>
      <c r="L97" s="23"/>
      <c r="M97" s="25" t="str">
        <f>"－"</f>
        <v>－</v>
      </c>
      <c r="N97" s="23"/>
      <c r="O97" s="26" t="n">
        <f>157500000</f>
        <v>1.575E8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n">
        <f>76021</f>
        <v>76021.0</v>
      </c>
      <c r="AA97" s="23"/>
      <c r="AB97" s="25" t="n">
        <f>11088</f>
        <v>11088.0</v>
      </c>
      <c r="AC97" s="23"/>
      <c r="AD97" s="26" t="n">
        <f>87109</f>
        <v>87109.0</v>
      </c>
    </row>
    <row r="98">
      <c r="A98" s="30" t="s">
        <v>56</v>
      </c>
      <c r="B98" s="22" t="s">
        <v>63</v>
      </c>
      <c r="C98" s="22" t="s">
        <v>64</v>
      </c>
      <c r="D98" s="24"/>
      <c r="E98" s="25" t="n">
        <f>70</f>
        <v>70.0</v>
      </c>
      <c r="F98" s="23"/>
      <c r="G98" s="25" t="str">
        <f>"－"</f>
        <v>－</v>
      </c>
      <c r="H98" s="23"/>
      <c r="I98" s="26" t="n">
        <f>70</f>
        <v>70.0</v>
      </c>
      <c r="J98" s="24"/>
      <c r="K98" s="25" t="n">
        <f>24783430</f>
        <v>2.478343E7</v>
      </c>
      <c r="L98" s="23"/>
      <c r="M98" s="25" t="str">
        <f>"－"</f>
        <v>－</v>
      </c>
      <c r="N98" s="23"/>
      <c r="O98" s="26" t="n">
        <f>24783430</f>
        <v>2.478343E7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70</f>
        <v>70.0</v>
      </c>
      <c r="U98" s="23"/>
      <c r="V98" s="25" t="str">
        <f>"－"</f>
        <v>－</v>
      </c>
      <c r="W98" s="23"/>
      <c r="X98" s="26" t="n">
        <f>70</f>
        <v>70.0</v>
      </c>
      <c r="Y98" s="24"/>
      <c r="Z98" s="25" t="n">
        <f>76091</f>
        <v>76091.0</v>
      </c>
      <c r="AA98" s="23"/>
      <c r="AB98" s="25" t="n">
        <f>11088</f>
        <v>11088.0</v>
      </c>
      <c r="AC98" s="23"/>
      <c r="AD98" s="26" t="n">
        <f>87179</f>
        <v>87179.0</v>
      </c>
    </row>
    <row r="99">
      <c r="A99" s="30" t="s">
        <v>57</v>
      </c>
      <c r="B99" s="22" t="s">
        <v>63</v>
      </c>
      <c r="C99" s="22" t="s">
        <v>64</v>
      </c>
      <c r="D99" s="24"/>
      <c r="E99" s="25" t="n">
        <f>568</f>
        <v>568.0</v>
      </c>
      <c r="F99" s="23"/>
      <c r="G99" s="25" t="str">
        <f>"－"</f>
        <v>－</v>
      </c>
      <c r="H99" s="23"/>
      <c r="I99" s="26" t="n">
        <f>568</f>
        <v>568.0</v>
      </c>
      <c r="J99" s="24"/>
      <c r="K99" s="25" t="n">
        <f>744080000</f>
        <v>7.4408E8</v>
      </c>
      <c r="L99" s="23"/>
      <c r="M99" s="25" t="str">
        <f>"－"</f>
        <v>－</v>
      </c>
      <c r="N99" s="23"/>
      <c r="O99" s="26" t="n">
        <f>744080000</f>
        <v>7.4408E8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str">
        <f>"－"</f>
        <v>－</v>
      </c>
      <c r="W99" s="23"/>
      <c r="X99" s="26" t="str">
        <f>"－"</f>
        <v>－</v>
      </c>
      <c r="Y99" s="24"/>
      <c r="Z99" s="25" t="n">
        <f>76659</f>
        <v>76659.0</v>
      </c>
      <c r="AA99" s="23"/>
      <c r="AB99" s="25" t="n">
        <f>11088</f>
        <v>11088.0</v>
      </c>
      <c r="AC99" s="23"/>
      <c r="AD99" s="26" t="n">
        <f>87747</f>
        <v>87747.0</v>
      </c>
    </row>
    <row r="100">
      <c r="A100" s="30" t="s">
        <v>58</v>
      </c>
      <c r="B100" s="22" t="s">
        <v>63</v>
      </c>
      <c r="C100" s="22" t="s">
        <v>64</v>
      </c>
      <c r="D100" s="24"/>
      <c r="E100" s="25" t="n">
        <f>4200</f>
        <v>4200.0</v>
      </c>
      <c r="F100" s="23"/>
      <c r="G100" s="25" t="str">
        <f>"－"</f>
        <v>－</v>
      </c>
      <c r="H100" s="23"/>
      <c r="I100" s="26" t="n">
        <f>4200</f>
        <v>4200.0</v>
      </c>
      <c r="J100" s="24"/>
      <c r="K100" s="25" t="n">
        <f>4095000000</f>
        <v>4.095E9</v>
      </c>
      <c r="L100" s="23"/>
      <c r="M100" s="25" t="str">
        <f>"－"</f>
        <v>－</v>
      </c>
      <c r="N100" s="23"/>
      <c r="O100" s="26" t="n">
        <f>4095000000</f>
        <v>4.095E9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/>
      <c r="T100" s="25" t="str">
        <f>"－"</f>
        <v>－</v>
      </c>
      <c r="U100" s="23"/>
      <c r="V100" s="25" t="str">
        <f>"－"</f>
        <v>－</v>
      </c>
      <c r="W100" s="23"/>
      <c r="X100" s="26" t="str">
        <f>"－"</f>
        <v>－</v>
      </c>
      <c r="Y100" s="24" t="s">
        <v>29</v>
      </c>
      <c r="Z100" s="25" t="n">
        <f>80859</f>
        <v>80859.0</v>
      </c>
      <c r="AA100" s="23"/>
      <c r="AB100" s="25" t="n">
        <f>11088</f>
        <v>11088.0</v>
      </c>
      <c r="AC100" s="23" t="s">
        <v>29</v>
      </c>
      <c r="AD100" s="26" t="n">
        <f>91947</f>
        <v>91947.0</v>
      </c>
    </row>
    <row r="101">
      <c r="A101" s="30" t="s">
        <v>59</v>
      </c>
      <c r="B101" s="22" t="s">
        <v>63</v>
      </c>
      <c r="C101" s="22" t="s">
        <v>64</v>
      </c>
      <c r="D101" s="24"/>
      <c r="E101" s="25"/>
      <c r="F101" s="23"/>
      <c r="G101" s="25"/>
      <c r="H101" s="23"/>
      <c r="I101" s="26"/>
      <c r="J101" s="24"/>
      <c r="K101" s="25"/>
      <c r="L101" s="23"/>
      <c r="M101" s="25"/>
      <c r="N101" s="23"/>
      <c r="O101" s="26"/>
      <c r="P101" s="27"/>
      <c r="Q101" s="28"/>
      <c r="R101" s="29"/>
      <c r="S101" s="24"/>
      <c r="T101" s="25"/>
      <c r="U101" s="23"/>
      <c r="V101" s="25"/>
      <c r="W101" s="23"/>
      <c r="X101" s="26"/>
      <c r="Y101" s="24"/>
      <c r="Z101" s="25"/>
      <c r="AA101" s="23"/>
      <c r="AB101" s="25"/>
      <c r="AC101" s="23"/>
      <c r="AD101" s="26"/>
    </row>
    <row r="102">
      <c r="A102" s="30" t="s">
        <v>60</v>
      </c>
      <c r="B102" s="22" t="s">
        <v>63</v>
      </c>
      <c r="C102" s="22" t="s">
        <v>64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26</v>
      </c>
      <c r="B103" s="22" t="s">
        <v>65</v>
      </c>
      <c r="C103" s="22" t="s">
        <v>66</v>
      </c>
      <c r="D103" s="24" t="s">
        <v>67</v>
      </c>
      <c r="E103" s="25" t="str">
        <f>"－"</f>
        <v>－</v>
      </c>
      <c r="F103" s="23" t="s">
        <v>67</v>
      </c>
      <c r="G103" s="25" t="str">
        <f>"－"</f>
        <v>－</v>
      </c>
      <c r="H103" s="23" t="s">
        <v>67</v>
      </c>
      <c r="I103" s="26" t="str">
        <f>"－"</f>
        <v>－</v>
      </c>
      <c r="J103" s="24" t="s">
        <v>67</v>
      </c>
      <c r="K103" s="25" t="str">
        <f>"－"</f>
        <v>－</v>
      </c>
      <c r="L103" s="23" t="s">
        <v>67</v>
      </c>
      <c r="M103" s="25" t="str">
        <f>"－"</f>
        <v>－</v>
      </c>
      <c r="N103" s="23" t="s">
        <v>67</v>
      </c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 t="s">
        <v>67</v>
      </c>
      <c r="T103" s="25" t="str">
        <f>"－"</f>
        <v>－</v>
      </c>
      <c r="U103" s="23" t="s">
        <v>67</v>
      </c>
      <c r="V103" s="25" t="str">
        <f>"－"</f>
        <v>－</v>
      </c>
      <c r="W103" s="23" t="s">
        <v>67</v>
      </c>
      <c r="X103" s="26" t="str">
        <f>"－"</f>
        <v>－</v>
      </c>
      <c r="Y103" s="24" t="s">
        <v>67</v>
      </c>
      <c r="Z103" s="25" t="str">
        <f>"－"</f>
        <v>－</v>
      </c>
      <c r="AA103" s="23" t="s">
        <v>67</v>
      </c>
      <c r="AB103" s="25" t="str">
        <f>"－"</f>
        <v>－</v>
      </c>
      <c r="AC103" s="23" t="s">
        <v>67</v>
      </c>
      <c r="AD103" s="26" t="str">
        <f>"－"</f>
        <v>－</v>
      </c>
    </row>
    <row r="104">
      <c r="A104" s="30" t="s">
        <v>30</v>
      </c>
      <c r="B104" s="22" t="s">
        <v>65</v>
      </c>
      <c r="C104" s="22" t="s">
        <v>66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31</v>
      </c>
      <c r="B105" s="22" t="s">
        <v>65</v>
      </c>
      <c r="C105" s="22" t="s">
        <v>66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32</v>
      </c>
      <c r="B106" s="22" t="s">
        <v>65</v>
      </c>
      <c r="C106" s="22" t="s">
        <v>66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33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34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35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36</v>
      </c>
      <c r="B110" s="22" t="s">
        <v>65</v>
      </c>
      <c r="C110" s="22" t="s">
        <v>66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38</v>
      </c>
      <c r="B111" s="22" t="s">
        <v>65</v>
      </c>
      <c r="C111" s="22" t="s">
        <v>66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39</v>
      </c>
      <c r="B112" s="22" t="s">
        <v>65</v>
      </c>
      <c r="C112" s="22" t="s">
        <v>66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40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41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42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45</v>
      </c>
      <c r="B118" s="22" t="s">
        <v>65</v>
      </c>
      <c r="C118" s="22" t="s">
        <v>66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46</v>
      </c>
      <c r="B119" s="22" t="s">
        <v>65</v>
      </c>
      <c r="C119" s="22" t="s">
        <v>66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47</v>
      </c>
      <c r="B120" s="22" t="s">
        <v>65</v>
      </c>
      <c r="C120" s="22" t="s">
        <v>66</v>
      </c>
      <c r="D120" s="24"/>
      <c r="E120" s="25"/>
      <c r="F120" s="23"/>
      <c r="G120" s="25"/>
      <c r="H120" s="23"/>
      <c r="I120" s="26"/>
      <c r="J120" s="24"/>
      <c r="K120" s="25"/>
      <c r="L120" s="23"/>
      <c r="M120" s="25"/>
      <c r="N120" s="23"/>
      <c r="O120" s="26"/>
      <c r="P120" s="27"/>
      <c r="Q120" s="28"/>
      <c r="R120" s="29"/>
      <c r="S120" s="24"/>
      <c r="T120" s="25"/>
      <c r="U120" s="23"/>
      <c r="V120" s="25"/>
      <c r="W120" s="23"/>
      <c r="X120" s="26"/>
      <c r="Y120" s="24"/>
      <c r="Z120" s="25"/>
      <c r="AA120" s="23"/>
      <c r="AB120" s="25"/>
      <c r="AC120" s="23"/>
      <c r="AD120" s="26"/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51</v>
      </c>
      <c r="B124" s="22" t="s">
        <v>65</v>
      </c>
      <c r="C124" s="22" t="s">
        <v>66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52</v>
      </c>
      <c r="B125" s="22" t="s">
        <v>65</v>
      </c>
      <c r="C125" s="22" t="s">
        <v>66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53</v>
      </c>
      <c r="B126" s="22" t="s">
        <v>65</v>
      </c>
      <c r="C126" s="22" t="s">
        <v>66</v>
      </c>
      <c r="D126" s="24"/>
      <c r="E126" s="25"/>
      <c r="F126" s="23"/>
      <c r="G126" s="25"/>
      <c r="H126" s="23"/>
      <c r="I126" s="26"/>
      <c r="J126" s="24"/>
      <c r="K126" s="25"/>
      <c r="L126" s="23"/>
      <c r="M126" s="25"/>
      <c r="N126" s="23"/>
      <c r="O126" s="26"/>
      <c r="P126" s="27"/>
      <c r="Q126" s="28"/>
      <c r="R126" s="29"/>
      <c r="S126" s="24"/>
      <c r="T126" s="25"/>
      <c r="U126" s="23"/>
      <c r="V126" s="25"/>
      <c r="W126" s="23"/>
      <c r="X126" s="26"/>
      <c r="Y126" s="24"/>
      <c r="Z126" s="25"/>
      <c r="AA126" s="23"/>
      <c r="AB126" s="25"/>
      <c r="AC126" s="23"/>
      <c r="AD126" s="26"/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 t="str">
        <f>"－"</f>
        <v>－</v>
      </c>
      <c r="F131" s="23"/>
      <c r="G131" s="25" t="str">
        <f>"－"</f>
        <v>－</v>
      </c>
      <c r="H131" s="23"/>
      <c r="I131" s="26" t="str">
        <f>"－"</f>
        <v>－</v>
      </c>
      <c r="J131" s="24"/>
      <c r="K131" s="25" t="str">
        <f>"－"</f>
        <v>－</v>
      </c>
      <c r="L131" s="23"/>
      <c r="M131" s="25" t="str">
        <f>"－"</f>
        <v>－</v>
      </c>
      <c r="N131" s="23"/>
      <c r="O131" s="26" t="str">
        <f>"－"</f>
        <v>－</v>
      </c>
      <c r="P131" s="27" t="str">
        <f>"－"</f>
        <v>－</v>
      </c>
      <c r="Q131" s="28" t="str">
        <f>"－"</f>
        <v>－</v>
      </c>
      <c r="R131" s="29" t="str">
        <f>"－"</f>
        <v>－</v>
      </c>
      <c r="S131" s="24"/>
      <c r="T131" s="25" t="str">
        <f>"－"</f>
        <v>－</v>
      </c>
      <c r="U131" s="23"/>
      <c r="V131" s="25" t="str">
        <f>"－"</f>
        <v>－</v>
      </c>
      <c r="W131" s="23"/>
      <c r="X131" s="26" t="str">
        <f>"－"</f>
        <v>－</v>
      </c>
      <c r="Y131" s="24"/>
      <c r="Z131" s="25" t="str">
        <f>"－"</f>
        <v>－</v>
      </c>
      <c r="AA131" s="23"/>
      <c r="AB131" s="25" t="str">
        <f>"－"</f>
        <v>－</v>
      </c>
      <c r="AC131" s="23"/>
      <c r="AD131" s="26" t="str">
        <f>"－"</f>
        <v>－</v>
      </c>
    </row>
    <row r="132">
      <c r="A132" s="30" t="s">
        <v>59</v>
      </c>
      <c r="B132" s="22" t="s">
        <v>65</v>
      </c>
      <c r="C132" s="22" t="s">
        <v>66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60</v>
      </c>
      <c r="B133" s="22" t="s">
        <v>65</v>
      </c>
      <c r="C133" s="22" t="s">
        <v>66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26</v>
      </c>
      <c r="B134" s="22" t="s">
        <v>68</v>
      </c>
      <c r="C134" s="22" t="s">
        <v>69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30</v>
      </c>
      <c r="B135" s="22" t="s">
        <v>68</v>
      </c>
      <c r="C135" s="22" t="s">
        <v>69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31</v>
      </c>
      <c r="B136" s="22" t="s">
        <v>68</v>
      </c>
      <c r="C136" s="22" t="s">
        <v>69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32</v>
      </c>
      <c r="B137" s="22" t="s">
        <v>68</v>
      </c>
      <c r="C137" s="22" t="s">
        <v>69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33</v>
      </c>
      <c r="B138" s="22" t="s">
        <v>68</v>
      </c>
      <c r="C138" s="22" t="s">
        <v>69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34</v>
      </c>
      <c r="B139" s="22" t="s">
        <v>68</v>
      </c>
      <c r="C139" s="22" t="s">
        <v>69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35</v>
      </c>
      <c r="B140" s="22" t="s">
        <v>68</v>
      </c>
      <c r="C140" s="22" t="s">
        <v>69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36</v>
      </c>
      <c r="B141" s="22" t="s">
        <v>68</v>
      </c>
      <c r="C141" s="22" t="s">
        <v>69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38</v>
      </c>
      <c r="B142" s="22" t="s">
        <v>68</v>
      </c>
      <c r="C142" s="22" t="s">
        <v>69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39</v>
      </c>
      <c r="B143" s="22" t="s">
        <v>68</v>
      </c>
      <c r="C143" s="22" t="s">
        <v>69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40</v>
      </c>
      <c r="B144" s="22" t="s">
        <v>68</v>
      </c>
      <c r="C144" s="22" t="s">
        <v>69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41</v>
      </c>
      <c r="B145" s="22" t="s">
        <v>68</v>
      </c>
      <c r="C145" s="22" t="s">
        <v>69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42</v>
      </c>
      <c r="B146" s="22" t="s">
        <v>68</v>
      </c>
      <c r="C146" s="22" t="s">
        <v>69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43</v>
      </c>
      <c r="B147" s="22" t="s">
        <v>68</v>
      </c>
      <c r="C147" s="22" t="s">
        <v>69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44</v>
      </c>
      <c r="B148" s="22" t="s">
        <v>68</v>
      </c>
      <c r="C148" s="22" t="s">
        <v>69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45</v>
      </c>
      <c r="B149" s="22" t="s">
        <v>68</v>
      </c>
      <c r="C149" s="22" t="s">
        <v>69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46</v>
      </c>
      <c r="B150" s="22" t="s">
        <v>68</v>
      </c>
      <c r="C150" s="22" t="s">
        <v>69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47</v>
      </c>
      <c r="B151" s="22" t="s">
        <v>68</v>
      </c>
      <c r="C151" s="22" t="s">
        <v>69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48</v>
      </c>
      <c r="B152" s="22" t="s">
        <v>68</v>
      </c>
      <c r="C152" s="22" t="s">
        <v>69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49</v>
      </c>
      <c r="B153" s="22" t="s">
        <v>68</v>
      </c>
      <c r="C153" s="22" t="s">
        <v>69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50</v>
      </c>
      <c r="B154" s="22" t="s">
        <v>68</v>
      </c>
      <c r="C154" s="22" t="s">
        <v>69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51</v>
      </c>
      <c r="B155" s="22" t="s">
        <v>68</v>
      </c>
      <c r="C155" s="22" t="s">
        <v>69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52</v>
      </c>
      <c r="B156" s="22" t="s">
        <v>68</v>
      </c>
      <c r="C156" s="22" t="s">
        <v>69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53</v>
      </c>
      <c r="B157" s="22" t="s">
        <v>68</v>
      </c>
      <c r="C157" s="22" t="s">
        <v>69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54</v>
      </c>
      <c r="B158" s="22" t="s">
        <v>68</v>
      </c>
      <c r="C158" s="22" t="s">
        <v>69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55</v>
      </c>
      <c r="B159" s="22" t="s">
        <v>68</v>
      </c>
      <c r="C159" s="22" t="s">
        <v>69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56</v>
      </c>
      <c r="B160" s="22" t="s">
        <v>68</v>
      </c>
      <c r="C160" s="22" t="s">
        <v>69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57</v>
      </c>
      <c r="B161" s="22" t="s">
        <v>68</v>
      </c>
      <c r="C161" s="22" t="s">
        <v>69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58</v>
      </c>
      <c r="B162" s="22" t="s">
        <v>68</v>
      </c>
      <c r="C162" s="22" t="s">
        <v>69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59</v>
      </c>
      <c r="B163" s="22" t="s">
        <v>68</v>
      </c>
      <c r="C163" s="22" t="s">
        <v>69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60</v>
      </c>
      <c r="B164" s="22" t="s">
        <v>68</v>
      </c>
      <c r="C164" s="22" t="s">
        <v>69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26</v>
      </c>
      <c r="B165" s="22" t="s">
        <v>70</v>
      </c>
      <c r="C165" s="22" t="s">
        <v>71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30</v>
      </c>
      <c r="B166" s="22" t="s">
        <v>70</v>
      </c>
      <c r="C166" s="22" t="s">
        <v>71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31</v>
      </c>
      <c r="B167" s="22" t="s">
        <v>70</v>
      </c>
      <c r="C167" s="22" t="s">
        <v>71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32</v>
      </c>
      <c r="B168" s="22" t="s">
        <v>70</v>
      </c>
      <c r="C168" s="22" t="s">
        <v>71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33</v>
      </c>
      <c r="B169" s="22" t="s">
        <v>70</v>
      </c>
      <c r="C169" s="22" t="s">
        <v>71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34</v>
      </c>
      <c r="B170" s="22" t="s">
        <v>70</v>
      </c>
      <c r="C170" s="22" t="s">
        <v>71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35</v>
      </c>
      <c r="B171" s="22" t="s">
        <v>70</v>
      </c>
      <c r="C171" s="22" t="s">
        <v>71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36</v>
      </c>
      <c r="B172" s="22" t="s">
        <v>70</v>
      </c>
      <c r="C172" s="22" t="s">
        <v>71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38</v>
      </c>
      <c r="B173" s="22" t="s">
        <v>70</v>
      </c>
      <c r="C173" s="22" t="s">
        <v>71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39</v>
      </c>
      <c r="B174" s="22" t="s">
        <v>70</v>
      </c>
      <c r="C174" s="22" t="s">
        <v>71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40</v>
      </c>
      <c r="B175" s="22" t="s">
        <v>70</v>
      </c>
      <c r="C175" s="22" t="s">
        <v>71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41</v>
      </c>
      <c r="B176" s="22" t="s">
        <v>70</v>
      </c>
      <c r="C176" s="22" t="s">
        <v>71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42</v>
      </c>
      <c r="B177" s="22" t="s">
        <v>70</v>
      </c>
      <c r="C177" s="22" t="s">
        <v>71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43</v>
      </c>
      <c r="B178" s="22" t="s">
        <v>70</v>
      </c>
      <c r="C178" s="22" t="s">
        <v>71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44</v>
      </c>
      <c r="B179" s="22" t="s">
        <v>70</v>
      </c>
      <c r="C179" s="22" t="s">
        <v>71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45</v>
      </c>
      <c r="B180" s="22" t="s">
        <v>70</v>
      </c>
      <c r="C180" s="22" t="s">
        <v>71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46</v>
      </c>
      <c r="B181" s="22" t="s">
        <v>70</v>
      </c>
      <c r="C181" s="22" t="s">
        <v>71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47</v>
      </c>
      <c r="B182" s="22" t="s">
        <v>70</v>
      </c>
      <c r="C182" s="22" t="s">
        <v>71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48</v>
      </c>
      <c r="B183" s="22" t="s">
        <v>70</v>
      </c>
      <c r="C183" s="22" t="s">
        <v>71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49</v>
      </c>
      <c r="B184" s="22" t="s">
        <v>70</v>
      </c>
      <c r="C184" s="22" t="s">
        <v>71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50</v>
      </c>
      <c r="B185" s="22" t="s">
        <v>70</v>
      </c>
      <c r="C185" s="22" t="s">
        <v>71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51</v>
      </c>
      <c r="B186" s="22" t="s">
        <v>70</v>
      </c>
      <c r="C186" s="22" t="s">
        <v>71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52</v>
      </c>
      <c r="B187" s="22" t="s">
        <v>70</v>
      </c>
      <c r="C187" s="22" t="s">
        <v>71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53</v>
      </c>
      <c r="B188" s="22" t="s">
        <v>70</v>
      </c>
      <c r="C188" s="22" t="s">
        <v>71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54</v>
      </c>
      <c r="B189" s="22" t="s">
        <v>70</v>
      </c>
      <c r="C189" s="22" t="s">
        <v>71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  <row r="190">
      <c r="A190" s="30" t="s">
        <v>55</v>
      </c>
      <c r="B190" s="22" t="s">
        <v>70</v>
      </c>
      <c r="C190" s="22" t="s">
        <v>71</v>
      </c>
      <c r="D190" s="24"/>
      <c r="E190" s="25"/>
      <c r="F190" s="23"/>
      <c r="G190" s="25"/>
      <c r="H190" s="23"/>
      <c r="I190" s="26"/>
      <c r="J190" s="24"/>
      <c r="K190" s="25"/>
      <c r="L190" s="23"/>
      <c r="M190" s="25"/>
      <c r="N190" s="23"/>
      <c r="O190" s="26"/>
      <c r="P190" s="27"/>
      <c r="Q190" s="28"/>
      <c r="R190" s="29"/>
      <c r="S190" s="24"/>
      <c r="T190" s="25"/>
      <c r="U190" s="23"/>
      <c r="V190" s="25"/>
      <c r="W190" s="23"/>
      <c r="X190" s="26"/>
      <c r="Y190" s="24"/>
      <c r="Z190" s="25"/>
      <c r="AA190" s="23"/>
      <c r="AB190" s="25"/>
      <c r="AC190" s="23"/>
      <c r="AD190" s="26"/>
    </row>
    <row r="191">
      <c r="A191" s="30" t="s">
        <v>56</v>
      </c>
      <c r="B191" s="22" t="s">
        <v>70</v>
      </c>
      <c r="C191" s="22" t="s">
        <v>71</v>
      </c>
      <c r="D191" s="24"/>
      <c r="E191" s="25"/>
      <c r="F191" s="23"/>
      <c r="G191" s="25"/>
      <c r="H191" s="23"/>
      <c r="I191" s="26"/>
      <c r="J191" s="24"/>
      <c r="K191" s="25"/>
      <c r="L191" s="23"/>
      <c r="M191" s="25"/>
      <c r="N191" s="23"/>
      <c r="O191" s="26"/>
      <c r="P191" s="27"/>
      <c r="Q191" s="28"/>
      <c r="R191" s="29"/>
      <c r="S191" s="24"/>
      <c r="T191" s="25"/>
      <c r="U191" s="23"/>
      <c r="V191" s="25"/>
      <c r="W191" s="23"/>
      <c r="X191" s="26"/>
      <c r="Y191" s="24"/>
      <c r="Z191" s="25"/>
      <c r="AA191" s="23"/>
      <c r="AB191" s="25"/>
      <c r="AC191" s="23"/>
      <c r="AD191" s="26"/>
    </row>
    <row r="192">
      <c r="A192" s="30" t="s">
        <v>57</v>
      </c>
      <c r="B192" s="22" t="s">
        <v>70</v>
      </c>
      <c r="C192" s="22" t="s">
        <v>71</v>
      </c>
      <c r="D192" s="24"/>
      <c r="E192" s="25"/>
      <c r="F192" s="23"/>
      <c r="G192" s="25"/>
      <c r="H192" s="23"/>
      <c r="I192" s="26"/>
      <c r="J192" s="24"/>
      <c r="K192" s="25"/>
      <c r="L192" s="23"/>
      <c r="M192" s="25"/>
      <c r="N192" s="23"/>
      <c r="O192" s="26"/>
      <c r="P192" s="27"/>
      <c r="Q192" s="28"/>
      <c r="R192" s="29"/>
      <c r="S192" s="24"/>
      <c r="T192" s="25"/>
      <c r="U192" s="23"/>
      <c r="V192" s="25"/>
      <c r="W192" s="23"/>
      <c r="X192" s="26"/>
      <c r="Y192" s="24"/>
      <c r="Z192" s="25"/>
      <c r="AA192" s="23"/>
      <c r="AB192" s="25"/>
      <c r="AC192" s="23"/>
      <c r="AD192" s="26"/>
    </row>
    <row r="193">
      <c r="A193" s="30" t="s">
        <v>58</v>
      </c>
      <c r="B193" s="22" t="s">
        <v>70</v>
      </c>
      <c r="C193" s="22" t="s">
        <v>71</v>
      </c>
      <c r="D193" s="24"/>
      <c r="E193" s="25"/>
      <c r="F193" s="23"/>
      <c r="G193" s="25"/>
      <c r="H193" s="23"/>
      <c r="I193" s="26"/>
      <c r="J193" s="24"/>
      <c r="K193" s="25"/>
      <c r="L193" s="23"/>
      <c r="M193" s="25"/>
      <c r="N193" s="23"/>
      <c r="O193" s="26"/>
      <c r="P193" s="27"/>
      <c r="Q193" s="28"/>
      <c r="R193" s="29"/>
      <c r="S193" s="24"/>
      <c r="T193" s="25"/>
      <c r="U193" s="23"/>
      <c r="V193" s="25"/>
      <c r="W193" s="23"/>
      <c r="X193" s="26"/>
      <c r="Y193" s="24"/>
      <c r="Z193" s="25"/>
      <c r="AA193" s="23"/>
      <c r="AB193" s="25"/>
      <c r="AC193" s="23"/>
      <c r="AD193" s="26"/>
    </row>
    <row r="194">
      <c r="A194" s="30" t="s">
        <v>59</v>
      </c>
      <c r="B194" s="22" t="s">
        <v>70</v>
      </c>
      <c r="C194" s="22" t="s">
        <v>71</v>
      </c>
      <c r="D194" s="24"/>
      <c r="E194" s="25"/>
      <c r="F194" s="23"/>
      <c r="G194" s="25"/>
      <c r="H194" s="23"/>
      <c r="I194" s="26"/>
      <c r="J194" s="24"/>
      <c r="K194" s="25"/>
      <c r="L194" s="23"/>
      <c r="M194" s="25"/>
      <c r="N194" s="23"/>
      <c r="O194" s="26"/>
      <c r="P194" s="27"/>
      <c r="Q194" s="28"/>
      <c r="R194" s="29"/>
      <c r="S194" s="24"/>
      <c r="T194" s="25"/>
      <c r="U194" s="23"/>
      <c r="V194" s="25"/>
      <c r="W194" s="23"/>
      <c r="X194" s="26"/>
      <c r="Y194" s="24"/>
      <c r="Z194" s="25"/>
      <c r="AA194" s="23"/>
      <c r="AB194" s="25"/>
      <c r="AC194" s="23"/>
      <c r="AD194" s="26"/>
    </row>
    <row r="195">
      <c r="A195" s="30" t="s">
        <v>60</v>
      </c>
      <c r="B195" s="22" t="s">
        <v>70</v>
      </c>
      <c r="C195" s="22" t="s">
        <v>71</v>
      </c>
      <c r="D195" s="24"/>
      <c r="E195" s="25"/>
      <c r="F195" s="23"/>
      <c r="G195" s="25"/>
      <c r="H195" s="23"/>
      <c r="I195" s="26"/>
      <c r="J195" s="24"/>
      <c r="K195" s="25"/>
      <c r="L195" s="23"/>
      <c r="M195" s="25"/>
      <c r="N195" s="23"/>
      <c r="O195" s="26"/>
      <c r="P195" s="27"/>
      <c r="Q195" s="28"/>
      <c r="R195" s="29"/>
      <c r="S195" s="24"/>
      <c r="T195" s="25"/>
      <c r="U195" s="23"/>
      <c r="V195" s="25"/>
      <c r="W195" s="23"/>
      <c r="X195" s="26"/>
      <c r="Y195" s="24"/>
      <c r="Z195" s="25"/>
      <c r="AA195" s="23"/>
      <c r="AB195" s="25"/>
      <c r="AC195" s="23"/>
      <c r="AD195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