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<sst xmlns="http://schemas.openxmlformats.org/spreadsheetml/2006/main" count="170" uniqueCount="62">
  <si>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</si>
  <si>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</si>
  <si>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</si>
  <si>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</si>
  <si>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</si>
  <si>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</si>
  <si>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</si>
  <si>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</si>
  <si>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</si>
  <si>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</si>
  <si>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</si>
  <si>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</si>
  <si>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</si>
  <si>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</si>
  <si>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</si>
  <si>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</si>
  <si>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</si>
  <si>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</si>
  <si>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</si>
  <si>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</si>
  <si>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</si>
  <si>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</si>
  <si>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</si>
  <si>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</si>
  <si>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</si>
  <si>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</si>
  <si>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7.1</t>
  </si>
  <si>
    <t>有価証券オプション</t>
  </si>
  <si>
    <t>Securities Options</t>
  </si>
  <si>
    <t>◎●</t>
  </si>
  <si>
    <t>●</t>
  </si>
  <si>
    <t>2</t>
  </si>
  <si>
    <t>3</t>
  </si>
  <si>
    <t>4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</si>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</sst>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2719</f>
        <v>2719.0</v>
      </c>
      <c r="F10" s="24"/>
      <c r="G10" s="26" t="n">
        <f>7000</f>
        <v>7000.0</v>
      </c>
      <c r="H10" s="25"/>
      <c r="I10" s="26" t="n">
        <f>9719</f>
        <v>9719.0</v>
      </c>
      <c r="J10" s="23"/>
      <c r="K10" s="26" t="n">
        <f>2054841</f>
        <v>2054841.0</v>
      </c>
      <c r="L10" s="24"/>
      <c r="M10" s="26" t="n">
        <f>2509000</f>
        <v>2509000.0</v>
      </c>
      <c r="N10" s="25"/>
      <c r="O10" s="26" t="n">
        <f>4563841</f>
        <v>4563841.0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16950</f>
        <v>16950.0</v>
      </c>
      <c r="AA10" s="24" t="s">
        <v>30</v>
      </c>
      <c r="AB10" s="26" t="n">
        <f>6298</f>
        <v>6298.0</v>
      </c>
      <c r="AC10" s="25"/>
      <c r="AD10" s="26" t="n">
        <f>23248</f>
        <v>23248.0</v>
      </c>
    </row>
    <row r="11">
      <c r="A11" s="21" t="s">
        <v>31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 t="n">
        <f>701</f>
        <v>701.0</v>
      </c>
      <c r="F13" s="24" t="s">
        <v>30</v>
      </c>
      <c r="G13" s="26" t="str">
        <f>"－"</f>
        <v>－</v>
      </c>
      <c r="H13" s="25"/>
      <c r="I13" s="26" t="n">
        <f>701</f>
        <v>701.0</v>
      </c>
      <c r="J13" s="23"/>
      <c r="K13" s="26" t="n">
        <f>345593</f>
        <v>345593.0</v>
      </c>
      <c r="L13" s="24" t="s">
        <v>30</v>
      </c>
      <c r="M13" s="26" t="str">
        <f>"－"</f>
        <v>－</v>
      </c>
      <c r="N13" s="25"/>
      <c r="O13" s="26" t="n">
        <f>345593</f>
        <v>345593.0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16249</f>
        <v>16249.0</v>
      </c>
      <c r="AA13" s="24"/>
      <c r="AB13" s="26" t="n">
        <f>6298</f>
        <v>6298.0</v>
      </c>
      <c r="AC13" s="25"/>
      <c r="AD13" s="26" t="n">
        <f>22547</f>
        <v>22547.0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4220</f>
        <v>4220.0</v>
      </c>
      <c r="F14" s="24" t="s">
        <v>35</v>
      </c>
      <c r="G14" s="26" t="n">
        <f>9005</f>
        <v>9005.0</v>
      </c>
      <c r="H14" s="25" t="s">
        <v>35</v>
      </c>
      <c r="I14" s="26" t="n">
        <f>13225</f>
        <v>13225.0</v>
      </c>
      <c r="J14" s="23"/>
      <c r="K14" s="26" t="n">
        <f>1671880</f>
        <v>1671880.0</v>
      </c>
      <c r="L14" s="24" t="s">
        <v>35</v>
      </c>
      <c r="M14" s="26" t="n">
        <f>5592000</f>
        <v>5592000.0</v>
      </c>
      <c r="N14" s="25"/>
      <c r="O14" s="26" t="n">
        <f>7263880</f>
        <v>7263880.0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16069</f>
        <v>16069.0</v>
      </c>
      <c r="AA14" s="24"/>
      <c r="AB14" s="26" t="n">
        <f>11293</f>
        <v>11293.0</v>
      </c>
      <c r="AC14" s="25"/>
      <c r="AD14" s="26" t="n">
        <f>27362</f>
        <v>27362.0</v>
      </c>
    </row>
    <row r="15">
      <c r="A15" s="21" t="s">
        <v>36</v>
      </c>
      <c r="B15" s="22" t="s">
        <v>27</v>
      </c>
      <c r="C15" s="22" t="s">
        <v>28</v>
      </c>
      <c r="D15" s="23"/>
      <c r="E15" s="26" t="n">
        <f>50</f>
        <v>50.0</v>
      </c>
      <c r="F15" s="24"/>
      <c r="G15" s="26" t="n">
        <f>2007</f>
        <v>2007.0</v>
      </c>
      <c r="H15" s="25"/>
      <c r="I15" s="26" t="n">
        <f>2057</f>
        <v>2057.0</v>
      </c>
      <c r="J15" s="23"/>
      <c r="K15" s="26" t="n">
        <f>42600</f>
        <v>42600.0</v>
      </c>
      <c r="L15" s="24"/>
      <c r="M15" s="26" t="n">
        <f>635780</f>
        <v>635780.0</v>
      </c>
      <c r="N15" s="25"/>
      <c r="O15" s="26" t="n">
        <f>678380</f>
        <v>678380.0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16119</f>
        <v>16119.0</v>
      </c>
      <c r="AA15" s="24"/>
      <c r="AB15" s="26" t="n">
        <f>9300</f>
        <v>9300.0</v>
      </c>
      <c r="AC15" s="25"/>
      <c r="AD15" s="26" t="n">
        <f>25419</f>
        <v>25419.0</v>
      </c>
    </row>
    <row r="16">
      <c r="A16" s="21" t="s">
        <v>37</v>
      </c>
      <c r="B16" s="22" t="s">
        <v>27</v>
      </c>
      <c r="C16" s="22" t="s">
        <v>28</v>
      </c>
      <c r="D16" s="23"/>
      <c r="E16" s="26" t="n">
        <f>2001</f>
        <v>2001.0</v>
      </c>
      <c r="F16" s="24"/>
      <c r="G16" s="26" t="n">
        <f>2010</f>
        <v>2010.0</v>
      </c>
      <c r="H16" s="25"/>
      <c r="I16" s="26" t="n">
        <f>4011</f>
        <v>4011.0</v>
      </c>
      <c r="J16" s="23"/>
      <c r="K16" s="26" t="n">
        <f>43320</f>
        <v>43320.0</v>
      </c>
      <c r="L16" s="24"/>
      <c r="M16" s="26" t="n">
        <f>23200</f>
        <v>23200.0</v>
      </c>
      <c r="N16" s="25"/>
      <c r="O16" s="26" t="n">
        <f>66520</f>
        <v>66520.0</v>
      </c>
      <c r="P16" s="27" t="n">
        <f>2512</f>
        <v>2512.0</v>
      </c>
      <c r="Q16" s="28" t="str">
        <f>"－"</f>
        <v>－</v>
      </c>
      <c r="R16" s="29" t="n">
        <f>2512</f>
        <v>2512.0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30</v>
      </c>
      <c r="Z16" s="26" t="n">
        <f>7360</f>
        <v>7360.0</v>
      </c>
      <c r="AA16" s="24"/>
      <c r="AB16" s="26" t="n">
        <f>7088</f>
        <v>7088.0</v>
      </c>
      <c r="AC16" s="25" t="s">
        <v>30</v>
      </c>
      <c r="AD16" s="26" t="n">
        <f>14448</f>
        <v>14448.0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3450</f>
        <v>3450.0</v>
      </c>
      <c r="F17" s="24"/>
      <c r="G17" s="26" t="n">
        <f>1495</f>
        <v>1495.0</v>
      </c>
      <c r="H17" s="25"/>
      <c r="I17" s="26" t="n">
        <f>4945</f>
        <v>4945.0</v>
      </c>
      <c r="J17" s="23"/>
      <c r="K17" s="26" t="n">
        <f>1900700</f>
        <v>1900700.0</v>
      </c>
      <c r="L17" s="24"/>
      <c r="M17" s="26" t="n">
        <f>1067600</f>
        <v>1067600.0</v>
      </c>
      <c r="N17" s="25"/>
      <c r="O17" s="26" t="n">
        <f>2968300</f>
        <v>2968300.0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10810</f>
        <v>10810.0</v>
      </c>
      <c r="AA17" s="24"/>
      <c r="AB17" s="26" t="n">
        <f>8583</f>
        <v>8583.0</v>
      </c>
      <c r="AC17" s="25"/>
      <c r="AD17" s="26" t="n">
        <f>19393</f>
        <v>19393.0</v>
      </c>
    </row>
    <row r="18">
      <c r="A18" s="21" t="s">
        <v>39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40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41</v>
      </c>
      <c r="B20" s="22" t="s">
        <v>27</v>
      </c>
      <c r="C20" s="22" t="s">
        <v>28</v>
      </c>
      <c r="D20" s="23"/>
      <c r="E20" s="26" t="n">
        <f>77</f>
        <v>77.0</v>
      </c>
      <c r="F20" s="24"/>
      <c r="G20" s="26" t="n">
        <f>342</f>
        <v>342.0</v>
      </c>
      <c r="H20" s="25"/>
      <c r="I20" s="26" t="n">
        <f>419</f>
        <v>419.0</v>
      </c>
      <c r="J20" s="23"/>
      <c r="K20" s="26" t="n">
        <f>52340</f>
        <v>52340.0</v>
      </c>
      <c r="L20" s="24"/>
      <c r="M20" s="26" t="n">
        <f>284710</f>
        <v>284710.0</v>
      </c>
      <c r="N20" s="25"/>
      <c r="O20" s="26" t="n">
        <f>337050</f>
        <v>337050.0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10885</f>
        <v>10885.0</v>
      </c>
      <c r="AA20" s="24"/>
      <c r="AB20" s="26" t="n">
        <f>8455</f>
        <v>8455.0</v>
      </c>
      <c r="AC20" s="25"/>
      <c r="AD20" s="26" t="n">
        <f>19340</f>
        <v>19340.0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350</f>
        <v>350.0</v>
      </c>
      <c r="F21" s="24"/>
      <c r="G21" s="26" t="n">
        <f>147</f>
        <v>147.0</v>
      </c>
      <c r="H21" s="25"/>
      <c r="I21" s="26" t="n">
        <f>497</f>
        <v>497.0</v>
      </c>
      <c r="J21" s="23"/>
      <c r="K21" s="26" t="n">
        <f>210270</f>
        <v>210270.0</v>
      </c>
      <c r="L21" s="24"/>
      <c r="M21" s="26" t="n">
        <f>55860</f>
        <v>55860.0</v>
      </c>
      <c r="N21" s="25"/>
      <c r="O21" s="26" t="n">
        <f>266130</f>
        <v>266130.0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11235</f>
        <v>11235.0</v>
      </c>
      <c r="AA21" s="24"/>
      <c r="AB21" s="26" t="n">
        <f>8602</f>
        <v>8602.0</v>
      </c>
      <c r="AC21" s="25"/>
      <c r="AD21" s="26" t="n">
        <f>19837</f>
        <v>19837.0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15</f>
        <v>15.0</v>
      </c>
      <c r="F22" s="24"/>
      <c r="G22" s="26" t="n">
        <f>7031</f>
        <v>7031.0</v>
      </c>
      <c r="H22" s="25"/>
      <c r="I22" s="26" t="n">
        <f>7046</f>
        <v>7046.0</v>
      </c>
      <c r="J22" s="23"/>
      <c r="K22" s="26" t="n">
        <f>4320</f>
        <v>4320.0</v>
      </c>
      <c r="L22" s="24"/>
      <c r="M22" s="26" t="n">
        <f>2185350</f>
        <v>2185350.0</v>
      </c>
      <c r="N22" s="25"/>
      <c r="O22" s="26" t="n">
        <f>2189670</f>
        <v>2189670.0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11250</f>
        <v>11250.0</v>
      </c>
      <c r="AA22" s="24"/>
      <c r="AB22" s="26" t="n">
        <f>15633</f>
        <v>15633.0</v>
      </c>
      <c r="AC22" s="25"/>
      <c r="AD22" s="26" t="n">
        <f>26883</f>
        <v>26883.0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120</f>
        <v>120.0</v>
      </c>
      <c r="F23" s="24"/>
      <c r="G23" s="26" t="n">
        <f>19</f>
        <v>19.0</v>
      </c>
      <c r="H23" s="25"/>
      <c r="I23" s="26" t="n">
        <f>139</f>
        <v>139.0</v>
      </c>
      <c r="J23" s="23"/>
      <c r="K23" s="26" t="n">
        <f>54480</f>
        <v>54480.0</v>
      </c>
      <c r="L23" s="24"/>
      <c r="M23" s="26" t="n">
        <f>2280</f>
        <v>2280.0</v>
      </c>
      <c r="N23" s="25"/>
      <c r="O23" s="26" t="n">
        <f>56760</f>
        <v>56760.0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11130</f>
        <v>11130.0</v>
      </c>
      <c r="AA23" s="24"/>
      <c r="AB23" s="26" t="n">
        <f>15652</f>
        <v>15652.0</v>
      </c>
      <c r="AC23" s="25"/>
      <c r="AD23" s="26" t="n">
        <f>26782</f>
        <v>26782.0</v>
      </c>
    </row>
    <row r="24">
      <c r="A24" s="21" t="s">
        <v>45</v>
      </c>
      <c r="B24" s="22" t="s">
        <v>27</v>
      </c>
      <c r="C24" s="22" t="s">
        <v>28</v>
      </c>
      <c r="D24" s="23" t="s">
        <v>30</v>
      </c>
      <c r="E24" s="26" t="str">
        <f>"－"</f>
        <v>－</v>
      </c>
      <c r="F24" s="24"/>
      <c r="G24" s="26" t="n">
        <f>50</f>
        <v>50.0</v>
      </c>
      <c r="H24" s="25" t="s">
        <v>30</v>
      </c>
      <c r="I24" s="26" t="n">
        <f>50</f>
        <v>50.0</v>
      </c>
      <c r="J24" s="23" t="s">
        <v>30</v>
      </c>
      <c r="K24" s="26" t="str">
        <f>"－"</f>
        <v>－</v>
      </c>
      <c r="L24" s="24"/>
      <c r="M24" s="26" t="n">
        <f>15000</f>
        <v>15000.0</v>
      </c>
      <c r="N24" s="25" t="s">
        <v>30</v>
      </c>
      <c r="O24" s="26" t="n">
        <f>15000</f>
        <v>15000.0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11130</f>
        <v>11130.0</v>
      </c>
      <c r="AA24" s="24"/>
      <c r="AB24" s="26" t="n">
        <f>15702</f>
        <v>15702.0</v>
      </c>
      <c r="AC24" s="25"/>
      <c r="AD24" s="26" t="n">
        <f>26832</f>
        <v>26832.0</v>
      </c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 t="n">
        <f>1886</f>
        <v>1886.0</v>
      </c>
      <c r="F28" s="24"/>
      <c r="G28" s="26" t="n">
        <f>50</f>
        <v>50.0</v>
      </c>
      <c r="H28" s="25"/>
      <c r="I28" s="26" t="n">
        <f>1936</f>
        <v>1936.0</v>
      </c>
      <c r="J28" s="23" t="s">
        <v>35</v>
      </c>
      <c r="K28" s="26" t="n">
        <f>13690780</f>
        <v>1.369078E7</v>
      </c>
      <c r="L28" s="24"/>
      <c r="M28" s="26" t="n">
        <f>11050</f>
        <v>11050.0</v>
      </c>
      <c r="N28" s="25" t="s">
        <v>35</v>
      </c>
      <c r="O28" s="26" t="n">
        <f>13701830</f>
        <v>1.370183E7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13016</f>
        <v>13016.0</v>
      </c>
      <c r="AA28" s="24"/>
      <c r="AB28" s="26" t="n">
        <f>15752</f>
        <v>15752.0</v>
      </c>
      <c r="AC28" s="25"/>
      <c r="AD28" s="26" t="n">
        <f>28768</f>
        <v>28768.0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615</f>
        <v>615.0</v>
      </c>
      <c r="F29" s="24"/>
      <c r="G29" s="26" t="n">
        <f>758</f>
        <v>758.0</v>
      </c>
      <c r="H29" s="25"/>
      <c r="I29" s="26" t="n">
        <f>1373</f>
        <v>1373.0</v>
      </c>
      <c r="J29" s="23"/>
      <c r="K29" s="26" t="n">
        <f>525700</f>
        <v>525700.0</v>
      </c>
      <c r="L29" s="24"/>
      <c r="M29" s="26" t="n">
        <f>4649430</f>
        <v>4649430.0</v>
      </c>
      <c r="N29" s="25"/>
      <c r="O29" s="26" t="n">
        <f>5175130</f>
        <v>5175130.0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12411</f>
        <v>12411.0</v>
      </c>
      <c r="AA29" s="24"/>
      <c r="AB29" s="26" t="n">
        <f>16510</f>
        <v>16510.0</v>
      </c>
      <c r="AC29" s="25"/>
      <c r="AD29" s="26" t="n">
        <f>28921</f>
        <v>28921.0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1200</f>
        <v>1200.0</v>
      </c>
      <c r="F30" s="24"/>
      <c r="G30" s="26" t="n">
        <f>30</f>
        <v>30.0</v>
      </c>
      <c r="H30" s="25"/>
      <c r="I30" s="26" t="n">
        <f>1230</f>
        <v>1230.0</v>
      </c>
      <c r="J30" s="23"/>
      <c r="K30" s="26" t="n">
        <f>11084480</f>
        <v>1.108448E7</v>
      </c>
      <c r="L30" s="24"/>
      <c r="M30" s="26" t="n">
        <f>150000</f>
        <v>150000.0</v>
      </c>
      <c r="N30" s="25"/>
      <c r="O30" s="26" t="n">
        <f>11234480</f>
        <v>1.123448E7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13601</f>
        <v>13601.0</v>
      </c>
      <c r="AA30" s="24"/>
      <c r="AB30" s="26" t="n">
        <f>16540</f>
        <v>16540.0</v>
      </c>
      <c r="AC30" s="25"/>
      <c r="AD30" s="26" t="n">
        <f>30141</f>
        <v>30141.0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300</f>
        <v>300.0</v>
      </c>
      <c r="F31" s="24"/>
      <c r="G31" s="26" t="str">
        <f>"－"</f>
        <v>－</v>
      </c>
      <c r="H31" s="25"/>
      <c r="I31" s="26" t="n">
        <f>300</f>
        <v>300.0</v>
      </c>
      <c r="J31" s="23"/>
      <c r="K31" s="26" t="n">
        <f>43500</f>
        <v>43500.0</v>
      </c>
      <c r="L31" s="24"/>
      <c r="M31" s="26" t="str">
        <f>"－"</f>
        <v>－</v>
      </c>
      <c r="N31" s="25"/>
      <c r="O31" s="26" t="n">
        <f>43500</f>
        <v>43500.0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13901</f>
        <v>13901.0</v>
      </c>
      <c r="AA31" s="24"/>
      <c r="AB31" s="26" t="n">
        <f>16540</f>
        <v>16540.0</v>
      </c>
      <c r="AC31" s="25"/>
      <c r="AD31" s="26" t="n">
        <f>30441</f>
        <v>30441.0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 t="n">
        <f>2049</f>
        <v>2049.0</v>
      </c>
      <c r="F34" s="24"/>
      <c r="G34" s="26" t="n">
        <f>2000</f>
        <v>2000.0</v>
      </c>
      <c r="H34" s="25"/>
      <c r="I34" s="26" t="n">
        <f>4049</f>
        <v>4049.0</v>
      </c>
      <c r="J34" s="23"/>
      <c r="K34" s="26" t="n">
        <f>366428</f>
        <v>366428.0</v>
      </c>
      <c r="L34" s="24"/>
      <c r="M34" s="26" t="n">
        <f>772000</f>
        <v>772000.0</v>
      </c>
      <c r="N34" s="25"/>
      <c r="O34" s="26" t="n">
        <f>1138428</f>
        <v>1138428.0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15601</f>
        <v>15601.0</v>
      </c>
      <c r="AA34" s="24"/>
      <c r="AB34" s="26" t="n">
        <f>18540</f>
        <v>18540.0</v>
      </c>
      <c r="AC34" s="25"/>
      <c r="AD34" s="26" t="n">
        <f>34141</f>
        <v>34141.0</v>
      </c>
    </row>
    <row r="35">
      <c r="A35" s="21" t="s">
        <v>56</v>
      </c>
      <c r="B35" s="22" t="s">
        <v>27</v>
      </c>
      <c r="C35" s="22" t="s">
        <v>28</v>
      </c>
      <c r="D35" s="23" t="s">
        <v>35</v>
      </c>
      <c r="E35" s="26" t="n">
        <f>6350</f>
        <v>6350.0</v>
      </c>
      <c r="F35" s="24"/>
      <c r="G35" s="26" t="str">
        <f>"－"</f>
        <v>－</v>
      </c>
      <c r="H35" s="25"/>
      <c r="I35" s="26" t="n">
        <f>6350</f>
        <v>6350.0</v>
      </c>
      <c r="J35" s="23"/>
      <c r="K35" s="26" t="n">
        <f>1200600</f>
        <v>1200600.0</v>
      </c>
      <c r="L35" s="24"/>
      <c r="M35" s="26" t="str">
        <f>"－"</f>
        <v>－</v>
      </c>
      <c r="N35" s="25"/>
      <c r="O35" s="26" t="n">
        <f>1200600</f>
        <v>1200600.0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18601</f>
        <v>18601.0</v>
      </c>
      <c r="AA35" s="24"/>
      <c r="AB35" s="26" t="n">
        <f>18540</f>
        <v>18540.0</v>
      </c>
      <c r="AC35" s="25"/>
      <c r="AD35" s="26" t="n">
        <f>37141</f>
        <v>37141.0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4050</f>
        <v>4050.0</v>
      </c>
      <c r="F36" s="24"/>
      <c r="G36" s="26" t="str">
        <f>"－"</f>
        <v>－</v>
      </c>
      <c r="H36" s="25"/>
      <c r="I36" s="26" t="n">
        <f>4050</f>
        <v>4050.0</v>
      </c>
      <c r="J36" s="23"/>
      <c r="K36" s="26" t="n">
        <f>780150</f>
        <v>780150.0</v>
      </c>
      <c r="L36" s="24"/>
      <c r="M36" s="26" t="str">
        <f>"－"</f>
        <v>－</v>
      </c>
      <c r="N36" s="25"/>
      <c r="O36" s="26" t="n">
        <f>780150</f>
        <v>780150.0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 t="s">
        <v>35</v>
      </c>
      <c r="Z36" s="26" t="n">
        <f>18651</f>
        <v>18651.0</v>
      </c>
      <c r="AA36" s="24"/>
      <c r="AB36" s="26" t="n">
        <f>18540</f>
        <v>18540.0</v>
      </c>
      <c r="AC36" s="25"/>
      <c r="AD36" s="26" t="n">
        <f>37191</f>
        <v>37191.0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4650</f>
        <v>4650.0</v>
      </c>
      <c r="F37" s="24"/>
      <c r="G37" s="26" t="n">
        <f>10</f>
        <v>10.0</v>
      </c>
      <c r="H37" s="25"/>
      <c r="I37" s="26" t="n">
        <f>4660</f>
        <v>4660.0</v>
      </c>
      <c r="J37" s="23"/>
      <c r="K37" s="26" t="n">
        <f>1192300</f>
        <v>1192300.0</v>
      </c>
      <c r="L37" s="24"/>
      <c r="M37" s="26" t="n">
        <f>50500</f>
        <v>50500.0</v>
      </c>
      <c r="N37" s="25"/>
      <c r="O37" s="26" t="n">
        <f>1242800</f>
        <v>1242800.0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18651</f>
        <v>18651.0</v>
      </c>
      <c r="AA37" s="24" t="s">
        <v>35</v>
      </c>
      <c r="AB37" s="26" t="n">
        <f>18550</f>
        <v>18550.0</v>
      </c>
      <c r="AC37" s="25" t="s">
        <v>35</v>
      </c>
      <c r="AD37" s="26" t="n">
        <f>37201</f>
        <v>37201.0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5000</f>
        <v>5000.0</v>
      </c>
      <c r="F38" s="24"/>
      <c r="G38" s="26" t="str">
        <f>"－"</f>
        <v>－</v>
      </c>
      <c r="H38" s="25"/>
      <c r="I38" s="26" t="n">
        <f>5000</f>
        <v>5000.0</v>
      </c>
      <c r="J38" s="23"/>
      <c r="K38" s="26" t="n">
        <f>1162000</f>
        <v>1162000.0</v>
      </c>
      <c r="L38" s="24"/>
      <c r="M38" s="26" t="str">
        <f>"－"</f>
        <v>－</v>
      </c>
      <c r="N38" s="25"/>
      <c r="O38" s="26" t="n">
        <f>1162000</f>
        <v>1162000.0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17651</f>
        <v>17651.0</v>
      </c>
      <c r="AA38" s="24"/>
      <c r="AB38" s="26" t="n">
        <f>18550</f>
        <v>18550.0</v>
      </c>
      <c r="AC38" s="25"/>
      <c r="AD38" s="26" t="n">
        <f>36201</f>
        <v>36201.0</v>
      </c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