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<sst xmlns="http://schemas.openxmlformats.org/spreadsheetml/2006/main" count="698" uniqueCount="72">
  <si>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</si>
  <si>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</si>
  <si>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</si>
  <si>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</si>
  <si>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</si>
  <si>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</si>
  <si>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</si>
  <si>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</si>
  <si>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</si>
  <si>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</si>
  <si>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</si>
  <si>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</si>
  <si>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</si>
  <si>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</si>
  <si>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</si>
  <si>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</si>
  <si>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</si>
  <si>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</si>
  <si>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</si>
  <si>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</si>
  <si>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</si>
  <si>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</si>
  <si>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</si>
  <si>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</si>
  <si>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</si>
  <si>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</si>
  <si>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</si>
  <si>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日経225オプション</t>
  </si>
  <si>
    <t>Nikkei 225 Options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</si>
  <si>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</si>
  <si>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</si>
  <si>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</si>
  <si>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</si>
  <si>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</si>
  <si>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</si>
  <si>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</si>
  <si>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</si>
  <si>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</si>
  <si>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10</t>
  </si>
  <si>
    <t>◎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</si>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</sst>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58011</f>
        <v>58011.0</v>
      </c>
      <c r="F10" s="23"/>
      <c r="G10" s="25" t="n">
        <f>32463</f>
        <v>32463.0</v>
      </c>
      <c r="H10" s="23"/>
      <c r="I10" s="26" t="n">
        <f>90474</f>
        <v>90474.0</v>
      </c>
      <c r="J10" s="24"/>
      <c r="K10" s="25" t="n">
        <f>14497461250</f>
        <v>1.449746125E10</v>
      </c>
      <c r="L10" s="23"/>
      <c r="M10" s="25" t="n">
        <f>9951567400</f>
        <v>9.9515674E9</v>
      </c>
      <c r="N10" s="23"/>
      <c r="O10" s="26" t="n">
        <f>24449028650</f>
        <v>2.444902865E10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8910</f>
        <v>8910.0</v>
      </c>
      <c r="U10" s="23"/>
      <c r="V10" s="25" t="n">
        <f>5475</f>
        <v>5475.0</v>
      </c>
      <c r="W10" s="23"/>
      <c r="X10" s="26" t="n">
        <f>14385</f>
        <v>14385.0</v>
      </c>
      <c r="Y10" s="24"/>
      <c r="Z10" s="25" t="n">
        <f>921983</f>
        <v>921983.0</v>
      </c>
      <c r="AA10" s="23"/>
      <c r="AB10" s="25" t="n">
        <f>497085</f>
        <v>497085.0</v>
      </c>
      <c r="AC10" s="23"/>
      <c r="AD10" s="26" t="n">
        <f>1419068</f>
        <v>1419068.0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80005</f>
        <v>80005.0</v>
      </c>
      <c r="F11" s="23"/>
      <c r="G11" s="25" t="n">
        <f>44646</f>
        <v>44646.0</v>
      </c>
      <c r="H11" s="23"/>
      <c r="I11" s="26" t="n">
        <f>124651</f>
        <v>124651.0</v>
      </c>
      <c r="J11" s="24"/>
      <c r="K11" s="25" t="n">
        <f>19453508579</f>
        <v>1.9453508579E10</v>
      </c>
      <c r="L11" s="23"/>
      <c r="M11" s="25" t="n">
        <f>12105110130</f>
        <v>1.210511013E10</v>
      </c>
      <c r="N11" s="23"/>
      <c r="O11" s="26" t="n">
        <f>31558618709</f>
        <v>3.1558618709E10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11854</f>
        <v>11854.0</v>
      </c>
      <c r="U11" s="23"/>
      <c r="V11" s="25" t="n">
        <f>8480</f>
        <v>8480.0</v>
      </c>
      <c r="W11" s="23"/>
      <c r="X11" s="26" t="n">
        <f>20334</f>
        <v>20334.0</v>
      </c>
      <c r="Y11" s="24"/>
      <c r="Z11" s="25" t="n">
        <f>933267</f>
        <v>933267.0</v>
      </c>
      <c r="AA11" s="23"/>
      <c r="AB11" s="25" t="n">
        <f>504730</f>
        <v>504730.0</v>
      </c>
      <c r="AC11" s="23"/>
      <c r="AD11" s="26" t="n">
        <f>1437997</f>
        <v>1437997.0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55253</f>
        <v>55253.0</v>
      </c>
      <c r="F12" s="23"/>
      <c r="G12" s="25" t="n">
        <f>28110</f>
        <v>28110.0</v>
      </c>
      <c r="H12" s="23"/>
      <c r="I12" s="26" t="n">
        <f>83363</f>
        <v>83363.0</v>
      </c>
      <c r="J12" s="24"/>
      <c r="K12" s="25" t="n">
        <f>14500241800</f>
        <v>1.45002418E10</v>
      </c>
      <c r="L12" s="23"/>
      <c r="M12" s="25" t="n">
        <f>10498870010</f>
        <v>1.049887001E10</v>
      </c>
      <c r="N12" s="23"/>
      <c r="O12" s="26" t="n">
        <f>24999111810</f>
        <v>2.499911181E10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8652</f>
        <v>8652.0</v>
      </c>
      <c r="U12" s="23"/>
      <c r="V12" s="25" t="n">
        <f>3494</f>
        <v>3494.0</v>
      </c>
      <c r="W12" s="23"/>
      <c r="X12" s="26" t="n">
        <f>12146</f>
        <v>12146.0</v>
      </c>
      <c r="Y12" s="24"/>
      <c r="Z12" s="25" t="n">
        <f>944178</f>
        <v>944178.0</v>
      </c>
      <c r="AA12" s="23"/>
      <c r="AB12" s="25" t="n">
        <f>508948</f>
        <v>508948.0</v>
      </c>
      <c r="AC12" s="23"/>
      <c r="AD12" s="26" t="n">
        <f>1453126</f>
        <v>1453126.0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55734</f>
        <v>55734.0</v>
      </c>
      <c r="F13" s="23"/>
      <c r="G13" s="25" t="n">
        <f>27470</f>
        <v>27470.0</v>
      </c>
      <c r="H13" s="23"/>
      <c r="I13" s="26" t="n">
        <f>83204</f>
        <v>83204.0</v>
      </c>
      <c r="J13" s="24"/>
      <c r="K13" s="25" t="n">
        <f>11086515825</f>
        <v>1.1086515825E10</v>
      </c>
      <c r="L13" s="23"/>
      <c r="M13" s="25" t="n">
        <f>6581456830</f>
        <v>6.58145683E9</v>
      </c>
      <c r="N13" s="23"/>
      <c r="O13" s="26" t="n">
        <f>17667972655</f>
        <v>1.7667972655E10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 t="s">
        <v>32</v>
      </c>
      <c r="T13" s="25" t="n">
        <f>4181</f>
        <v>4181.0</v>
      </c>
      <c r="U13" s="23"/>
      <c r="V13" s="25" t="n">
        <f>3570</f>
        <v>3570.0</v>
      </c>
      <c r="W13" s="23" t="s">
        <v>32</v>
      </c>
      <c r="X13" s="26" t="n">
        <f>7751</f>
        <v>7751.0</v>
      </c>
      <c r="Y13" s="24"/>
      <c r="Z13" s="25" t="n">
        <f>956603</f>
        <v>956603.0</v>
      </c>
      <c r="AA13" s="23"/>
      <c r="AB13" s="25" t="n">
        <f>515019</f>
        <v>515019.0</v>
      </c>
      <c r="AC13" s="23"/>
      <c r="AD13" s="26" t="n">
        <f>1471622</f>
        <v>1471622.0</v>
      </c>
    </row>
    <row r="14">
      <c r="A14" s="30" t="s">
        <v>33</v>
      </c>
      <c r="B14" s="22" t="s">
        <v>27</v>
      </c>
      <c r="C14" s="22" t="s">
        <v>28</v>
      </c>
      <c r="D14" s="24"/>
      <c r="E14" s="25" t="n">
        <f>75346</f>
        <v>75346.0</v>
      </c>
      <c r="F14" s="23"/>
      <c r="G14" s="25" t="n">
        <f>43613</f>
        <v>43613.0</v>
      </c>
      <c r="H14" s="23"/>
      <c r="I14" s="26" t="n">
        <f>118959</f>
        <v>118959.0</v>
      </c>
      <c r="J14" s="24"/>
      <c r="K14" s="25" t="n">
        <f>12484943880</f>
        <v>1.248494388E10</v>
      </c>
      <c r="L14" s="23"/>
      <c r="M14" s="25" t="n">
        <f>8615100150</f>
        <v>8.61510015E9</v>
      </c>
      <c r="N14" s="23"/>
      <c r="O14" s="26" t="n">
        <f>21100044030</f>
        <v>2.110004403E10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15338</f>
        <v>15338.0</v>
      </c>
      <c r="U14" s="23"/>
      <c r="V14" s="25" t="n">
        <f>8992</f>
        <v>8992.0</v>
      </c>
      <c r="W14" s="23"/>
      <c r="X14" s="26" t="n">
        <f>24330</f>
        <v>24330.0</v>
      </c>
      <c r="Y14" s="24"/>
      <c r="Z14" s="25" t="n">
        <f>952866</f>
        <v>952866.0</v>
      </c>
      <c r="AA14" s="23"/>
      <c r="AB14" s="25" t="n">
        <f>514149</f>
        <v>514149.0</v>
      </c>
      <c r="AC14" s="23"/>
      <c r="AD14" s="26" t="n">
        <f>1467015</f>
        <v>1467015.0</v>
      </c>
    </row>
    <row r="15">
      <c r="A15" s="30" t="s">
        <v>34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35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36</v>
      </c>
      <c r="B17" s="22" t="s">
        <v>27</v>
      </c>
      <c r="C17" s="22" t="s">
        <v>28</v>
      </c>
      <c r="D17" s="24"/>
      <c r="E17" s="25" t="n">
        <f>57839</f>
        <v>57839.0</v>
      </c>
      <c r="F17" s="23"/>
      <c r="G17" s="25" t="n">
        <f>37819</f>
        <v>37819.0</v>
      </c>
      <c r="H17" s="23"/>
      <c r="I17" s="26" t="n">
        <f>95658</f>
        <v>95658.0</v>
      </c>
      <c r="J17" s="24" t="s">
        <v>32</v>
      </c>
      <c r="K17" s="25" t="n">
        <f>9568426160</f>
        <v>9.56842616E9</v>
      </c>
      <c r="L17" s="23"/>
      <c r="M17" s="25" t="n">
        <f>4635320080</f>
        <v>4.63532008E9</v>
      </c>
      <c r="N17" s="23" t="s">
        <v>32</v>
      </c>
      <c r="O17" s="26" t="n">
        <f>14203746240</f>
        <v>1.420374624E10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10024</f>
        <v>10024.0</v>
      </c>
      <c r="U17" s="23"/>
      <c r="V17" s="25" t="n">
        <f>6280</f>
        <v>6280.0</v>
      </c>
      <c r="W17" s="23"/>
      <c r="X17" s="26" t="n">
        <f>16304</f>
        <v>16304.0</v>
      </c>
      <c r="Y17" s="24"/>
      <c r="Z17" s="25" t="n">
        <f>964710</f>
        <v>964710.0</v>
      </c>
      <c r="AA17" s="23"/>
      <c r="AB17" s="25" t="n">
        <f>522743</f>
        <v>522743.0</v>
      </c>
      <c r="AC17" s="23"/>
      <c r="AD17" s="26" t="n">
        <f>1487453</f>
        <v>1487453.0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56802</f>
        <v>56802.0</v>
      </c>
      <c r="F18" s="23"/>
      <c r="G18" s="25" t="n">
        <f>37670</f>
        <v>37670.0</v>
      </c>
      <c r="H18" s="23"/>
      <c r="I18" s="26" t="n">
        <f>94472</f>
        <v>94472.0</v>
      </c>
      <c r="J18" s="24"/>
      <c r="K18" s="25" t="n">
        <f>13015950400</f>
        <v>1.30159504E10</v>
      </c>
      <c r="L18" s="23"/>
      <c r="M18" s="25" t="n">
        <f>5004401930</f>
        <v>5.00440193E9</v>
      </c>
      <c r="N18" s="23"/>
      <c r="O18" s="26" t="n">
        <f>18020352330</f>
        <v>1.802035233E10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6106</f>
        <v>6106.0</v>
      </c>
      <c r="U18" s="23"/>
      <c r="V18" s="25" t="n">
        <f>4392</f>
        <v>4392.0</v>
      </c>
      <c r="W18" s="23"/>
      <c r="X18" s="26" t="n">
        <f>10498</f>
        <v>10498.0</v>
      </c>
      <c r="Y18" s="24"/>
      <c r="Z18" s="25" t="n">
        <f>975863</f>
        <v>975863.0</v>
      </c>
      <c r="AA18" s="23"/>
      <c r="AB18" s="25" t="n">
        <f>527079</f>
        <v>527079.0</v>
      </c>
      <c r="AC18" s="23"/>
      <c r="AD18" s="26" t="n">
        <f>1502942</f>
        <v>1502942.0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63618</f>
        <v>63618.0</v>
      </c>
      <c r="F19" s="23"/>
      <c r="G19" s="25" t="n">
        <f>42451</f>
        <v>42451.0</v>
      </c>
      <c r="H19" s="23"/>
      <c r="I19" s="26" t="n">
        <f>106069</f>
        <v>106069.0</v>
      </c>
      <c r="J19" s="24"/>
      <c r="K19" s="25" t="n">
        <f>15208291280</f>
        <v>1.520829128E10</v>
      </c>
      <c r="L19" s="23"/>
      <c r="M19" s="25" t="n">
        <f>6093470786</f>
        <v>6.093470786E9</v>
      </c>
      <c r="N19" s="23"/>
      <c r="O19" s="26" t="n">
        <f>21301762066</f>
        <v>2.1301762066E10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11496</f>
        <v>11496.0</v>
      </c>
      <c r="U19" s="23" t="s">
        <v>39</v>
      </c>
      <c r="V19" s="25" t="n">
        <f>11522</f>
        <v>11522.0</v>
      </c>
      <c r="W19" s="23"/>
      <c r="X19" s="26" t="n">
        <f>23018</f>
        <v>23018.0</v>
      </c>
      <c r="Y19" s="24"/>
      <c r="Z19" s="25" t="n">
        <f>989595</f>
        <v>989595.0</v>
      </c>
      <c r="AA19" s="23"/>
      <c r="AB19" s="25" t="n">
        <f>528609</f>
        <v>528609.0</v>
      </c>
      <c r="AC19" s="23"/>
      <c r="AD19" s="26" t="n">
        <f>1518204</f>
        <v>1518204.0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 t="n">
        <f>58275</f>
        <v>58275.0</v>
      </c>
      <c r="F21" s="23"/>
      <c r="G21" s="25" t="n">
        <f>45900</f>
        <v>45900.0</v>
      </c>
      <c r="H21" s="23"/>
      <c r="I21" s="26" t="n">
        <f>104175</f>
        <v>104175.0</v>
      </c>
      <c r="J21" s="24"/>
      <c r="K21" s="25" t="n">
        <f>16209386913</f>
        <v>1.6209386913E10</v>
      </c>
      <c r="L21" s="23"/>
      <c r="M21" s="25" t="n">
        <f>15443279638</f>
        <v>1.5443279638E10</v>
      </c>
      <c r="N21" s="23"/>
      <c r="O21" s="26" t="n">
        <f>31652666551</f>
        <v>3.1652666551E10</v>
      </c>
      <c r="P21" s="27" t="n">
        <f>234</f>
        <v>234.0</v>
      </c>
      <c r="Q21" s="28" t="n">
        <f>46258</f>
        <v>46258.0</v>
      </c>
      <c r="R21" s="29" t="n">
        <f>46492</f>
        <v>46492.0</v>
      </c>
      <c r="S21" s="24"/>
      <c r="T21" s="25" t="n">
        <f>12073</f>
        <v>12073.0</v>
      </c>
      <c r="U21" s="23"/>
      <c r="V21" s="25" t="n">
        <f>7941</f>
        <v>7941.0</v>
      </c>
      <c r="W21" s="23"/>
      <c r="X21" s="26" t="n">
        <f>20014</f>
        <v>20014.0</v>
      </c>
      <c r="Y21" s="24" t="s">
        <v>32</v>
      </c>
      <c r="Z21" s="25" t="n">
        <f>855006</f>
        <v>855006.0</v>
      </c>
      <c r="AA21" s="23" t="s">
        <v>32</v>
      </c>
      <c r="AB21" s="25" t="n">
        <f>466092</f>
        <v>466092.0</v>
      </c>
      <c r="AC21" s="23" t="s">
        <v>32</v>
      </c>
      <c r="AD21" s="26" t="n">
        <f>1321098</f>
        <v>1321098.0</v>
      </c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 t="n">
        <f>58133</f>
        <v>58133.0</v>
      </c>
      <c r="F24" s="23"/>
      <c r="G24" s="25" t="n">
        <f>43720</f>
        <v>43720.0</v>
      </c>
      <c r="H24" s="23"/>
      <c r="I24" s="26" t="n">
        <f>101853</f>
        <v>101853.0</v>
      </c>
      <c r="J24" s="24"/>
      <c r="K24" s="25" t="n">
        <f>18327805134</f>
        <v>1.8327805134E10</v>
      </c>
      <c r="L24" s="23"/>
      <c r="M24" s="25" t="n">
        <f>12346710316</f>
        <v>1.2346710316E10</v>
      </c>
      <c r="N24" s="23"/>
      <c r="O24" s="26" t="n">
        <f>30674515450</f>
        <v>3.067451545E10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 t="s">
        <v>39</v>
      </c>
      <c r="T24" s="25" t="n">
        <f>20004</f>
        <v>20004.0</v>
      </c>
      <c r="U24" s="23"/>
      <c r="V24" s="25" t="n">
        <f>6560</f>
        <v>6560.0</v>
      </c>
      <c r="W24" s="23" t="s">
        <v>39</v>
      </c>
      <c r="X24" s="26" t="n">
        <f>26564</f>
        <v>26564.0</v>
      </c>
      <c r="Y24" s="24"/>
      <c r="Z24" s="25" t="n">
        <f>870955</f>
        <v>870955.0</v>
      </c>
      <c r="AA24" s="23"/>
      <c r="AB24" s="25" t="n">
        <f>473827</f>
        <v>473827.0</v>
      </c>
      <c r="AC24" s="23"/>
      <c r="AD24" s="26" t="n">
        <f>1344782</f>
        <v>1344782.0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56826</f>
        <v>56826.0</v>
      </c>
      <c r="F25" s="23"/>
      <c r="G25" s="25" t="n">
        <f>32568</f>
        <v>32568.0</v>
      </c>
      <c r="H25" s="23"/>
      <c r="I25" s="26" t="n">
        <f>89394</f>
        <v>89394.0</v>
      </c>
      <c r="J25" s="24"/>
      <c r="K25" s="25" t="n">
        <f>23376655820</f>
        <v>2.337665582E10</v>
      </c>
      <c r="L25" s="23"/>
      <c r="M25" s="25" t="n">
        <f>13476895100</f>
        <v>1.34768951E10</v>
      </c>
      <c r="N25" s="23"/>
      <c r="O25" s="26" t="n">
        <f>36853550920</f>
        <v>3.685355092E10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10777</f>
        <v>10777.0</v>
      </c>
      <c r="U25" s="23"/>
      <c r="V25" s="25" t="n">
        <f>9823</f>
        <v>9823.0</v>
      </c>
      <c r="W25" s="23"/>
      <c r="X25" s="26" t="n">
        <f>20600</f>
        <v>20600.0</v>
      </c>
      <c r="Y25" s="24"/>
      <c r="Z25" s="25" t="n">
        <f>891742</f>
        <v>891742.0</v>
      </c>
      <c r="AA25" s="23"/>
      <c r="AB25" s="25" t="n">
        <f>480606</f>
        <v>480606.0</v>
      </c>
      <c r="AC25" s="23"/>
      <c r="AD25" s="26" t="n">
        <f>1372348</f>
        <v>1372348.0</v>
      </c>
    </row>
    <row r="26">
      <c r="A26" s="30" t="s">
        <v>46</v>
      </c>
      <c r="B26" s="22" t="s">
        <v>27</v>
      </c>
      <c r="C26" s="22" t="s">
        <v>28</v>
      </c>
      <c r="D26" s="24" t="s">
        <v>39</v>
      </c>
      <c r="E26" s="25" t="n">
        <f>96410</f>
        <v>96410.0</v>
      </c>
      <c r="F26" s="23"/>
      <c r="G26" s="25" t="n">
        <f>51817</f>
        <v>51817.0</v>
      </c>
      <c r="H26" s="23"/>
      <c r="I26" s="26" t="n">
        <f>148227</f>
        <v>148227.0</v>
      </c>
      <c r="J26" s="24" t="s">
        <v>39</v>
      </c>
      <c r="K26" s="25" t="n">
        <f>27843203220</f>
        <v>2.784320322E10</v>
      </c>
      <c r="L26" s="23"/>
      <c r="M26" s="25" t="n">
        <f>15635829390</f>
        <v>1.563582939E10</v>
      </c>
      <c r="N26" s="23"/>
      <c r="O26" s="26" t="n">
        <f>43479032610</f>
        <v>4.347903261E10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14397</f>
        <v>14397.0</v>
      </c>
      <c r="U26" s="23"/>
      <c r="V26" s="25" t="n">
        <f>9423</f>
        <v>9423.0</v>
      </c>
      <c r="W26" s="23"/>
      <c r="X26" s="26" t="n">
        <f>23820</f>
        <v>23820.0</v>
      </c>
      <c r="Y26" s="24"/>
      <c r="Z26" s="25" t="n">
        <f>913280</f>
        <v>913280.0</v>
      </c>
      <c r="AA26" s="23"/>
      <c r="AB26" s="25" t="n">
        <f>492921</f>
        <v>492921.0</v>
      </c>
      <c r="AC26" s="23"/>
      <c r="AD26" s="26" t="n">
        <f>1406201</f>
        <v>1406201.0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59655</f>
        <v>59655.0</v>
      </c>
      <c r="F27" s="23"/>
      <c r="G27" s="25" t="n">
        <f>34386</f>
        <v>34386.0</v>
      </c>
      <c r="H27" s="23"/>
      <c r="I27" s="26" t="n">
        <f>94041</f>
        <v>94041.0</v>
      </c>
      <c r="J27" s="24"/>
      <c r="K27" s="25" t="n">
        <f>23006125355</f>
        <v>2.3006125355E10</v>
      </c>
      <c r="L27" s="23"/>
      <c r="M27" s="25" t="n">
        <f>15502466320</f>
        <v>1.550246632E10</v>
      </c>
      <c r="N27" s="23"/>
      <c r="O27" s="26" t="n">
        <f>38508591675</f>
        <v>3.8508591675E10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12111</f>
        <v>12111.0</v>
      </c>
      <c r="U27" s="23"/>
      <c r="V27" s="25" t="n">
        <f>4299</f>
        <v>4299.0</v>
      </c>
      <c r="W27" s="23"/>
      <c r="X27" s="26" t="n">
        <f>16410</f>
        <v>16410.0</v>
      </c>
      <c r="Y27" s="24"/>
      <c r="Z27" s="25" t="n">
        <f>925666</f>
        <v>925666.0</v>
      </c>
      <c r="AA27" s="23"/>
      <c r="AB27" s="25" t="n">
        <f>494105</f>
        <v>494105.0</v>
      </c>
      <c r="AC27" s="23"/>
      <c r="AD27" s="26" t="n">
        <f>1419771</f>
        <v>1419771.0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64040</f>
        <v>64040.0</v>
      </c>
      <c r="F28" s="23"/>
      <c r="G28" s="25" t="n">
        <f>29726</f>
        <v>29726.0</v>
      </c>
      <c r="H28" s="23"/>
      <c r="I28" s="26" t="n">
        <f>93766</f>
        <v>93766.0</v>
      </c>
      <c r="J28" s="24"/>
      <c r="K28" s="25" t="n">
        <f>22130756130</f>
        <v>2.213075613E10</v>
      </c>
      <c r="L28" s="23"/>
      <c r="M28" s="25" t="n">
        <f>14134456621</f>
        <v>1.4134456621E10</v>
      </c>
      <c r="N28" s="23"/>
      <c r="O28" s="26" t="n">
        <f>36265212751</f>
        <v>3.6265212751E10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5988</f>
        <v>5988.0</v>
      </c>
      <c r="U28" s="23"/>
      <c r="V28" s="25" t="n">
        <f>4167</f>
        <v>4167.0</v>
      </c>
      <c r="W28" s="23"/>
      <c r="X28" s="26" t="n">
        <f>10155</f>
        <v>10155.0</v>
      </c>
      <c r="Y28" s="24"/>
      <c r="Z28" s="25" t="n">
        <f>946067</f>
        <v>946067.0</v>
      </c>
      <c r="AA28" s="23"/>
      <c r="AB28" s="25" t="n">
        <f>498067</f>
        <v>498067.0</v>
      </c>
      <c r="AC28" s="23"/>
      <c r="AD28" s="26" t="n">
        <f>1444134</f>
        <v>1444134.0</v>
      </c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 t="n">
        <f>50439</f>
        <v>50439.0</v>
      </c>
      <c r="F31" s="23"/>
      <c r="G31" s="25" t="n">
        <f>28509</f>
        <v>28509.0</v>
      </c>
      <c r="H31" s="23"/>
      <c r="I31" s="26" t="n">
        <f>78948</f>
        <v>78948.0</v>
      </c>
      <c r="J31" s="24"/>
      <c r="K31" s="25" t="n">
        <f>26233141120</f>
        <v>2.623314112E10</v>
      </c>
      <c r="L31" s="23"/>
      <c r="M31" s="25" t="n">
        <f>10877509360</f>
        <v>1.087750936E10</v>
      </c>
      <c r="N31" s="23"/>
      <c r="O31" s="26" t="n">
        <f>37110650480</f>
        <v>3.711065048E10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5875</f>
        <v>5875.0</v>
      </c>
      <c r="U31" s="23"/>
      <c r="V31" s="25" t="n">
        <f>3588</f>
        <v>3588.0</v>
      </c>
      <c r="W31" s="23"/>
      <c r="X31" s="26" t="n">
        <f>9463</f>
        <v>9463.0</v>
      </c>
      <c r="Y31" s="24"/>
      <c r="Z31" s="25" t="n">
        <f>962631</f>
        <v>962631.0</v>
      </c>
      <c r="AA31" s="23"/>
      <c r="AB31" s="25" t="n">
        <f>505940</f>
        <v>505940.0</v>
      </c>
      <c r="AC31" s="23"/>
      <c r="AD31" s="26" t="n">
        <f>1468571</f>
        <v>1468571.0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54601</f>
        <v>54601.0</v>
      </c>
      <c r="F32" s="23" t="s">
        <v>32</v>
      </c>
      <c r="G32" s="25" t="n">
        <f>23541</f>
        <v>23541.0</v>
      </c>
      <c r="H32" s="23" t="s">
        <v>32</v>
      </c>
      <c r="I32" s="26" t="n">
        <f>78142</f>
        <v>78142.0</v>
      </c>
      <c r="J32" s="24"/>
      <c r="K32" s="25" t="n">
        <f>13066923042</f>
        <v>1.3066923042E10</v>
      </c>
      <c r="L32" s="23" t="s">
        <v>32</v>
      </c>
      <c r="M32" s="25" t="n">
        <f>4610712230</f>
        <v>4.61071223E9</v>
      </c>
      <c r="N32" s="23"/>
      <c r="O32" s="26" t="n">
        <f>17677635272</f>
        <v>1.7677635272E10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9556</f>
        <v>9556.0</v>
      </c>
      <c r="U32" s="23"/>
      <c r="V32" s="25" t="n">
        <f>3815</f>
        <v>3815.0</v>
      </c>
      <c r="W32" s="23"/>
      <c r="X32" s="26" t="n">
        <f>13371</f>
        <v>13371.0</v>
      </c>
      <c r="Y32" s="24"/>
      <c r="Z32" s="25" t="n">
        <f>966569</f>
        <v>966569.0</v>
      </c>
      <c r="AA32" s="23"/>
      <c r="AB32" s="25" t="n">
        <f>506565</f>
        <v>506565.0</v>
      </c>
      <c r="AC32" s="23"/>
      <c r="AD32" s="26" t="n">
        <f>1473134</f>
        <v>1473134.0</v>
      </c>
    </row>
    <row r="33">
      <c r="A33" s="30" t="s">
        <v>53</v>
      </c>
      <c r="B33" s="22" t="s">
        <v>27</v>
      </c>
      <c r="C33" s="22" t="s">
        <v>28</v>
      </c>
      <c r="D33" s="24" t="s">
        <v>32</v>
      </c>
      <c r="E33" s="25" t="n">
        <f>50402</f>
        <v>50402.0</v>
      </c>
      <c r="F33" s="23"/>
      <c r="G33" s="25" t="n">
        <f>28093</f>
        <v>28093.0</v>
      </c>
      <c r="H33" s="23"/>
      <c r="I33" s="26" t="n">
        <f>78495</f>
        <v>78495.0</v>
      </c>
      <c r="J33" s="24"/>
      <c r="K33" s="25" t="n">
        <f>10567739495</f>
        <v>1.0567739495E10</v>
      </c>
      <c r="L33" s="23"/>
      <c r="M33" s="25" t="n">
        <f>6799237910</f>
        <v>6.79923791E9</v>
      </c>
      <c r="N33" s="23"/>
      <c r="O33" s="26" t="n">
        <f>17366977405</f>
        <v>1.7366977405E10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10720</f>
        <v>10720.0</v>
      </c>
      <c r="U33" s="23"/>
      <c r="V33" s="25" t="n">
        <f>6828</f>
        <v>6828.0</v>
      </c>
      <c r="W33" s="23"/>
      <c r="X33" s="26" t="n">
        <f>17548</f>
        <v>17548.0</v>
      </c>
      <c r="Y33" s="24"/>
      <c r="Z33" s="25" t="n">
        <f>976118</f>
        <v>976118.0</v>
      </c>
      <c r="AA33" s="23"/>
      <c r="AB33" s="25" t="n">
        <f>508075</f>
        <v>508075.0</v>
      </c>
      <c r="AC33" s="23"/>
      <c r="AD33" s="26" t="n">
        <f>1484193</f>
        <v>1484193.0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53203</f>
        <v>53203.0</v>
      </c>
      <c r="F34" s="23"/>
      <c r="G34" s="25" t="n">
        <f>27289</f>
        <v>27289.0</v>
      </c>
      <c r="H34" s="23"/>
      <c r="I34" s="26" t="n">
        <f>80492</f>
        <v>80492.0</v>
      </c>
      <c r="J34" s="24"/>
      <c r="K34" s="25" t="n">
        <f>14977305310</f>
        <v>1.497730531E10</v>
      </c>
      <c r="L34" s="23"/>
      <c r="M34" s="25" t="n">
        <f>5894659340</f>
        <v>5.89465934E9</v>
      </c>
      <c r="N34" s="23"/>
      <c r="O34" s="26" t="n">
        <f>20871964650</f>
        <v>2.087196465E10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6949</f>
        <v>6949.0</v>
      </c>
      <c r="U34" s="23" t="s">
        <v>32</v>
      </c>
      <c r="V34" s="25" t="n">
        <f>3157</f>
        <v>3157.0</v>
      </c>
      <c r="W34" s="23"/>
      <c r="X34" s="26" t="n">
        <f>10106</f>
        <v>10106.0</v>
      </c>
      <c r="Y34" s="24"/>
      <c r="Z34" s="25" t="n">
        <f>982225</f>
        <v>982225.0</v>
      </c>
      <c r="AA34" s="23"/>
      <c r="AB34" s="25" t="n">
        <f>510610</f>
        <v>510610.0</v>
      </c>
      <c r="AC34" s="23"/>
      <c r="AD34" s="26" t="n">
        <f>1492835</f>
        <v>1492835.0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50992</f>
        <v>50992.0</v>
      </c>
      <c r="F35" s="23"/>
      <c r="G35" s="25" t="n">
        <f>31945</f>
        <v>31945.0</v>
      </c>
      <c r="H35" s="23"/>
      <c r="I35" s="26" t="n">
        <f>82937</f>
        <v>82937.0</v>
      </c>
      <c r="J35" s="24"/>
      <c r="K35" s="25" t="n">
        <f>11910521057</f>
        <v>1.1910521057E10</v>
      </c>
      <c r="L35" s="23"/>
      <c r="M35" s="25" t="n">
        <f>6594084279</f>
        <v>6.594084279E9</v>
      </c>
      <c r="N35" s="23"/>
      <c r="O35" s="26" t="n">
        <f>18504605336</f>
        <v>1.8504605336E10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8717</f>
        <v>8717.0</v>
      </c>
      <c r="U35" s="23"/>
      <c r="V35" s="25" t="n">
        <f>8867</f>
        <v>8867.0</v>
      </c>
      <c r="W35" s="23"/>
      <c r="X35" s="26" t="n">
        <f>17584</f>
        <v>17584.0</v>
      </c>
      <c r="Y35" s="24"/>
      <c r="Z35" s="25" t="n">
        <f>988645</f>
        <v>988645.0</v>
      </c>
      <c r="AA35" s="23"/>
      <c r="AB35" s="25" t="n">
        <f>513574</f>
        <v>513574.0</v>
      </c>
      <c r="AC35" s="23"/>
      <c r="AD35" s="26" t="n">
        <f>1502219</f>
        <v>1502219.0</v>
      </c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/>
      <c r="E38" s="25" t="n">
        <f>91949</f>
        <v>91949.0</v>
      </c>
      <c r="F38" s="23" t="s">
        <v>39</v>
      </c>
      <c r="G38" s="25" t="n">
        <f>70861</f>
        <v>70861.0</v>
      </c>
      <c r="H38" s="23" t="s">
        <v>39</v>
      </c>
      <c r="I38" s="26" t="n">
        <f>162810</f>
        <v>162810.0</v>
      </c>
      <c r="J38" s="24"/>
      <c r="K38" s="25" t="n">
        <f>24216849340</f>
        <v>2.421684934E10</v>
      </c>
      <c r="L38" s="23"/>
      <c r="M38" s="25" t="n">
        <f>12575244086</f>
        <v>1.2575244086E10</v>
      </c>
      <c r="N38" s="23"/>
      <c r="O38" s="26" t="n">
        <f>36792093426</f>
        <v>3.6792093426E10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11162</f>
        <v>11162.0</v>
      </c>
      <c r="U38" s="23"/>
      <c r="V38" s="25" t="n">
        <f>7041</f>
        <v>7041.0</v>
      </c>
      <c r="W38" s="23"/>
      <c r="X38" s="26" t="n">
        <f>18203</f>
        <v>18203.0</v>
      </c>
      <c r="Y38" s="24"/>
      <c r="Z38" s="25" t="n">
        <f>1007443</f>
        <v>1007443.0</v>
      </c>
      <c r="AA38" s="23"/>
      <c r="AB38" s="25" t="n">
        <f>536082</f>
        <v>536082.0</v>
      </c>
      <c r="AC38" s="23"/>
      <c r="AD38" s="26" t="n">
        <f>1543525</f>
        <v>1543525.0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59177</f>
        <v>59177.0</v>
      </c>
      <c r="F39" s="23"/>
      <c r="G39" s="25" t="n">
        <f>46768</f>
        <v>46768.0</v>
      </c>
      <c r="H39" s="23"/>
      <c r="I39" s="26" t="n">
        <f>105945</f>
        <v>105945.0</v>
      </c>
      <c r="J39" s="24"/>
      <c r="K39" s="25" t="n">
        <f>14811886050</f>
        <v>1.481188605E10</v>
      </c>
      <c r="L39" s="23"/>
      <c r="M39" s="25" t="n">
        <f>7990574420</f>
        <v>7.99057442E9</v>
      </c>
      <c r="N39" s="23"/>
      <c r="O39" s="26" t="n">
        <f>22802460470</f>
        <v>2.280246047E10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7555</f>
        <v>7555.0</v>
      </c>
      <c r="U39" s="23"/>
      <c r="V39" s="25" t="n">
        <f>3786</f>
        <v>3786.0</v>
      </c>
      <c r="W39" s="23"/>
      <c r="X39" s="26" t="n">
        <f>11341</f>
        <v>11341.0</v>
      </c>
      <c r="Y39" s="24"/>
      <c r="Z39" s="25" t="n">
        <f>1003450</f>
        <v>1003450.0</v>
      </c>
      <c r="AA39" s="23"/>
      <c r="AB39" s="25" t="n">
        <f>529073</f>
        <v>529073.0</v>
      </c>
      <c r="AC39" s="23"/>
      <c r="AD39" s="26" t="n">
        <f>1532523</f>
        <v>1532523.0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67313</f>
        <v>67313.0</v>
      </c>
      <c r="F40" s="23"/>
      <c r="G40" s="25" t="n">
        <f>49054</f>
        <v>49054.0</v>
      </c>
      <c r="H40" s="23"/>
      <c r="I40" s="26" t="n">
        <f>116367</f>
        <v>116367.0</v>
      </c>
      <c r="J40" s="24"/>
      <c r="K40" s="25" t="n">
        <f>26130009000</f>
        <v>2.6130009E10</v>
      </c>
      <c r="L40" s="23" t="s">
        <v>39</v>
      </c>
      <c r="M40" s="25" t="n">
        <f>19210269640</f>
        <v>1.921026964E10</v>
      </c>
      <c r="N40" s="23" t="s">
        <v>39</v>
      </c>
      <c r="O40" s="26" t="n">
        <f>45340278640</f>
        <v>4.534027864E10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10583</f>
        <v>10583.0</v>
      </c>
      <c r="U40" s="23"/>
      <c r="V40" s="25" t="n">
        <f>9790</f>
        <v>9790.0</v>
      </c>
      <c r="W40" s="23"/>
      <c r="X40" s="26" t="n">
        <f>20373</f>
        <v>20373.0</v>
      </c>
      <c r="Y40" s="24" t="s">
        <v>39</v>
      </c>
      <c r="Z40" s="25" t="n">
        <f>1018817</f>
        <v>1018817.0</v>
      </c>
      <c r="AA40" s="23" t="s">
        <v>39</v>
      </c>
      <c r="AB40" s="25" t="n">
        <f>539781</f>
        <v>539781.0</v>
      </c>
      <c r="AC40" s="23" t="s">
        <v>39</v>
      </c>
      <c r="AD40" s="26" t="n">
        <f>1558598</f>
        <v>1558598.0</v>
      </c>
    </row>
    <row r="41">
      <c r="A41" s="30" t="s">
        <v>26</v>
      </c>
      <c r="B41" s="22" t="s">
        <v>61</v>
      </c>
      <c r="C41" s="22" t="s">
        <v>62</v>
      </c>
      <c r="D41" s="24"/>
      <c r="E41" s="25" t="n">
        <f>2115</f>
        <v>2115.0</v>
      </c>
      <c r="F41" s="23"/>
      <c r="G41" s="25" t="n">
        <f>712</f>
        <v>712.0</v>
      </c>
      <c r="H41" s="23"/>
      <c r="I41" s="26" t="n">
        <f>2827</f>
        <v>2827.0</v>
      </c>
      <c r="J41" s="24"/>
      <c r="K41" s="25" t="n">
        <f>68965000</f>
        <v>6.8965E7</v>
      </c>
      <c r="L41" s="23"/>
      <c r="M41" s="25" t="n">
        <f>28409000</f>
        <v>2.8409E7</v>
      </c>
      <c r="N41" s="23"/>
      <c r="O41" s="26" t="n">
        <f>97374000</f>
        <v>9.7374E7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234</f>
        <v>234.0</v>
      </c>
      <c r="U41" s="23"/>
      <c r="V41" s="25" t="n">
        <f>37</f>
        <v>37.0</v>
      </c>
      <c r="W41" s="23"/>
      <c r="X41" s="26" t="n">
        <f>271</f>
        <v>271.0</v>
      </c>
      <c r="Y41" s="24"/>
      <c r="Z41" s="25" t="n">
        <f>6328</f>
        <v>6328.0</v>
      </c>
      <c r="AA41" s="23" t="s">
        <v>32</v>
      </c>
      <c r="AB41" s="25" t="n">
        <f>2755</f>
        <v>2755.0</v>
      </c>
      <c r="AC41" s="23"/>
      <c r="AD41" s="26" t="n">
        <f>9083</f>
        <v>9083.0</v>
      </c>
    </row>
    <row r="42">
      <c r="A42" s="30" t="s">
        <v>29</v>
      </c>
      <c r="B42" s="22" t="s">
        <v>61</v>
      </c>
      <c r="C42" s="22" t="s">
        <v>62</v>
      </c>
      <c r="D42" s="24"/>
      <c r="E42" s="25" t="n">
        <f>4523</f>
        <v>4523.0</v>
      </c>
      <c r="F42" s="23"/>
      <c r="G42" s="25" t="n">
        <f>2277</f>
        <v>2277.0</v>
      </c>
      <c r="H42" s="23"/>
      <c r="I42" s="26" t="n">
        <f>6800</f>
        <v>6800.0</v>
      </c>
      <c r="J42" s="24"/>
      <c r="K42" s="25" t="n">
        <f>204688000</f>
        <v>2.04688E8</v>
      </c>
      <c r="L42" s="23"/>
      <c r="M42" s="25" t="n">
        <f>123968460</f>
        <v>1.2396846E8</v>
      </c>
      <c r="N42" s="23"/>
      <c r="O42" s="26" t="n">
        <f>328656460</f>
        <v>3.2865646E8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211</f>
        <v>211.0</v>
      </c>
      <c r="U42" s="23"/>
      <c r="V42" s="25" t="n">
        <f>165</f>
        <v>165.0</v>
      </c>
      <c r="W42" s="23"/>
      <c r="X42" s="26" t="n">
        <f>376</f>
        <v>376.0</v>
      </c>
      <c r="Y42" s="24"/>
      <c r="Z42" s="25" t="n">
        <f>9051</f>
        <v>9051.0</v>
      </c>
      <c r="AA42" s="23"/>
      <c r="AB42" s="25" t="n">
        <f>3844</f>
        <v>3844.0</v>
      </c>
      <c r="AC42" s="23"/>
      <c r="AD42" s="26" t="n">
        <f>12895</f>
        <v>12895.0</v>
      </c>
    </row>
    <row r="43">
      <c r="A43" s="30" t="s">
        <v>30</v>
      </c>
      <c r="B43" s="22" t="s">
        <v>61</v>
      </c>
      <c r="C43" s="22" t="s">
        <v>62</v>
      </c>
      <c r="D43" s="24"/>
      <c r="E43" s="25" t="n">
        <f>1698</f>
        <v>1698.0</v>
      </c>
      <c r="F43" s="23"/>
      <c r="G43" s="25" t="n">
        <f>1704</f>
        <v>1704.0</v>
      </c>
      <c r="H43" s="23"/>
      <c r="I43" s="26" t="n">
        <f>3402</f>
        <v>3402.0</v>
      </c>
      <c r="J43" s="24"/>
      <c r="K43" s="25" t="n">
        <f>53328000</f>
        <v>5.3328E7</v>
      </c>
      <c r="L43" s="23"/>
      <c r="M43" s="25" t="n">
        <f>108078000</f>
        <v>1.08078E8</v>
      </c>
      <c r="N43" s="23"/>
      <c r="O43" s="26" t="n">
        <f>161406000</f>
        <v>1.61406E8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150</f>
        <v>150.0</v>
      </c>
      <c r="U43" s="23"/>
      <c r="V43" s="25" t="n">
        <f>134</f>
        <v>134.0</v>
      </c>
      <c r="W43" s="23"/>
      <c r="X43" s="26" t="n">
        <f>284</f>
        <v>284.0</v>
      </c>
      <c r="Y43" s="24"/>
      <c r="Z43" s="25" t="n">
        <f>9504</f>
        <v>9504.0</v>
      </c>
      <c r="AA43" s="23"/>
      <c r="AB43" s="25" t="n">
        <f>4355</f>
        <v>4355.0</v>
      </c>
      <c r="AC43" s="23"/>
      <c r="AD43" s="26" t="n">
        <f>13859</f>
        <v>13859.0</v>
      </c>
    </row>
    <row r="44">
      <c r="A44" s="30" t="s">
        <v>31</v>
      </c>
      <c r="B44" s="22" t="s">
        <v>61</v>
      </c>
      <c r="C44" s="22" t="s">
        <v>62</v>
      </c>
      <c r="D44" s="24"/>
      <c r="E44" s="25" t="n">
        <f>3286</f>
        <v>3286.0</v>
      </c>
      <c r="F44" s="23"/>
      <c r="G44" s="25" t="n">
        <f>2033</f>
        <v>2033.0</v>
      </c>
      <c r="H44" s="23"/>
      <c r="I44" s="26" t="n">
        <f>5319</f>
        <v>5319.0</v>
      </c>
      <c r="J44" s="24"/>
      <c r="K44" s="25" t="n">
        <f>41846000</f>
        <v>4.1846E7</v>
      </c>
      <c r="L44" s="23"/>
      <c r="M44" s="25" t="n">
        <f>47253000</f>
        <v>4.7253E7</v>
      </c>
      <c r="N44" s="23" t="s">
        <v>32</v>
      </c>
      <c r="O44" s="26" t="n">
        <f>89099000</f>
        <v>8.9099E7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347</f>
        <v>347.0</v>
      </c>
      <c r="U44" s="23"/>
      <c r="V44" s="25" t="n">
        <f>90</f>
        <v>90.0</v>
      </c>
      <c r="W44" s="23"/>
      <c r="X44" s="26" t="n">
        <f>437</f>
        <v>437.0</v>
      </c>
      <c r="Y44" s="24"/>
      <c r="Z44" s="25" t="n">
        <f>10565</f>
        <v>10565.0</v>
      </c>
      <c r="AA44" s="23"/>
      <c r="AB44" s="25" t="n">
        <f>5109</f>
        <v>5109.0</v>
      </c>
      <c r="AC44" s="23"/>
      <c r="AD44" s="26" t="n">
        <f>15674</f>
        <v>15674.0</v>
      </c>
    </row>
    <row r="45">
      <c r="A45" s="30" t="s">
        <v>33</v>
      </c>
      <c r="B45" s="22" t="s">
        <v>61</v>
      </c>
      <c r="C45" s="22" t="s">
        <v>62</v>
      </c>
      <c r="D45" s="24" t="s">
        <v>32</v>
      </c>
      <c r="E45" s="25" t="n">
        <f>242</f>
        <v>242.0</v>
      </c>
      <c r="F45" s="23"/>
      <c r="G45" s="25" t="n">
        <f>436</f>
        <v>436.0</v>
      </c>
      <c r="H45" s="23" t="s">
        <v>32</v>
      </c>
      <c r="I45" s="26" t="n">
        <f>678</f>
        <v>678.0</v>
      </c>
      <c r="J45" s="24" t="s">
        <v>32</v>
      </c>
      <c r="K45" s="25" t="n">
        <f>26880000</f>
        <v>2.688E7</v>
      </c>
      <c r="L45" s="23"/>
      <c r="M45" s="25" t="n">
        <f>90541000</f>
        <v>9.0541E7</v>
      </c>
      <c r="N45" s="23"/>
      <c r="O45" s="26" t="n">
        <f>117421000</f>
        <v>1.17421E8</v>
      </c>
      <c r="P45" s="27" t="n">
        <f>53</f>
        <v>53.0</v>
      </c>
      <c r="Q45" s="28" t="n">
        <f>416</f>
        <v>416.0</v>
      </c>
      <c r="R45" s="29" t="n">
        <f>469</f>
        <v>469.0</v>
      </c>
      <c r="S45" s="24" t="s">
        <v>32</v>
      </c>
      <c r="T45" s="25" t="n">
        <f>3</f>
        <v>3.0</v>
      </c>
      <c r="U45" s="23"/>
      <c r="V45" s="25" t="n">
        <f>302</f>
        <v>302.0</v>
      </c>
      <c r="W45" s="23"/>
      <c r="X45" s="26" t="n">
        <f>305</f>
        <v>305.0</v>
      </c>
      <c r="Y45" s="24" t="s">
        <v>32</v>
      </c>
      <c r="Z45" s="25" t="n">
        <f>1580</f>
        <v>1580.0</v>
      </c>
      <c r="AA45" s="23"/>
      <c r="AB45" s="25" t="n">
        <f>3089</f>
        <v>3089.0</v>
      </c>
      <c r="AC45" s="23" t="s">
        <v>32</v>
      </c>
      <c r="AD45" s="26" t="n">
        <f>4669</f>
        <v>4669.0</v>
      </c>
    </row>
    <row r="46">
      <c r="A46" s="30" t="s">
        <v>34</v>
      </c>
      <c r="B46" s="22" t="s">
        <v>61</v>
      </c>
      <c r="C46" s="22" t="s">
        <v>62</v>
      </c>
      <c r="D46" s="24"/>
      <c r="E46" s="25"/>
      <c r="F46" s="23"/>
      <c r="G46" s="25"/>
      <c r="H46" s="23"/>
      <c r="I46" s="26"/>
      <c r="J46" s="24"/>
      <c r="K46" s="25"/>
      <c r="L46" s="23"/>
      <c r="M46" s="25"/>
      <c r="N46" s="23"/>
      <c r="O46" s="26"/>
      <c r="P46" s="27"/>
      <c r="Q46" s="28"/>
      <c r="R46" s="29"/>
      <c r="S46" s="24"/>
      <c r="T46" s="25"/>
      <c r="U46" s="23"/>
      <c r="V46" s="25"/>
      <c r="W46" s="23"/>
      <c r="X46" s="26"/>
      <c r="Y46" s="24"/>
      <c r="Z46" s="25"/>
      <c r="AA46" s="23"/>
      <c r="AB46" s="25"/>
      <c r="AC46" s="23"/>
      <c r="AD46" s="26"/>
    </row>
    <row r="47">
      <c r="A47" s="30" t="s">
        <v>35</v>
      </c>
      <c r="B47" s="22" t="s">
        <v>61</v>
      </c>
      <c r="C47" s="22" t="s">
        <v>62</v>
      </c>
      <c r="D47" s="24"/>
      <c r="E47" s="25"/>
      <c r="F47" s="23"/>
      <c r="G47" s="25"/>
      <c r="H47" s="23"/>
      <c r="I47" s="26"/>
      <c r="J47" s="24"/>
      <c r="K47" s="25"/>
      <c r="L47" s="23"/>
      <c r="M47" s="25"/>
      <c r="N47" s="23"/>
      <c r="O47" s="26"/>
      <c r="P47" s="27"/>
      <c r="Q47" s="28"/>
      <c r="R47" s="29"/>
      <c r="S47" s="24"/>
      <c r="T47" s="25"/>
      <c r="U47" s="23"/>
      <c r="V47" s="25"/>
      <c r="W47" s="23"/>
      <c r="X47" s="26"/>
      <c r="Y47" s="24"/>
      <c r="Z47" s="25"/>
      <c r="AA47" s="23"/>
      <c r="AB47" s="25"/>
      <c r="AC47" s="23"/>
      <c r="AD47" s="26"/>
    </row>
    <row r="48">
      <c r="A48" s="30" t="s">
        <v>36</v>
      </c>
      <c r="B48" s="22" t="s">
        <v>61</v>
      </c>
      <c r="C48" s="22" t="s">
        <v>62</v>
      </c>
      <c r="D48" s="24"/>
      <c r="E48" s="25" t="n">
        <f>731</f>
        <v>731.0</v>
      </c>
      <c r="F48" s="23"/>
      <c r="G48" s="25" t="n">
        <f>630</f>
        <v>630.0</v>
      </c>
      <c r="H48" s="23"/>
      <c r="I48" s="26" t="n">
        <f>1361</f>
        <v>1361.0</v>
      </c>
      <c r="J48" s="24"/>
      <c r="K48" s="25" t="n">
        <f>126648000</f>
        <v>1.26648E8</v>
      </c>
      <c r="L48" s="23"/>
      <c r="M48" s="25" t="n">
        <f>71066200</f>
        <v>7.10662E7</v>
      </c>
      <c r="N48" s="23"/>
      <c r="O48" s="26" t="n">
        <f>197714200</f>
        <v>1.977142E8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34</f>
        <v>34.0</v>
      </c>
      <c r="U48" s="23" t="s">
        <v>32</v>
      </c>
      <c r="V48" s="25" t="n">
        <f>29</f>
        <v>29.0</v>
      </c>
      <c r="W48" s="23" t="s">
        <v>32</v>
      </c>
      <c r="X48" s="26" t="n">
        <f>63</f>
        <v>63.0</v>
      </c>
      <c r="Y48" s="24"/>
      <c r="Z48" s="25" t="n">
        <f>2255</f>
        <v>2255.0</v>
      </c>
      <c r="AA48" s="23"/>
      <c r="AB48" s="25" t="n">
        <f>3560</f>
        <v>3560.0</v>
      </c>
      <c r="AC48" s="23"/>
      <c r="AD48" s="26" t="n">
        <f>5815</f>
        <v>5815.0</v>
      </c>
    </row>
    <row r="49">
      <c r="A49" s="30" t="s">
        <v>37</v>
      </c>
      <c r="B49" s="22" t="s">
        <v>61</v>
      </c>
      <c r="C49" s="22" t="s">
        <v>62</v>
      </c>
      <c r="D49" s="24"/>
      <c r="E49" s="25" t="n">
        <f>1424</f>
        <v>1424.0</v>
      </c>
      <c r="F49" s="23" t="s">
        <v>32</v>
      </c>
      <c r="G49" s="25" t="n">
        <f>261</f>
        <v>261.0</v>
      </c>
      <c r="H49" s="23"/>
      <c r="I49" s="26" t="n">
        <f>1685</f>
        <v>1685.0</v>
      </c>
      <c r="J49" s="24"/>
      <c r="K49" s="25" t="n">
        <f>116037000</f>
        <v>1.16037E8</v>
      </c>
      <c r="L49" s="23" t="s">
        <v>32</v>
      </c>
      <c r="M49" s="25" t="n">
        <f>11801000</f>
        <v>1.1801E7</v>
      </c>
      <c r="N49" s="23"/>
      <c r="O49" s="26" t="n">
        <f>127838000</f>
        <v>1.27838E8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211</f>
        <v>211.0</v>
      </c>
      <c r="U49" s="23"/>
      <c r="V49" s="25" t="n">
        <f>108</f>
        <v>108.0</v>
      </c>
      <c r="W49" s="23"/>
      <c r="X49" s="26" t="n">
        <f>319</f>
        <v>319.0</v>
      </c>
      <c r="Y49" s="24"/>
      <c r="Z49" s="25" t="n">
        <f>3222</f>
        <v>3222.0</v>
      </c>
      <c r="AA49" s="23"/>
      <c r="AB49" s="25" t="n">
        <f>3765</f>
        <v>3765.0</v>
      </c>
      <c r="AC49" s="23"/>
      <c r="AD49" s="26" t="n">
        <f>6987</f>
        <v>6987.0</v>
      </c>
    </row>
    <row r="50">
      <c r="A50" s="30" t="s">
        <v>38</v>
      </c>
      <c r="B50" s="22" t="s">
        <v>61</v>
      </c>
      <c r="C50" s="22" t="s">
        <v>62</v>
      </c>
      <c r="D50" s="24"/>
      <c r="E50" s="25" t="n">
        <f>719</f>
        <v>719.0</v>
      </c>
      <c r="F50" s="23"/>
      <c r="G50" s="25" t="n">
        <f>1180</f>
        <v>1180.0</v>
      </c>
      <c r="H50" s="23"/>
      <c r="I50" s="26" t="n">
        <f>1899</f>
        <v>1899.0</v>
      </c>
      <c r="J50" s="24"/>
      <c r="K50" s="25" t="n">
        <f>74261000</f>
        <v>7.4261E7</v>
      </c>
      <c r="L50" s="23"/>
      <c r="M50" s="25" t="n">
        <f>121933000</f>
        <v>1.21933E8</v>
      </c>
      <c r="N50" s="23"/>
      <c r="O50" s="26" t="n">
        <f>196194000</f>
        <v>1.96194E8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32</f>
        <v>32.0</v>
      </c>
      <c r="U50" s="23"/>
      <c r="V50" s="25" t="n">
        <f>49</f>
        <v>49.0</v>
      </c>
      <c r="W50" s="23"/>
      <c r="X50" s="26" t="n">
        <f>81</f>
        <v>81.0</v>
      </c>
      <c r="Y50" s="24"/>
      <c r="Z50" s="25" t="n">
        <f>3573</f>
        <v>3573.0</v>
      </c>
      <c r="AA50" s="23"/>
      <c r="AB50" s="25" t="n">
        <f>4585</f>
        <v>4585.0</v>
      </c>
      <c r="AC50" s="23"/>
      <c r="AD50" s="26" t="n">
        <f>8158</f>
        <v>8158.0</v>
      </c>
    </row>
    <row r="51">
      <c r="A51" s="30" t="s">
        <v>40</v>
      </c>
      <c r="B51" s="22" t="s">
        <v>61</v>
      </c>
      <c r="C51" s="22" t="s">
        <v>62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41</v>
      </c>
      <c r="B52" s="22" t="s">
        <v>61</v>
      </c>
      <c r="C52" s="22" t="s">
        <v>62</v>
      </c>
      <c r="D52" s="24"/>
      <c r="E52" s="25" t="n">
        <f>2298</f>
        <v>2298.0</v>
      </c>
      <c r="F52" s="23"/>
      <c r="G52" s="25" t="n">
        <f>1614</f>
        <v>1614.0</v>
      </c>
      <c r="H52" s="23"/>
      <c r="I52" s="26" t="n">
        <f>3912</f>
        <v>3912.0</v>
      </c>
      <c r="J52" s="24"/>
      <c r="K52" s="25" t="n">
        <f>100908000</f>
        <v>1.00908E8</v>
      </c>
      <c r="L52" s="23"/>
      <c r="M52" s="25" t="n">
        <f>184392000</f>
        <v>1.84392E8</v>
      </c>
      <c r="N52" s="23"/>
      <c r="O52" s="26" t="n">
        <f>285300000</f>
        <v>2.853E8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285</f>
        <v>285.0</v>
      </c>
      <c r="U52" s="23"/>
      <c r="V52" s="25" t="n">
        <f>83</f>
        <v>83.0</v>
      </c>
      <c r="W52" s="23"/>
      <c r="X52" s="26" t="n">
        <f>368</f>
        <v>368.0</v>
      </c>
      <c r="Y52" s="24"/>
      <c r="Z52" s="25" t="n">
        <f>4800</f>
        <v>4800.0</v>
      </c>
      <c r="AA52" s="23"/>
      <c r="AB52" s="25" t="n">
        <f>5340</f>
        <v>5340.0</v>
      </c>
      <c r="AC52" s="23"/>
      <c r="AD52" s="26" t="n">
        <f>10140</f>
        <v>10140.0</v>
      </c>
    </row>
    <row r="53">
      <c r="A53" s="30" t="s">
        <v>42</v>
      </c>
      <c r="B53" s="22" t="s">
        <v>61</v>
      </c>
      <c r="C53" s="22" t="s">
        <v>62</v>
      </c>
      <c r="D53" s="24"/>
      <c r="E53" s="25"/>
      <c r="F53" s="23"/>
      <c r="G53" s="25"/>
      <c r="H53" s="23"/>
      <c r="I53" s="26"/>
      <c r="J53" s="24"/>
      <c r="K53" s="25"/>
      <c r="L53" s="23"/>
      <c r="M53" s="25"/>
      <c r="N53" s="23"/>
      <c r="O53" s="26"/>
      <c r="P53" s="27"/>
      <c r="Q53" s="28"/>
      <c r="R53" s="29"/>
      <c r="S53" s="24"/>
      <c r="T53" s="25"/>
      <c r="U53" s="23"/>
      <c r="V53" s="25"/>
      <c r="W53" s="23"/>
      <c r="X53" s="26"/>
      <c r="Y53" s="24"/>
      <c r="Z53" s="25"/>
      <c r="AA53" s="23"/>
      <c r="AB53" s="25"/>
      <c r="AC53" s="23"/>
      <c r="AD53" s="26"/>
    </row>
    <row r="54">
      <c r="A54" s="30" t="s">
        <v>43</v>
      </c>
      <c r="B54" s="22" t="s">
        <v>61</v>
      </c>
      <c r="C54" s="22" t="s">
        <v>62</v>
      </c>
      <c r="D54" s="24"/>
      <c r="E54" s="25"/>
      <c r="F54" s="23"/>
      <c r="G54" s="25"/>
      <c r="H54" s="23"/>
      <c r="I54" s="26"/>
      <c r="J54" s="24"/>
      <c r="K54" s="25"/>
      <c r="L54" s="23"/>
      <c r="M54" s="25"/>
      <c r="N54" s="23"/>
      <c r="O54" s="26"/>
      <c r="P54" s="27"/>
      <c r="Q54" s="28"/>
      <c r="R54" s="29"/>
      <c r="S54" s="24"/>
      <c r="T54" s="25"/>
      <c r="U54" s="23"/>
      <c r="V54" s="25"/>
      <c r="W54" s="23"/>
      <c r="X54" s="26"/>
      <c r="Y54" s="24"/>
      <c r="Z54" s="25"/>
      <c r="AA54" s="23"/>
      <c r="AB54" s="25"/>
      <c r="AC54" s="23"/>
      <c r="AD54" s="26"/>
    </row>
    <row r="55">
      <c r="A55" s="30" t="s">
        <v>44</v>
      </c>
      <c r="B55" s="22" t="s">
        <v>61</v>
      </c>
      <c r="C55" s="22" t="s">
        <v>62</v>
      </c>
      <c r="D55" s="24"/>
      <c r="E55" s="25" t="n">
        <f>4294</f>
        <v>4294.0</v>
      </c>
      <c r="F55" s="23"/>
      <c r="G55" s="25" t="n">
        <f>2174</f>
        <v>2174.0</v>
      </c>
      <c r="H55" s="23"/>
      <c r="I55" s="26" t="n">
        <f>6468</f>
        <v>6468.0</v>
      </c>
      <c r="J55" s="24"/>
      <c r="K55" s="25" t="n">
        <f>199163000</f>
        <v>1.99163E8</v>
      </c>
      <c r="L55" s="23"/>
      <c r="M55" s="25" t="n">
        <f>198407000</f>
        <v>1.98407E8</v>
      </c>
      <c r="N55" s="23"/>
      <c r="O55" s="26" t="n">
        <f>397570000</f>
        <v>3.9757E8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436</f>
        <v>436.0</v>
      </c>
      <c r="U55" s="23"/>
      <c r="V55" s="25" t="n">
        <f>93</f>
        <v>93.0</v>
      </c>
      <c r="W55" s="23"/>
      <c r="X55" s="26" t="n">
        <f>529</f>
        <v>529.0</v>
      </c>
      <c r="Y55" s="24"/>
      <c r="Z55" s="25" t="n">
        <f>7667</f>
        <v>7667.0</v>
      </c>
      <c r="AA55" s="23"/>
      <c r="AB55" s="25" t="n">
        <f>6625</f>
        <v>6625.0</v>
      </c>
      <c r="AC55" s="23"/>
      <c r="AD55" s="26" t="n">
        <f>14292</f>
        <v>14292.0</v>
      </c>
    </row>
    <row r="56">
      <c r="A56" s="30" t="s">
        <v>45</v>
      </c>
      <c r="B56" s="22" t="s">
        <v>61</v>
      </c>
      <c r="C56" s="22" t="s">
        <v>62</v>
      </c>
      <c r="D56" s="24"/>
      <c r="E56" s="25" t="n">
        <f>4434</f>
        <v>4434.0</v>
      </c>
      <c r="F56" s="23"/>
      <c r="G56" s="25" t="n">
        <f>876</f>
        <v>876.0</v>
      </c>
      <c r="H56" s="23"/>
      <c r="I56" s="26" t="n">
        <f>5310</f>
        <v>5310.0</v>
      </c>
      <c r="J56" s="24"/>
      <c r="K56" s="25" t="n">
        <f>153831000</f>
        <v>1.53831E8</v>
      </c>
      <c r="L56" s="23"/>
      <c r="M56" s="25" t="n">
        <f>81488000</f>
        <v>8.1488E7</v>
      </c>
      <c r="N56" s="23"/>
      <c r="O56" s="26" t="n">
        <f>235319000</f>
        <v>2.35319E8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304</f>
        <v>304.0</v>
      </c>
      <c r="U56" s="23"/>
      <c r="V56" s="25" t="n">
        <f>58</f>
        <v>58.0</v>
      </c>
      <c r="W56" s="23"/>
      <c r="X56" s="26" t="n">
        <f>362</f>
        <v>362.0</v>
      </c>
      <c r="Y56" s="24"/>
      <c r="Z56" s="25" t="n">
        <f>10196</f>
        <v>10196.0</v>
      </c>
      <c r="AA56" s="23"/>
      <c r="AB56" s="25" t="n">
        <f>6701</f>
        <v>6701.0</v>
      </c>
      <c r="AC56" s="23"/>
      <c r="AD56" s="26" t="n">
        <f>16897</f>
        <v>16897.0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5220</f>
        <v>5220.0</v>
      </c>
      <c r="F57" s="23"/>
      <c r="G57" s="25" t="n">
        <f>2158</f>
        <v>2158.0</v>
      </c>
      <c r="H57" s="23"/>
      <c r="I57" s="26" t="n">
        <f>7378</f>
        <v>7378.0</v>
      </c>
      <c r="J57" s="24"/>
      <c r="K57" s="25" t="n">
        <f>109727000</f>
        <v>1.09727E8</v>
      </c>
      <c r="L57" s="23"/>
      <c r="M57" s="25" t="n">
        <f>189761000</f>
        <v>1.89761E8</v>
      </c>
      <c r="N57" s="23"/>
      <c r="O57" s="26" t="n">
        <f>299488000</f>
        <v>2.99488E8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623</f>
        <v>623.0</v>
      </c>
      <c r="U57" s="23"/>
      <c r="V57" s="25" t="n">
        <f>221</f>
        <v>221.0</v>
      </c>
      <c r="W57" s="23"/>
      <c r="X57" s="26" t="n">
        <f>844</f>
        <v>844.0</v>
      </c>
      <c r="Y57" s="24"/>
      <c r="Z57" s="25" t="n">
        <f>12356</f>
        <v>12356.0</v>
      </c>
      <c r="AA57" s="23"/>
      <c r="AB57" s="25" t="n">
        <f>7406</f>
        <v>7406.0</v>
      </c>
      <c r="AC57" s="23"/>
      <c r="AD57" s="26" t="n">
        <f>19762</f>
        <v>19762.0</v>
      </c>
    </row>
    <row r="58">
      <c r="A58" s="30" t="s">
        <v>47</v>
      </c>
      <c r="B58" s="22" t="s">
        <v>61</v>
      </c>
      <c r="C58" s="22" t="s">
        <v>62</v>
      </c>
      <c r="D58" s="24" t="s">
        <v>39</v>
      </c>
      <c r="E58" s="25" t="n">
        <f>6424</f>
        <v>6424.0</v>
      </c>
      <c r="F58" s="23"/>
      <c r="G58" s="25" t="n">
        <f>2801</f>
        <v>2801.0</v>
      </c>
      <c r="H58" s="23" t="s">
        <v>39</v>
      </c>
      <c r="I58" s="26" t="n">
        <f>9225</f>
        <v>9225.0</v>
      </c>
      <c r="J58" s="24" t="s">
        <v>39</v>
      </c>
      <c r="K58" s="25" t="n">
        <f>212440000</f>
        <v>2.1244E8</v>
      </c>
      <c r="L58" s="23"/>
      <c r="M58" s="25" t="n">
        <f>285711000</f>
        <v>2.85711E8</v>
      </c>
      <c r="N58" s="23" t="s">
        <v>39</v>
      </c>
      <c r="O58" s="26" t="n">
        <f>498151000</f>
        <v>4.98151E8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815</f>
        <v>815.0</v>
      </c>
      <c r="U58" s="23"/>
      <c r="V58" s="25" t="n">
        <f>258</f>
        <v>258.0</v>
      </c>
      <c r="W58" s="23"/>
      <c r="X58" s="26" t="n">
        <f>1073</f>
        <v>1073.0</v>
      </c>
      <c r="Y58" s="24" t="s">
        <v>39</v>
      </c>
      <c r="Z58" s="25" t="n">
        <f>15173</f>
        <v>15173.0</v>
      </c>
      <c r="AA58" s="23" t="s">
        <v>39</v>
      </c>
      <c r="AB58" s="25" t="n">
        <f>8060</f>
        <v>8060.0</v>
      </c>
      <c r="AC58" s="23" t="s">
        <v>39</v>
      </c>
      <c r="AD58" s="26" t="n">
        <f>23233</f>
        <v>23233.0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3316</f>
        <v>3316.0</v>
      </c>
      <c r="F59" s="23"/>
      <c r="G59" s="25" t="n">
        <f>1497</f>
        <v>1497.0</v>
      </c>
      <c r="H59" s="23"/>
      <c r="I59" s="26" t="n">
        <f>4813</f>
        <v>4813.0</v>
      </c>
      <c r="J59" s="24"/>
      <c r="K59" s="25" t="n">
        <f>187294000</f>
        <v>1.87294E8</v>
      </c>
      <c r="L59" s="23"/>
      <c r="M59" s="25" t="n">
        <f>155347000</f>
        <v>1.55347E8</v>
      </c>
      <c r="N59" s="23"/>
      <c r="O59" s="26" t="n">
        <f>342641000</f>
        <v>3.42641E8</v>
      </c>
      <c r="P59" s="27" t="n">
        <f>56</f>
        <v>56.0</v>
      </c>
      <c r="Q59" s="28" t="n">
        <f>2370</f>
        <v>2370.0</v>
      </c>
      <c r="R59" s="29" t="n">
        <f>2426</f>
        <v>2426.0</v>
      </c>
      <c r="S59" s="24" t="s">
        <v>39</v>
      </c>
      <c r="T59" s="25" t="n">
        <f>845</f>
        <v>845.0</v>
      </c>
      <c r="U59" s="23"/>
      <c r="V59" s="25" t="n">
        <f>336</f>
        <v>336.0</v>
      </c>
      <c r="W59" s="23" t="s">
        <v>39</v>
      </c>
      <c r="X59" s="26" t="n">
        <f>1181</f>
        <v>1181.0</v>
      </c>
      <c r="Y59" s="24"/>
      <c r="Z59" s="25" t="n">
        <f>5985</f>
        <v>5985.0</v>
      </c>
      <c r="AA59" s="23"/>
      <c r="AB59" s="25" t="n">
        <f>4694</f>
        <v>4694.0</v>
      </c>
      <c r="AC59" s="23"/>
      <c r="AD59" s="26" t="n">
        <f>10679</f>
        <v>10679.0</v>
      </c>
    </row>
    <row r="60">
      <c r="A60" s="30" t="s">
        <v>49</v>
      </c>
      <c r="B60" s="22" t="s">
        <v>61</v>
      </c>
      <c r="C60" s="22" t="s">
        <v>62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 t="n">
        <f>3466</f>
        <v>3466.0</v>
      </c>
      <c r="F62" s="23" t="s">
        <v>39</v>
      </c>
      <c r="G62" s="25" t="n">
        <f>2993</f>
        <v>2993.0</v>
      </c>
      <c r="H62" s="23"/>
      <c r="I62" s="26" t="n">
        <f>6459</f>
        <v>6459.0</v>
      </c>
      <c r="J62" s="24"/>
      <c r="K62" s="25" t="n">
        <f>134751000</f>
        <v>1.34751E8</v>
      </c>
      <c r="L62" s="23" t="s">
        <v>39</v>
      </c>
      <c r="M62" s="25" t="n">
        <f>307914500</f>
        <v>3.079145E8</v>
      </c>
      <c r="N62" s="23"/>
      <c r="O62" s="26" t="n">
        <f>442665500</f>
        <v>4.426655E8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173</f>
        <v>173.0</v>
      </c>
      <c r="U62" s="23"/>
      <c r="V62" s="25" t="n">
        <f>151</f>
        <v>151.0</v>
      </c>
      <c r="W62" s="23"/>
      <c r="X62" s="26" t="n">
        <f>324</f>
        <v>324.0</v>
      </c>
      <c r="Y62" s="24"/>
      <c r="Z62" s="25" t="n">
        <f>7246</f>
        <v>7246.0</v>
      </c>
      <c r="AA62" s="23"/>
      <c r="AB62" s="25" t="n">
        <f>5936</f>
        <v>5936.0</v>
      </c>
      <c r="AC62" s="23"/>
      <c r="AD62" s="26" t="n">
        <f>13182</f>
        <v>13182.0</v>
      </c>
    </row>
    <row r="63">
      <c r="A63" s="30" t="s">
        <v>52</v>
      </c>
      <c r="B63" s="22" t="s">
        <v>61</v>
      </c>
      <c r="C63" s="22" t="s">
        <v>62</v>
      </c>
      <c r="D63" s="24"/>
      <c r="E63" s="25" t="n">
        <f>1855</f>
        <v>1855.0</v>
      </c>
      <c r="F63" s="23"/>
      <c r="G63" s="25" t="n">
        <f>1396</f>
        <v>1396.0</v>
      </c>
      <c r="H63" s="23"/>
      <c r="I63" s="26" t="n">
        <f>3251</f>
        <v>3251.0</v>
      </c>
      <c r="J63" s="24"/>
      <c r="K63" s="25" t="n">
        <f>99171000</f>
        <v>9.9171E7</v>
      </c>
      <c r="L63" s="23"/>
      <c r="M63" s="25" t="n">
        <f>66323000</f>
        <v>6.6323E7</v>
      </c>
      <c r="N63" s="23"/>
      <c r="O63" s="26" t="n">
        <f>165494000</f>
        <v>1.65494E8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239</f>
        <v>239.0</v>
      </c>
      <c r="U63" s="23"/>
      <c r="V63" s="25" t="n">
        <f>136</f>
        <v>136.0</v>
      </c>
      <c r="W63" s="23"/>
      <c r="X63" s="26" t="n">
        <f>375</f>
        <v>375.0</v>
      </c>
      <c r="Y63" s="24"/>
      <c r="Z63" s="25" t="n">
        <f>7816</f>
        <v>7816.0</v>
      </c>
      <c r="AA63" s="23"/>
      <c r="AB63" s="25" t="n">
        <f>6191</f>
        <v>6191.0</v>
      </c>
      <c r="AC63" s="23"/>
      <c r="AD63" s="26" t="n">
        <f>14007</f>
        <v>14007.0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2851</f>
        <v>2851.0</v>
      </c>
      <c r="F64" s="23"/>
      <c r="G64" s="25" t="n">
        <f>2930</f>
        <v>2930.0</v>
      </c>
      <c r="H64" s="23"/>
      <c r="I64" s="26" t="n">
        <f>5781</f>
        <v>5781.0</v>
      </c>
      <c r="J64" s="24"/>
      <c r="K64" s="25" t="n">
        <f>96104000</f>
        <v>9.6104E7</v>
      </c>
      <c r="L64" s="23"/>
      <c r="M64" s="25" t="n">
        <f>80280000</f>
        <v>8.028E7</v>
      </c>
      <c r="N64" s="23"/>
      <c r="O64" s="26" t="n">
        <f>176384000</f>
        <v>1.76384E8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194</f>
        <v>194.0</v>
      </c>
      <c r="U64" s="23"/>
      <c r="V64" s="25" t="n">
        <f>103</f>
        <v>103.0</v>
      </c>
      <c r="W64" s="23"/>
      <c r="X64" s="26" t="n">
        <f>297</f>
        <v>297.0</v>
      </c>
      <c r="Y64" s="24"/>
      <c r="Z64" s="25" t="n">
        <f>8051</f>
        <v>8051.0</v>
      </c>
      <c r="AA64" s="23"/>
      <c r="AB64" s="25" t="n">
        <f>6093</f>
        <v>6093.0</v>
      </c>
      <c r="AC64" s="23"/>
      <c r="AD64" s="26" t="n">
        <f>14144</f>
        <v>14144.0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3934</f>
        <v>3934.0</v>
      </c>
      <c r="F65" s="23"/>
      <c r="G65" s="25" t="n">
        <f>2148</f>
        <v>2148.0</v>
      </c>
      <c r="H65" s="23"/>
      <c r="I65" s="26" t="n">
        <f>6082</f>
        <v>6082.0</v>
      </c>
      <c r="J65" s="24"/>
      <c r="K65" s="25" t="n">
        <f>59911000</f>
        <v>5.9911E7</v>
      </c>
      <c r="L65" s="23"/>
      <c r="M65" s="25" t="n">
        <f>53310000</f>
        <v>5.331E7</v>
      </c>
      <c r="N65" s="23"/>
      <c r="O65" s="26" t="n">
        <f>113221000</f>
        <v>1.13221E8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301</f>
        <v>301.0</v>
      </c>
      <c r="U65" s="23"/>
      <c r="V65" s="25" t="n">
        <f>83</f>
        <v>83.0</v>
      </c>
      <c r="W65" s="23"/>
      <c r="X65" s="26" t="n">
        <f>384</f>
        <v>384.0</v>
      </c>
      <c r="Y65" s="24"/>
      <c r="Z65" s="25" t="n">
        <f>9759</f>
        <v>9759.0</v>
      </c>
      <c r="AA65" s="23"/>
      <c r="AB65" s="25" t="n">
        <f>6217</f>
        <v>6217.0</v>
      </c>
      <c r="AC65" s="23"/>
      <c r="AD65" s="26" t="n">
        <f>15976</f>
        <v>15976.0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1670</f>
        <v>1670.0</v>
      </c>
      <c r="F66" s="23"/>
      <c r="G66" s="25" t="n">
        <f>1811</f>
        <v>1811.0</v>
      </c>
      <c r="H66" s="23"/>
      <c r="I66" s="26" t="n">
        <f>3481</f>
        <v>3481.0</v>
      </c>
      <c r="J66" s="24"/>
      <c r="K66" s="25" t="n">
        <f>69369000</f>
        <v>6.9369E7</v>
      </c>
      <c r="L66" s="23"/>
      <c r="M66" s="25" t="n">
        <f>134629000</f>
        <v>1.34629E8</v>
      </c>
      <c r="N66" s="23"/>
      <c r="O66" s="26" t="n">
        <f>203998000</f>
        <v>2.03998E8</v>
      </c>
      <c r="P66" s="27" t="n">
        <f>557</f>
        <v>557.0</v>
      </c>
      <c r="Q66" s="28" t="n">
        <f>763</f>
        <v>763.0</v>
      </c>
      <c r="R66" s="29" t="n">
        <f>1320</f>
        <v>1320.0</v>
      </c>
      <c r="S66" s="24"/>
      <c r="T66" s="25" t="n">
        <f>107</f>
        <v>107.0</v>
      </c>
      <c r="U66" s="23" t="s">
        <v>39</v>
      </c>
      <c r="V66" s="25" t="n">
        <f>371</f>
        <v>371.0</v>
      </c>
      <c r="W66" s="23"/>
      <c r="X66" s="26" t="n">
        <f>478</f>
        <v>478.0</v>
      </c>
      <c r="Y66" s="24"/>
      <c r="Z66" s="25" t="n">
        <f>2524</f>
        <v>2524.0</v>
      </c>
      <c r="AA66" s="23"/>
      <c r="AB66" s="25" t="n">
        <f>3064</f>
        <v>3064.0</v>
      </c>
      <c r="AC66" s="23"/>
      <c r="AD66" s="26" t="n">
        <f>5588</f>
        <v>5588.0</v>
      </c>
    </row>
    <row r="67">
      <c r="A67" s="30" t="s">
        <v>56</v>
      </c>
      <c r="B67" s="22" t="s">
        <v>61</v>
      </c>
      <c r="C67" s="22" t="s">
        <v>62</v>
      </c>
      <c r="D67" s="24"/>
      <c r="E67" s="25"/>
      <c r="F67" s="23"/>
      <c r="G67" s="25"/>
      <c r="H67" s="23"/>
      <c r="I67" s="26"/>
      <c r="J67" s="24"/>
      <c r="K67" s="25"/>
      <c r="L67" s="23"/>
      <c r="M67" s="25"/>
      <c r="N67" s="23"/>
      <c r="O67" s="26"/>
      <c r="P67" s="27"/>
      <c r="Q67" s="28"/>
      <c r="R67" s="29"/>
      <c r="S67" s="24"/>
      <c r="T67" s="25"/>
      <c r="U67" s="23"/>
      <c r="V67" s="25"/>
      <c r="W67" s="23"/>
      <c r="X67" s="26"/>
      <c r="Y67" s="24"/>
      <c r="Z67" s="25"/>
      <c r="AA67" s="23"/>
      <c r="AB67" s="25"/>
      <c r="AC67" s="23"/>
      <c r="AD67" s="26"/>
    </row>
    <row r="68">
      <c r="A68" s="30" t="s">
        <v>57</v>
      </c>
      <c r="B68" s="22" t="s">
        <v>61</v>
      </c>
      <c r="C68" s="22" t="s">
        <v>62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58</v>
      </c>
      <c r="B69" s="22" t="s">
        <v>61</v>
      </c>
      <c r="C69" s="22" t="s">
        <v>62</v>
      </c>
      <c r="D69" s="24"/>
      <c r="E69" s="25" t="n">
        <f>2977</f>
        <v>2977.0</v>
      </c>
      <c r="F69" s="23"/>
      <c r="G69" s="25" t="n">
        <f>2764</f>
        <v>2764.0</v>
      </c>
      <c r="H69" s="23"/>
      <c r="I69" s="26" t="n">
        <f>5741</f>
        <v>5741.0</v>
      </c>
      <c r="J69" s="24"/>
      <c r="K69" s="25" t="n">
        <f>166998000</f>
        <v>1.66998E8</v>
      </c>
      <c r="L69" s="23"/>
      <c r="M69" s="25" t="n">
        <f>80521000</f>
        <v>8.0521E7</v>
      </c>
      <c r="N69" s="23"/>
      <c r="O69" s="26" t="n">
        <f>247519000</f>
        <v>2.47519E8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282</f>
        <v>282.0</v>
      </c>
      <c r="U69" s="23"/>
      <c r="V69" s="25" t="n">
        <f>164</f>
        <v>164.0</v>
      </c>
      <c r="W69" s="23"/>
      <c r="X69" s="26" t="n">
        <f>446</f>
        <v>446.0</v>
      </c>
      <c r="Y69" s="24"/>
      <c r="Z69" s="25" t="n">
        <f>3452</f>
        <v>3452.0</v>
      </c>
      <c r="AA69" s="23"/>
      <c r="AB69" s="25" t="n">
        <f>4293</f>
        <v>4293.0</v>
      </c>
      <c r="AC69" s="23"/>
      <c r="AD69" s="26" t="n">
        <f>7745</f>
        <v>7745.0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2324</f>
        <v>2324.0</v>
      </c>
      <c r="F70" s="23"/>
      <c r="G70" s="25" t="n">
        <f>1449</f>
        <v>1449.0</v>
      </c>
      <c r="H70" s="23"/>
      <c r="I70" s="26" t="n">
        <f>3773</f>
        <v>3773.0</v>
      </c>
      <c r="J70" s="24"/>
      <c r="K70" s="25" t="n">
        <f>98305000</f>
        <v>9.8305E7</v>
      </c>
      <c r="L70" s="23"/>
      <c r="M70" s="25" t="n">
        <f>45795000</f>
        <v>4.5795E7</v>
      </c>
      <c r="N70" s="23"/>
      <c r="O70" s="26" t="n">
        <f>144100000</f>
        <v>1.441E8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453</f>
        <v>453.0</v>
      </c>
      <c r="U70" s="23"/>
      <c r="V70" s="25" t="n">
        <f>74</f>
        <v>74.0</v>
      </c>
      <c r="W70" s="23"/>
      <c r="X70" s="26" t="n">
        <f>527</f>
        <v>527.0</v>
      </c>
      <c r="Y70" s="24"/>
      <c r="Z70" s="25" t="n">
        <f>3855</f>
        <v>3855.0</v>
      </c>
      <c r="AA70" s="23"/>
      <c r="AB70" s="25" t="n">
        <f>4980</f>
        <v>4980.0</v>
      </c>
      <c r="AC70" s="23"/>
      <c r="AD70" s="26" t="n">
        <f>8835</f>
        <v>8835.0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3026</f>
        <v>3026.0</v>
      </c>
      <c r="F71" s="23"/>
      <c r="G71" s="25" t="n">
        <f>1380</f>
        <v>1380.0</v>
      </c>
      <c r="H71" s="23"/>
      <c r="I71" s="26" t="n">
        <f>4406</f>
        <v>4406.0</v>
      </c>
      <c r="J71" s="24"/>
      <c r="K71" s="25" t="n">
        <f>68698000</f>
        <v>6.8698E7</v>
      </c>
      <c r="L71" s="23"/>
      <c r="M71" s="25" t="n">
        <f>50299000</f>
        <v>5.0299E7</v>
      </c>
      <c r="N71" s="23"/>
      <c r="O71" s="26" t="n">
        <f>118997000</f>
        <v>1.18997E8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213</f>
        <v>213.0</v>
      </c>
      <c r="U71" s="23"/>
      <c r="V71" s="25" t="n">
        <f>103</f>
        <v>103.0</v>
      </c>
      <c r="W71" s="23"/>
      <c r="X71" s="26" t="n">
        <f>316</f>
        <v>316.0</v>
      </c>
      <c r="Y71" s="24"/>
      <c r="Z71" s="25" t="n">
        <f>5298</f>
        <v>5298.0</v>
      </c>
      <c r="AA71" s="23"/>
      <c r="AB71" s="25" t="n">
        <f>5063</f>
        <v>5063.0</v>
      </c>
      <c r="AC71" s="23"/>
      <c r="AD71" s="26" t="n">
        <f>10361</f>
        <v>10361.0</v>
      </c>
    </row>
    <row r="72">
      <c r="A72" s="30" t="s">
        <v>26</v>
      </c>
      <c r="B72" s="22" t="s">
        <v>63</v>
      </c>
      <c r="C72" s="22" t="s">
        <v>64</v>
      </c>
      <c r="D72" s="24"/>
      <c r="E72" s="25" t="n">
        <f>700</f>
        <v>700.0</v>
      </c>
      <c r="F72" s="23"/>
      <c r="G72" s="25" t="n">
        <f>500</f>
        <v>500.0</v>
      </c>
      <c r="H72" s="23"/>
      <c r="I72" s="26" t="n">
        <f>1200</f>
        <v>1200.0</v>
      </c>
      <c r="J72" s="24"/>
      <c r="K72" s="25" t="n">
        <f>1011700000</f>
        <v>1.0117E9</v>
      </c>
      <c r="L72" s="23" t="s">
        <v>39</v>
      </c>
      <c r="M72" s="25" t="n">
        <f>650000000</f>
        <v>6.5E8</v>
      </c>
      <c r="N72" s="23"/>
      <c r="O72" s="26" t="n">
        <f>1661700000</f>
        <v>1.6617E9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 t="s">
        <v>32</v>
      </c>
      <c r="T72" s="25" t="str">
        <f>"－"</f>
        <v>－</v>
      </c>
      <c r="U72" s="23" t="s">
        <v>32</v>
      </c>
      <c r="V72" s="25" t="str">
        <f>"－"</f>
        <v>－</v>
      </c>
      <c r="W72" s="23" t="s">
        <v>32</v>
      </c>
      <c r="X72" s="26" t="str">
        <f>"－"</f>
        <v>－</v>
      </c>
      <c r="Y72" s="24" t="s">
        <v>32</v>
      </c>
      <c r="Z72" s="25" t="n">
        <f>81559</f>
        <v>81559.0</v>
      </c>
      <c r="AA72" s="23"/>
      <c r="AB72" s="25" t="n">
        <f>11588</f>
        <v>11588.0</v>
      </c>
      <c r="AC72" s="23" t="s">
        <v>32</v>
      </c>
      <c r="AD72" s="26" t="n">
        <f>93147</f>
        <v>93147.0</v>
      </c>
    </row>
    <row r="73">
      <c r="A73" s="30" t="s">
        <v>29</v>
      </c>
      <c r="B73" s="22" t="s">
        <v>63</v>
      </c>
      <c r="C73" s="22" t="s">
        <v>64</v>
      </c>
      <c r="D73" s="24"/>
      <c r="E73" s="25" t="n">
        <f>700</f>
        <v>700.0</v>
      </c>
      <c r="F73" s="23"/>
      <c r="G73" s="25" t="n">
        <f>200</f>
        <v>200.0</v>
      </c>
      <c r="H73" s="23"/>
      <c r="I73" s="26" t="n">
        <f>900</f>
        <v>900.0</v>
      </c>
      <c r="J73" s="24"/>
      <c r="K73" s="25" t="n">
        <f>512600000</f>
        <v>5.126E8</v>
      </c>
      <c r="L73" s="23"/>
      <c r="M73" s="25" t="n">
        <f>260000000</f>
        <v>2.6E8</v>
      </c>
      <c r="N73" s="23"/>
      <c r="O73" s="26" t="n">
        <f>772600000</f>
        <v>7.726E8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str">
        <f>"－"</f>
        <v>－</v>
      </c>
      <c r="U73" s="23"/>
      <c r="V73" s="25" t="str">
        <f>"－"</f>
        <v>－</v>
      </c>
      <c r="W73" s="23"/>
      <c r="X73" s="26" t="str">
        <f>"－"</f>
        <v>－</v>
      </c>
      <c r="Y73" s="24"/>
      <c r="Z73" s="25" t="n">
        <f>81759</f>
        <v>81759.0</v>
      </c>
      <c r="AA73" s="23"/>
      <c r="AB73" s="25" t="n">
        <f>11788</f>
        <v>11788.0</v>
      </c>
      <c r="AC73" s="23"/>
      <c r="AD73" s="26" t="n">
        <f>93547</f>
        <v>93547.0</v>
      </c>
    </row>
    <row r="74">
      <c r="A74" s="30" t="s">
        <v>30</v>
      </c>
      <c r="B74" s="22" t="s">
        <v>63</v>
      </c>
      <c r="C74" s="22" t="s">
        <v>64</v>
      </c>
      <c r="D74" s="24" t="s">
        <v>32</v>
      </c>
      <c r="E74" s="25" t="str">
        <f>"－"</f>
        <v>－</v>
      </c>
      <c r="F74" s="23"/>
      <c r="G74" s="25" t="n">
        <f>735</f>
        <v>735.0</v>
      </c>
      <c r="H74" s="23"/>
      <c r="I74" s="26" t="n">
        <f>735</f>
        <v>735.0</v>
      </c>
      <c r="J74" s="24" t="s">
        <v>32</v>
      </c>
      <c r="K74" s="25" t="str">
        <f>"－"</f>
        <v>－</v>
      </c>
      <c r="L74" s="23"/>
      <c r="M74" s="25" t="n">
        <f>68689100</f>
        <v>6.86891E7</v>
      </c>
      <c r="N74" s="23"/>
      <c r="O74" s="26" t="n">
        <f>68689100</f>
        <v>6.86891E7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str">
        <f>"－"</f>
        <v>－</v>
      </c>
      <c r="U74" s="23" t="s">
        <v>39</v>
      </c>
      <c r="V74" s="25" t="n">
        <f>735</f>
        <v>735.0</v>
      </c>
      <c r="W74" s="23"/>
      <c r="X74" s="26" t="n">
        <f>735</f>
        <v>735.0</v>
      </c>
      <c r="Y74" s="24"/>
      <c r="Z74" s="25" t="n">
        <f>81759</f>
        <v>81759.0</v>
      </c>
      <c r="AA74" s="23"/>
      <c r="AB74" s="25" t="n">
        <f>11788</f>
        <v>11788.0</v>
      </c>
      <c r="AC74" s="23"/>
      <c r="AD74" s="26" t="n">
        <f>93547</f>
        <v>93547.0</v>
      </c>
    </row>
    <row r="75">
      <c r="A75" s="30" t="s">
        <v>31</v>
      </c>
      <c r="B75" s="22" t="s">
        <v>63</v>
      </c>
      <c r="C75" s="22" t="s">
        <v>64</v>
      </c>
      <c r="D75" s="24"/>
      <c r="E75" s="25" t="n">
        <f>556</f>
        <v>556.0</v>
      </c>
      <c r="F75" s="23" t="s">
        <v>32</v>
      </c>
      <c r="G75" s="25" t="str">
        <f>"－"</f>
        <v>－</v>
      </c>
      <c r="H75" s="23"/>
      <c r="I75" s="26" t="n">
        <f>556</f>
        <v>556.0</v>
      </c>
      <c r="J75" s="24"/>
      <c r="K75" s="25" t="n">
        <f>130446724</f>
        <v>1.30446724E8</v>
      </c>
      <c r="L75" s="23" t="s">
        <v>32</v>
      </c>
      <c r="M75" s="25" t="str">
        <f>"－"</f>
        <v>－</v>
      </c>
      <c r="N75" s="23"/>
      <c r="O75" s="26" t="n">
        <f>130446724</f>
        <v>1.30446724E8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n">
        <f>276</f>
        <v>276.0</v>
      </c>
      <c r="U75" s="23"/>
      <c r="V75" s="25" t="str">
        <f>"－"</f>
        <v>－</v>
      </c>
      <c r="W75" s="23"/>
      <c r="X75" s="26" t="n">
        <f>276</f>
        <v>276.0</v>
      </c>
      <c r="Y75" s="24"/>
      <c r="Z75" s="25" t="n">
        <f>82315</f>
        <v>82315.0</v>
      </c>
      <c r="AA75" s="23" t="s">
        <v>32</v>
      </c>
      <c r="AB75" s="25" t="n">
        <f>11053</f>
        <v>11053.0</v>
      </c>
      <c r="AC75" s="23"/>
      <c r="AD75" s="26" t="n">
        <f>93368</f>
        <v>93368.0</v>
      </c>
    </row>
    <row r="76">
      <c r="A76" s="30" t="s">
        <v>33</v>
      </c>
      <c r="B76" s="22" t="s">
        <v>63</v>
      </c>
      <c r="C76" s="22" t="s">
        <v>64</v>
      </c>
      <c r="D76" s="24"/>
      <c r="E76" s="25" t="n">
        <f>1230</f>
        <v>1230.0</v>
      </c>
      <c r="F76" s="23"/>
      <c r="G76" s="25" t="n">
        <f>90</f>
        <v>90.0</v>
      </c>
      <c r="H76" s="23"/>
      <c r="I76" s="26" t="n">
        <f>1320</f>
        <v>1320.0</v>
      </c>
      <c r="J76" s="24"/>
      <c r="K76" s="25" t="n">
        <f>440011600</f>
        <v>4.400116E8</v>
      </c>
      <c r="L76" s="23"/>
      <c r="M76" s="25" t="n">
        <f>149400000</f>
        <v>1.494E8</v>
      </c>
      <c r="N76" s="23"/>
      <c r="O76" s="26" t="n">
        <f>589411600</f>
        <v>5.894116E8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1070</f>
        <v>1070.0</v>
      </c>
      <c r="U76" s="23"/>
      <c r="V76" s="25" t="n">
        <f>270</f>
        <v>270.0</v>
      </c>
      <c r="W76" s="23"/>
      <c r="X76" s="26" t="n">
        <f>1340</f>
        <v>1340.0</v>
      </c>
      <c r="Y76" s="24"/>
      <c r="Z76" s="25" t="n">
        <f>83455</f>
        <v>83455.0</v>
      </c>
      <c r="AA76" s="23"/>
      <c r="AB76" s="25" t="n">
        <f>11143</f>
        <v>11143.0</v>
      </c>
      <c r="AC76" s="23"/>
      <c r="AD76" s="26" t="n">
        <f>94598</f>
        <v>94598.0</v>
      </c>
    </row>
    <row r="77">
      <c r="A77" s="30" t="s">
        <v>34</v>
      </c>
      <c r="B77" s="22" t="s">
        <v>63</v>
      </c>
      <c r="C77" s="22" t="s">
        <v>64</v>
      </c>
      <c r="D77" s="24"/>
      <c r="E77" s="25"/>
      <c r="F77" s="23"/>
      <c r="G77" s="25"/>
      <c r="H77" s="23"/>
      <c r="I77" s="26"/>
      <c r="J77" s="24"/>
      <c r="K77" s="25"/>
      <c r="L77" s="23"/>
      <c r="M77" s="25"/>
      <c r="N77" s="23"/>
      <c r="O77" s="26"/>
      <c r="P77" s="27"/>
      <c r="Q77" s="28"/>
      <c r="R77" s="29"/>
      <c r="S77" s="24"/>
      <c r="T77" s="25"/>
      <c r="U77" s="23"/>
      <c r="V77" s="25"/>
      <c r="W77" s="23"/>
      <c r="X77" s="26"/>
      <c r="Y77" s="24"/>
      <c r="Z77" s="25"/>
      <c r="AA77" s="23"/>
      <c r="AB77" s="25"/>
      <c r="AC77" s="23"/>
      <c r="AD77" s="26"/>
    </row>
    <row r="78">
      <c r="A78" s="30" t="s">
        <v>35</v>
      </c>
      <c r="B78" s="22" t="s">
        <v>63</v>
      </c>
      <c r="C78" s="22" t="s">
        <v>64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36</v>
      </c>
      <c r="B79" s="22" t="s">
        <v>63</v>
      </c>
      <c r="C79" s="22" t="s">
        <v>64</v>
      </c>
      <c r="D79" s="24"/>
      <c r="E79" s="25" t="n">
        <f>4048</f>
        <v>4048.0</v>
      </c>
      <c r="F79" s="23"/>
      <c r="G79" s="25" t="str">
        <f>"－"</f>
        <v>－</v>
      </c>
      <c r="H79" s="23"/>
      <c r="I79" s="26" t="n">
        <f>4048</f>
        <v>4048.0</v>
      </c>
      <c r="J79" s="24" t="s">
        <v>39</v>
      </c>
      <c r="K79" s="25" t="n">
        <f>2505297086</f>
        <v>2.505297086E9</v>
      </c>
      <c r="L79" s="23"/>
      <c r="M79" s="25" t="str">
        <f>"－"</f>
        <v>－</v>
      </c>
      <c r="N79" s="23" t="s">
        <v>39</v>
      </c>
      <c r="O79" s="26" t="n">
        <f>2505297086</f>
        <v>2.505297086E9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3548</f>
        <v>3548.0</v>
      </c>
      <c r="U79" s="23"/>
      <c r="V79" s="25" t="str">
        <f>"－"</f>
        <v>－</v>
      </c>
      <c r="W79" s="23"/>
      <c r="X79" s="26" t="n">
        <f>3548</f>
        <v>3548.0</v>
      </c>
      <c r="Y79" s="24"/>
      <c r="Z79" s="25" t="n">
        <f>85639</f>
        <v>85639.0</v>
      </c>
      <c r="AA79" s="23"/>
      <c r="AB79" s="25" t="n">
        <f>11053</f>
        <v>11053.0</v>
      </c>
      <c r="AC79" s="23"/>
      <c r="AD79" s="26" t="n">
        <f>96692</f>
        <v>96692.0</v>
      </c>
    </row>
    <row r="80">
      <c r="A80" s="30" t="s">
        <v>37</v>
      </c>
      <c r="B80" s="22" t="s">
        <v>63</v>
      </c>
      <c r="C80" s="22" t="s">
        <v>64</v>
      </c>
      <c r="D80" s="24"/>
      <c r="E80" s="25" t="n">
        <f>4829</f>
        <v>4829.0</v>
      </c>
      <c r="F80" s="23"/>
      <c r="G80" s="25" t="str">
        <f>"－"</f>
        <v>－</v>
      </c>
      <c r="H80" s="23"/>
      <c r="I80" s="26" t="n">
        <f>4829</f>
        <v>4829.0</v>
      </c>
      <c r="J80" s="24"/>
      <c r="K80" s="25" t="n">
        <f>1465625400</f>
        <v>1.4656254E9</v>
      </c>
      <c r="L80" s="23"/>
      <c r="M80" s="25" t="str">
        <f>"－"</f>
        <v>－</v>
      </c>
      <c r="N80" s="23"/>
      <c r="O80" s="26" t="n">
        <f>1465625400</f>
        <v>1.4656254E9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n">
        <f>3329</f>
        <v>3329.0</v>
      </c>
      <c r="U80" s="23"/>
      <c r="V80" s="25" t="str">
        <f>"－"</f>
        <v>－</v>
      </c>
      <c r="W80" s="23"/>
      <c r="X80" s="26" t="n">
        <f>3329</f>
        <v>3329.0</v>
      </c>
      <c r="Y80" s="24"/>
      <c r="Z80" s="25" t="n">
        <f>87383</f>
        <v>87383.0</v>
      </c>
      <c r="AA80" s="23"/>
      <c r="AB80" s="25" t="n">
        <f>11053</f>
        <v>11053.0</v>
      </c>
      <c r="AC80" s="23"/>
      <c r="AD80" s="26" t="n">
        <f>98436</f>
        <v>98436.0</v>
      </c>
    </row>
    <row r="81">
      <c r="A81" s="30" t="s">
        <v>38</v>
      </c>
      <c r="B81" s="22" t="s">
        <v>63</v>
      </c>
      <c r="C81" s="22" t="s">
        <v>64</v>
      </c>
      <c r="D81" s="24"/>
      <c r="E81" s="25" t="n">
        <f>4761</f>
        <v>4761.0</v>
      </c>
      <c r="F81" s="23" t="s">
        <v>39</v>
      </c>
      <c r="G81" s="25" t="n">
        <f>1105</f>
        <v>1105.0</v>
      </c>
      <c r="H81" s="23"/>
      <c r="I81" s="26" t="n">
        <f>5866</f>
        <v>5866.0</v>
      </c>
      <c r="J81" s="24"/>
      <c r="K81" s="25" t="n">
        <f>2108678603</f>
        <v>2.108678603E9</v>
      </c>
      <c r="L81" s="23"/>
      <c r="M81" s="25" t="n">
        <f>11050000</f>
        <v>1.105E7</v>
      </c>
      <c r="N81" s="23"/>
      <c r="O81" s="26" t="n">
        <f>2119728603</f>
        <v>2.119728603E9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3656</f>
        <v>3656.0</v>
      </c>
      <c r="U81" s="23"/>
      <c r="V81" s="25" t="str">
        <f>"－"</f>
        <v>－</v>
      </c>
      <c r="W81" s="23"/>
      <c r="X81" s="26" t="n">
        <f>3656</f>
        <v>3656.0</v>
      </c>
      <c r="Y81" s="24"/>
      <c r="Z81" s="25" t="n">
        <f>88856</f>
        <v>88856.0</v>
      </c>
      <c r="AA81" s="23" t="s">
        <v>39</v>
      </c>
      <c r="AB81" s="25" t="n">
        <f>12158</f>
        <v>12158.0</v>
      </c>
      <c r="AC81" s="23"/>
      <c r="AD81" s="26" t="n">
        <f>101014</f>
        <v>101014.0</v>
      </c>
    </row>
    <row r="82">
      <c r="A82" s="30" t="s">
        <v>40</v>
      </c>
      <c r="B82" s="22" t="s">
        <v>63</v>
      </c>
      <c r="C82" s="22" t="s">
        <v>64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41</v>
      </c>
      <c r="B83" s="22" t="s">
        <v>63</v>
      </c>
      <c r="C83" s="22" t="s">
        <v>64</v>
      </c>
      <c r="D83" s="24"/>
      <c r="E83" s="25" t="n">
        <f>2061</f>
        <v>2061.0</v>
      </c>
      <c r="F83" s="23"/>
      <c r="G83" s="25" t="str">
        <f>"－"</f>
        <v>－</v>
      </c>
      <c r="H83" s="23"/>
      <c r="I83" s="26" t="n">
        <f>2061</f>
        <v>2061.0</v>
      </c>
      <c r="J83" s="24"/>
      <c r="K83" s="25" t="n">
        <f>1380751600</f>
        <v>1.3807516E9</v>
      </c>
      <c r="L83" s="23"/>
      <c r="M83" s="25" t="str">
        <f>"－"</f>
        <v>－</v>
      </c>
      <c r="N83" s="23"/>
      <c r="O83" s="26" t="n">
        <f>1380751600</f>
        <v>1.3807516E9</v>
      </c>
      <c r="P83" s="27" t="str">
        <f>"－"</f>
        <v>－</v>
      </c>
      <c r="Q83" s="28" t="n">
        <f>1105</f>
        <v>1105.0</v>
      </c>
      <c r="R83" s="29" t="n">
        <f>1105</f>
        <v>1105.0</v>
      </c>
      <c r="S83" s="24"/>
      <c r="T83" s="25" t="n">
        <f>1861</f>
        <v>1861.0</v>
      </c>
      <c r="U83" s="23"/>
      <c r="V83" s="25" t="str">
        <f>"－"</f>
        <v>－</v>
      </c>
      <c r="W83" s="23"/>
      <c r="X83" s="26" t="n">
        <f>1861</f>
        <v>1861.0</v>
      </c>
      <c r="Y83" s="24"/>
      <c r="Z83" s="25" t="n">
        <f>84272</f>
        <v>84272.0</v>
      </c>
      <c r="AA83" s="23"/>
      <c r="AB83" s="25" t="n">
        <f>11053</f>
        <v>11053.0</v>
      </c>
      <c r="AC83" s="23"/>
      <c r="AD83" s="26" t="n">
        <f>95325</f>
        <v>95325.0</v>
      </c>
    </row>
    <row r="84">
      <c r="A84" s="30" t="s">
        <v>42</v>
      </c>
      <c r="B84" s="22" t="s">
        <v>63</v>
      </c>
      <c r="C84" s="22" t="s">
        <v>64</v>
      </c>
      <c r="D84" s="24"/>
      <c r="E84" s="25"/>
      <c r="F84" s="23"/>
      <c r="G84" s="25"/>
      <c r="H84" s="23"/>
      <c r="I84" s="26"/>
      <c r="J84" s="24"/>
      <c r="K84" s="25"/>
      <c r="L84" s="23"/>
      <c r="M84" s="25"/>
      <c r="N84" s="23"/>
      <c r="O84" s="26"/>
      <c r="P84" s="27"/>
      <c r="Q84" s="28"/>
      <c r="R84" s="29"/>
      <c r="S84" s="24"/>
      <c r="T84" s="25"/>
      <c r="U84" s="23"/>
      <c r="V84" s="25"/>
      <c r="W84" s="23"/>
      <c r="X84" s="26"/>
      <c r="Y84" s="24"/>
      <c r="Z84" s="25"/>
      <c r="AA84" s="23"/>
      <c r="AB84" s="25"/>
      <c r="AC84" s="23"/>
      <c r="AD84" s="26"/>
    </row>
    <row r="85">
      <c r="A85" s="30" t="s">
        <v>43</v>
      </c>
      <c r="B85" s="22" t="s">
        <v>63</v>
      </c>
      <c r="C85" s="22" t="s">
        <v>64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44</v>
      </c>
      <c r="B86" s="22" t="s">
        <v>63</v>
      </c>
      <c r="C86" s="22" t="s">
        <v>64</v>
      </c>
      <c r="D86" s="24"/>
      <c r="E86" s="25" t="str">
        <f>"－"</f>
        <v>－</v>
      </c>
      <c r="F86" s="23"/>
      <c r="G86" s="25" t="str">
        <f>"－"</f>
        <v>－</v>
      </c>
      <c r="H86" s="23" t="s">
        <v>32</v>
      </c>
      <c r="I86" s="26" t="str">
        <f>"－"</f>
        <v>－</v>
      </c>
      <c r="J86" s="24"/>
      <c r="K86" s="25" t="str">
        <f>"－"</f>
        <v>－</v>
      </c>
      <c r="L86" s="23"/>
      <c r="M86" s="25" t="str">
        <f>"－"</f>
        <v>－</v>
      </c>
      <c r="N86" s="23" t="s">
        <v>32</v>
      </c>
      <c r="O86" s="26" t="str">
        <f>"－"</f>
        <v>－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83777</f>
        <v>83777.0</v>
      </c>
      <c r="AA86" s="23"/>
      <c r="AB86" s="25" t="n">
        <f>11053</f>
        <v>11053.0</v>
      </c>
      <c r="AC86" s="23"/>
      <c r="AD86" s="26" t="n">
        <f>94830</f>
        <v>94830.0</v>
      </c>
    </row>
    <row r="87">
      <c r="A87" s="30" t="s">
        <v>45</v>
      </c>
      <c r="B87" s="22" t="s">
        <v>63</v>
      </c>
      <c r="C87" s="22" t="s">
        <v>64</v>
      </c>
      <c r="D87" s="24"/>
      <c r="E87" s="25" t="n">
        <f>200</f>
        <v>200.0</v>
      </c>
      <c r="F87" s="23"/>
      <c r="G87" s="25" t="n">
        <f>200</f>
        <v>200.0</v>
      </c>
      <c r="H87" s="23"/>
      <c r="I87" s="26" t="n">
        <f>400</f>
        <v>400.0</v>
      </c>
      <c r="J87" s="24"/>
      <c r="K87" s="25" t="n">
        <f>90500000</f>
        <v>9.05E7</v>
      </c>
      <c r="L87" s="23"/>
      <c r="M87" s="25" t="n">
        <f>114000000</f>
        <v>1.14E8</v>
      </c>
      <c r="N87" s="23"/>
      <c r="O87" s="26" t="n">
        <f>204500000</f>
        <v>2.045E8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83977</f>
        <v>83977.0</v>
      </c>
      <c r="AA87" s="23"/>
      <c r="AB87" s="25" t="n">
        <f>11253</f>
        <v>11253.0</v>
      </c>
      <c r="AC87" s="23"/>
      <c r="AD87" s="26" t="n">
        <f>95230</f>
        <v>95230.0</v>
      </c>
    </row>
    <row r="88">
      <c r="A88" s="30" t="s">
        <v>46</v>
      </c>
      <c r="B88" s="22" t="s">
        <v>63</v>
      </c>
      <c r="C88" s="22" t="s">
        <v>64</v>
      </c>
      <c r="D88" s="24" t="s">
        <v>39</v>
      </c>
      <c r="E88" s="25" t="n">
        <f>11365</f>
        <v>11365.0</v>
      </c>
      <c r="F88" s="23"/>
      <c r="G88" s="25" t="n">
        <f>100</f>
        <v>100.0</v>
      </c>
      <c r="H88" s="23" t="s">
        <v>39</v>
      </c>
      <c r="I88" s="26" t="n">
        <f>11465</f>
        <v>11465.0</v>
      </c>
      <c r="J88" s="24"/>
      <c r="K88" s="25" t="n">
        <f>1869718475</f>
        <v>1.869718475E9</v>
      </c>
      <c r="L88" s="23"/>
      <c r="M88" s="25" t="n">
        <f>9000000</f>
        <v>9000000.0</v>
      </c>
      <c r="N88" s="23"/>
      <c r="O88" s="26" t="n">
        <f>1878718475</f>
        <v>1.878718475E9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 t="s">
        <v>39</v>
      </c>
      <c r="T88" s="25" t="n">
        <f>10494</f>
        <v>10494.0</v>
      </c>
      <c r="U88" s="23"/>
      <c r="V88" s="25" t="str">
        <f>"－"</f>
        <v>－</v>
      </c>
      <c r="W88" s="23" t="s">
        <v>39</v>
      </c>
      <c r="X88" s="26" t="n">
        <f>10494</f>
        <v>10494.0</v>
      </c>
      <c r="Y88" s="24"/>
      <c r="Z88" s="25" t="n">
        <f>89944</f>
        <v>89944.0</v>
      </c>
      <c r="AA88" s="23"/>
      <c r="AB88" s="25" t="n">
        <f>11353</f>
        <v>11353.0</v>
      </c>
      <c r="AC88" s="23"/>
      <c r="AD88" s="26" t="n">
        <f>101297</f>
        <v>101297.0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4193</f>
        <v>4193.0</v>
      </c>
      <c r="F89" s="23"/>
      <c r="G89" s="25" t="str">
        <f>"－"</f>
        <v>－</v>
      </c>
      <c r="H89" s="23"/>
      <c r="I89" s="26" t="n">
        <f>4193</f>
        <v>4193.0</v>
      </c>
      <c r="J89" s="24"/>
      <c r="K89" s="25" t="n">
        <f>1398972903</f>
        <v>1.398972903E9</v>
      </c>
      <c r="L89" s="23"/>
      <c r="M89" s="25" t="str">
        <f>"－"</f>
        <v>－</v>
      </c>
      <c r="N89" s="23"/>
      <c r="O89" s="26" t="n">
        <f>1398972903</f>
        <v>1.398972903E9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3436</f>
        <v>3436.0</v>
      </c>
      <c r="U89" s="23"/>
      <c r="V89" s="25" t="str">
        <f>"－"</f>
        <v>－</v>
      </c>
      <c r="W89" s="23"/>
      <c r="X89" s="26" t="n">
        <f>3436</f>
        <v>3436.0</v>
      </c>
      <c r="Y89" s="24" t="s">
        <v>39</v>
      </c>
      <c r="Z89" s="25" t="n">
        <f>91609</f>
        <v>91609.0</v>
      </c>
      <c r="AA89" s="23"/>
      <c r="AB89" s="25" t="n">
        <f>11353</f>
        <v>11353.0</v>
      </c>
      <c r="AC89" s="23" t="s">
        <v>39</v>
      </c>
      <c r="AD89" s="26" t="n">
        <f>102962</f>
        <v>102962.0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740</f>
        <v>740.0</v>
      </c>
      <c r="F90" s="23"/>
      <c r="G90" s="25" t="n">
        <f>200</f>
        <v>200.0</v>
      </c>
      <c r="H90" s="23"/>
      <c r="I90" s="26" t="n">
        <f>940</f>
        <v>940.0</v>
      </c>
      <c r="J90" s="24"/>
      <c r="K90" s="25" t="n">
        <f>510292800</f>
        <v>5.102928E8</v>
      </c>
      <c r="L90" s="23"/>
      <c r="M90" s="25" t="n">
        <f>126640000</f>
        <v>1.2664E8</v>
      </c>
      <c r="N90" s="23"/>
      <c r="O90" s="26" t="n">
        <f>636932800</f>
        <v>6.369328E8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740</f>
        <v>740.0</v>
      </c>
      <c r="U90" s="23"/>
      <c r="V90" s="25" t="n">
        <f>200</f>
        <v>200.0</v>
      </c>
      <c r="W90" s="23"/>
      <c r="X90" s="26" t="n">
        <f>940</f>
        <v>940.0</v>
      </c>
      <c r="Y90" s="24"/>
      <c r="Z90" s="25" t="n">
        <f>91609</f>
        <v>91609.0</v>
      </c>
      <c r="AA90" s="23"/>
      <c r="AB90" s="25" t="n">
        <f>11353</f>
        <v>11353.0</v>
      </c>
      <c r="AC90" s="23"/>
      <c r="AD90" s="26" t="n">
        <f>102962</f>
        <v>102962.0</v>
      </c>
    </row>
    <row r="91">
      <c r="A91" s="30" t="s">
        <v>49</v>
      </c>
      <c r="B91" s="22" t="s">
        <v>63</v>
      </c>
      <c r="C91" s="22" t="s">
        <v>64</v>
      </c>
      <c r="D91" s="24"/>
      <c r="E91" s="25"/>
      <c r="F91" s="23"/>
      <c r="G91" s="25"/>
      <c r="H91" s="23"/>
      <c r="I91" s="26"/>
      <c r="J91" s="24"/>
      <c r="K91" s="25"/>
      <c r="L91" s="23"/>
      <c r="M91" s="25"/>
      <c r="N91" s="23"/>
      <c r="O91" s="26"/>
      <c r="P91" s="27"/>
      <c r="Q91" s="28"/>
      <c r="R91" s="29"/>
      <c r="S91" s="24"/>
      <c r="T91" s="25"/>
      <c r="U91" s="23"/>
      <c r="V91" s="25"/>
      <c r="W91" s="23"/>
      <c r="X91" s="26"/>
      <c r="Y91" s="24"/>
      <c r="Z91" s="25"/>
      <c r="AA91" s="23"/>
      <c r="AB91" s="25"/>
      <c r="AC91" s="23"/>
      <c r="AD91" s="26"/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 t="str">
        <f>"－"</f>
        <v>－</v>
      </c>
      <c r="F93" s="23"/>
      <c r="G93" s="25" t="str">
        <f>"－"</f>
        <v>－</v>
      </c>
      <c r="H93" s="23"/>
      <c r="I93" s="26" t="str">
        <f>"－"</f>
        <v>－</v>
      </c>
      <c r="J93" s="24"/>
      <c r="K93" s="25" t="str">
        <f>"－"</f>
        <v>－</v>
      </c>
      <c r="L93" s="23"/>
      <c r="M93" s="25" t="str">
        <f>"－"</f>
        <v>－</v>
      </c>
      <c r="N93" s="23"/>
      <c r="O93" s="26" t="str">
        <f>"－"</f>
        <v>－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/>
      <c r="X93" s="26" t="str">
        <f>"－"</f>
        <v>－</v>
      </c>
      <c r="Y93" s="24"/>
      <c r="Z93" s="25" t="n">
        <f>91609</f>
        <v>91609.0</v>
      </c>
      <c r="AA93" s="23"/>
      <c r="AB93" s="25" t="n">
        <f>11353</f>
        <v>11353.0</v>
      </c>
      <c r="AC93" s="23"/>
      <c r="AD93" s="26" t="n">
        <f>102962</f>
        <v>102962.0</v>
      </c>
    </row>
    <row r="94">
      <c r="A94" s="30" t="s">
        <v>52</v>
      </c>
      <c r="B94" s="22" t="s">
        <v>63</v>
      </c>
      <c r="C94" s="22" t="s">
        <v>64</v>
      </c>
      <c r="D94" s="24"/>
      <c r="E94" s="25" t="str">
        <f>"－"</f>
        <v>－</v>
      </c>
      <c r="F94" s="23"/>
      <c r="G94" s="25" t="str">
        <f>"－"</f>
        <v>－</v>
      </c>
      <c r="H94" s="23"/>
      <c r="I94" s="26" t="str">
        <f>"－"</f>
        <v>－</v>
      </c>
      <c r="J94" s="24"/>
      <c r="K94" s="25" t="str">
        <f>"－"</f>
        <v>－</v>
      </c>
      <c r="L94" s="23"/>
      <c r="M94" s="25" t="str">
        <f>"－"</f>
        <v>－</v>
      </c>
      <c r="N94" s="23"/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str">
        <f>"－"</f>
        <v>－</v>
      </c>
      <c r="W94" s="23"/>
      <c r="X94" s="26" t="str">
        <f>"－"</f>
        <v>－</v>
      </c>
      <c r="Y94" s="24"/>
      <c r="Z94" s="25" t="n">
        <f>91609</f>
        <v>91609.0</v>
      </c>
      <c r="AA94" s="23"/>
      <c r="AB94" s="25" t="n">
        <f>11353</f>
        <v>11353.0</v>
      </c>
      <c r="AC94" s="23"/>
      <c r="AD94" s="26" t="n">
        <f>102962</f>
        <v>102962.0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2567</f>
        <v>2567.0</v>
      </c>
      <c r="F95" s="23"/>
      <c r="G95" s="25" t="str">
        <f>"－"</f>
        <v>－</v>
      </c>
      <c r="H95" s="23"/>
      <c r="I95" s="26" t="n">
        <f>2567</f>
        <v>2567.0</v>
      </c>
      <c r="J95" s="24"/>
      <c r="K95" s="25" t="n">
        <f>29886500</f>
        <v>2.98865E7</v>
      </c>
      <c r="L95" s="23"/>
      <c r="M95" s="25" t="str">
        <f>"－"</f>
        <v>－</v>
      </c>
      <c r="N95" s="23"/>
      <c r="O95" s="26" t="n">
        <f>29886500</f>
        <v>2.98865E7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str">
        <f>"－"</f>
        <v>－</v>
      </c>
      <c r="W95" s="23"/>
      <c r="X95" s="26" t="str">
        <f>"－"</f>
        <v>－</v>
      </c>
      <c r="Y95" s="24"/>
      <c r="Z95" s="25" t="n">
        <f>89442</f>
        <v>89442.0</v>
      </c>
      <c r="AA95" s="23"/>
      <c r="AB95" s="25" t="n">
        <f>11353</f>
        <v>11353.0</v>
      </c>
      <c r="AC95" s="23"/>
      <c r="AD95" s="26" t="n">
        <f>100795</f>
        <v>100795.0</v>
      </c>
    </row>
    <row r="96">
      <c r="A96" s="30" t="s">
        <v>54</v>
      </c>
      <c r="B96" s="22" t="s">
        <v>63</v>
      </c>
      <c r="C96" s="22" t="s">
        <v>64</v>
      </c>
      <c r="D96" s="24"/>
      <c r="E96" s="25" t="str">
        <f>"－"</f>
        <v>－</v>
      </c>
      <c r="F96" s="23"/>
      <c r="G96" s="25" t="str">
        <f>"－"</f>
        <v>－</v>
      </c>
      <c r="H96" s="23"/>
      <c r="I96" s="26" t="str">
        <f>"－"</f>
        <v>－</v>
      </c>
      <c r="J96" s="24"/>
      <c r="K96" s="25" t="str">
        <f>"－"</f>
        <v>－</v>
      </c>
      <c r="L96" s="23"/>
      <c r="M96" s="25" t="str">
        <f>"－"</f>
        <v>－</v>
      </c>
      <c r="N96" s="23"/>
      <c r="O96" s="26" t="str">
        <f>"－"</f>
        <v>－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89442</f>
        <v>89442.0</v>
      </c>
      <c r="AA96" s="23"/>
      <c r="AB96" s="25" t="n">
        <f>11353</f>
        <v>11353.0</v>
      </c>
      <c r="AC96" s="23"/>
      <c r="AD96" s="26" t="n">
        <f>100795</f>
        <v>100795.0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3554</f>
        <v>3554.0</v>
      </c>
      <c r="F97" s="23"/>
      <c r="G97" s="25" t="str">
        <f>"－"</f>
        <v>－</v>
      </c>
      <c r="H97" s="23"/>
      <c r="I97" s="26" t="n">
        <f>3554</f>
        <v>3554.0</v>
      </c>
      <c r="J97" s="24"/>
      <c r="K97" s="25" t="n">
        <f>2371278594</f>
        <v>2.371278594E9</v>
      </c>
      <c r="L97" s="23"/>
      <c r="M97" s="25" t="str">
        <f>"－"</f>
        <v>－</v>
      </c>
      <c r="N97" s="23"/>
      <c r="O97" s="26" t="n">
        <f>2371278594</f>
        <v>2.371278594E9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1604</f>
        <v>1604.0</v>
      </c>
      <c r="U97" s="23"/>
      <c r="V97" s="25" t="str">
        <f>"－"</f>
        <v>－</v>
      </c>
      <c r="W97" s="23"/>
      <c r="X97" s="26" t="n">
        <f>1604</f>
        <v>1604.0</v>
      </c>
      <c r="Y97" s="24"/>
      <c r="Z97" s="25" t="n">
        <f>90505</f>
        <v>90505.0</v>
      </c>
      <c r="AA97" s="23"/>
      <c r="AB97" s="25" t="n">
        <f>11353</f>
        <v>11353.0</v>
      </c>
      <c r="AC97" s="23"/>
      <c r="AD97" s="26" t="n">
        <f>101858</f>
        <v>101858.0</v>
      </c>
    </row>
    <row r="98">
      <c r="A98" s="30" t="s">
        <v>56</v>
      </c>
      <c r="B98" s="22" t="s">
        <v>63</v>
      </c>
      <c r="C98" s="22" t="s">
        <v>64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57</v>
      </c>
      <c r="B99" s="22" t="s">
        <v>63</v>
      </c>
      <c r="C99" s="22" t="s">
        <v>64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58</v>
      </c>
      <c r="B100" s="22" t="s">
        <v>63</v>
      </c>
      <c r="C100" s="22" t="s">
        <v>64</v>
      </c>
      <c r="D100" s="24"/>
      <c r="E100" s="25" t="str">
        <f>"－"</f>
        <v>－</v>
      </c>
      <c r="F100" s="23"/>
      <c r="G100" s="25" t="str">
        <f>"－"</f>
        <v>－</v>
      </c>
      <c r="H100" s="23"/>
      <c r="I100" s="26" t="str">
        <f>"－"</f>
        <v>－</v>
      </c>
      <c r="J100" s="24"/>
      <c r="K100" s="25" t="str">
        <f>"－"</f>
        <v>－</v>
      </c>
      <c r="L100" s="23"/>
      <c r="M100" s="25" t="str">
        <f>"－"</f>
        <v>－</v>
      </c>
      <c r="N100" s="23"/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/>
      <c r="Z100" s="25" t="n">
        <f>90505</f>
        <v>90505.0</v>
      </c>
      <c r="AA100" s="23"/>
      <c r="AB100" s="25" t="n">
        <f>11353</f>
        <v>11353.0</v>
      </c>
      <c r="AC100" s="23"/>
      <c r="AD100" s="26" t="n">
        <f>101858</f>
        <v>101858.0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n">
        <f>90505</f>
        <v>90505.0</v>
      </c>
      <c r="AA101" s="23"/>
      <c r="AB101" s="25" t="n">
        <f>11353</f>
        <v>11353.0</v>
      </c>
      <c r="AC101" s="23"/>
      <c r="AD101" s="26" t="n">
        <f>101858</f>
        <v>101858.0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2046</f>
        <v>2046.0</v>
      </c>
      <c r="F102" s="23"/>
      <c r="G102" s="25" t="n">
        <f>350</f>
        <v>350.0</v>
      </c>
      <c r="H102" s="23"/>
      <c r="I102" s="26" t="n">
        <f>2396</f>
        <v>2396.0</v>
      </c>
      <c r="J102" s="24"/>
      <c r="K102" s="25" t="n">
        <f>1414768100</f>
        <v>1.4147681E9</v>
      </c>
      <c r="L102" s="23"/>
      <c r="M102" s="25" t="n">
        <f>459750000</f>
        <v>4.5975E8</v>
      </c>
      <c r="N102" s="23"/>
      <c r="O102" s="26" t="n">
        <f>1874518100</f>
        <v>1.8745181E9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n">
        <f>1596</f>
        <v>1596.0</v>
      </c>
      <c r="U102" s="23"/>
      <c r="V102" s="25" t="str">
        <f>"－"</f>
        <v>－</v>
      </c>
      <c r="W102" s="23"/>
      <c r="X102" s="26" t="n">
        <f>1596</f>
        <v>1596.0</v>
      </c>
      <c r="Y102" s="24"/>
      <c r="Z102" s="25" t="n">
        <f>90841</f>
        <v>90841.0</v>
      </c>
      <c r="AA102" s="23"/>
      <c r="AB102" s="25" t="n">
        <f>11703</f>
        <v>11703.0</v>
      </c>
      <c r="AC102" s="23"/>
      <c r="AD102" s="26" t="n">
        <f>102544</f>
        <v>102544.0</v>
      </c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33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/>
      <c r="F108" s="23"/>
      <c r="G108" s="25"/>
      <c r="H108" s="23"/>
      <c r="I108" s="26"/>
      <c r="J108" s="24"/>
      <c r="K108" s="25"/>
      <c r="L108" s="23"/>
      <c r="M108" s="25"/>
      <c r="N108" s="23"/>
      <c r="O108" s="26"/>
      <c r="P108" s="27"/>
      <c r="Q108" s="28"/>
      <c r="R108" s="29"/>
      <c r="S108" s="24"/>
      <c r="T108" s="25"/>
      <c r="U108" s="23"/>
      <c r="V108" s="25"/>
      <c r="W108" s="23"/>
      <c r="X108" s="26"/>
      <c r="Y108" s="24"/>
      <c r="Z108" s="25"/>
      <c r="AA108" s="23"/>
      <c r="AB108" s="25"/>
      <c r="AC108" s="23"/>
      <c r="AD108" s="26"/>
    </row>
    <row r="109">
      <c r="A109" s="30" t="s">
        <v>35</v>
      </c>
      <c r="B109" s="22" t="s">
        <v>65</v>
      </c>
      <c r="C109" s="22" t="s">
        <v>66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37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40</v>
      </c>
      <c r="B113" s="22" t="s">
        <v>65</v>
      </c>
      <c r="C113" s="22" t="s">
        <v>66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/>
      <c r="F115" s="23"/>
      <c r="G115" s="25"/>
      <c r="H115" s="23"/>
      <c r="I115" s="26"/>
      <c r="J115" s="24"/>
      <c r="K115" s="25"/>
      <c r="L115" s="23"/>
      <c r="M115" s="25"/>
      <c r="N115" s="23"/>
      <c r="O115" s="26"/>
      <c r="P115" s="27"/>
      <c r="Q115" s="28"/>
      <c r="R115" s="29"/>
      <c r="S115" s="24"/>
      <c r="T115" s="25"/>
      <c r="U115" s="23"/>
      <c r="V115" s="25"/>
      <c r="W115" s="23"/>
      <c r="X115" s="26"/>
      <c r="Y115" s="24"/>
      <c r="Z115" s="25"/>
      <c r="AA115" s="23"/>
      <c r="AB115" s="25"/>
      <c r="AC115" s="23"/>
      <c r="AD115" s="26"/>
    </row>
    <row r="116">
      <c r="A116" s="30" t="s">
        <v>43</v>
      </c>
      <c r="B116" s="22" t="s">
        <v>65</v>
      </c>
      <c r="C116" s="22" t="s">
        <v>66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/>
      <c r="F129" s="23"/>
      <c r="G129" s="25"/>
      <c r="H129" s="23"/>
      <c r="I129" s="26"/>
      <c r="J129" s="24"/>
      <c r="K129" s="25"/>
      <c r="L129" s="23"/>
      <c r="M129" s="25"/>
      <c r="N129" s="23"/>
      <c r="O129" s="26"/>
      <c r="P129" s="27"/>
      <c r="Q129" s="28"/>
      <c r="R129" s="29"/>
      <c r="S129" s="24"/>
      <c r="T129" s="25"/>
      <c r="U129" s="23"/>
      <c r="V129" s="25"/>
      <c r="W129" s="23"/>
      <c r="X129" s="26"/>
      <c r="Y129" s="24"/>
      <c r="Z129" s="25"/>
      <c r="AA129" s="23"/>
      <c r="AB129" s="25"/>
      <c r="AC129" s="23"/>
      <c r="AD129" s="26"/>
    </row>
    <row r="130">
      <c r="A130" s="30" t="s">
        <v>57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33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34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33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34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