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<sst xmlns="http://schemas.openxmlformats.org/spreadsheetml/2006/main" count="1558" uniqueCount="81">
  <si>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</si>
  <si>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</si>
  <si>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</si>
  <si>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</si>
  <si>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</si>
  <si>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</si>
  <si>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</si>
  <si>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</si>
  <si>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</si>
  <si>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</si>
  <si>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</si>
  <si>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</si>
  <si>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</si>
  <si>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</si>
  <si>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</si>
  <si>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</si>
  <si>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9.1</t>
  </si>
  <si>
    <t>日経225先物</t>
  </si>
  <si>
    <t>Nikkei 225 Futures</t>
  </si>
  <si>
    <t>2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</si>
  <si>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</si>
  <si>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</si>
  <si>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</si>
  <si>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</si>
  <si>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</si>
  <si>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</si>
  <si>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</si>
  <si>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</si>
  <si>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</si>
  <si>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11</t>
  </si>
  <si>
    <t>12</t>
  </si>
  <si>
    <t>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</si>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</sst>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94402</f>
        <v>94402.0</v>
      </c>
      <c r="F6" s="10"/>
      <c r="G6" s="2" t="n">
        <f>2613863474710</f>
        <v>2.61386347471E12</v>
      </c>
      <c r="H6" s="10"/>
      <c r="I6" s="2" t="n">
        <f>10316</f>
        <v>10316.0</v>
      </c>
      <c r="J6" s="10"/>
      <c r="K6" s="2" t="n">
        <f>332079</f>
        <v>332079.0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85509</f>
        <v>85509.0</v>
      </c>
      <c r="F7" s="10"/>
      <c r="G7" s="2" t="n">
        <f>2360026285606</f>
        <v>2.360026285606E12</v>
      </c>
      <c r="H7" s="10"/>
      <c r="I7" s="2" t="n">
        <f>9588</f>
        <v>9588.0</v>
      </c>
      <c r="J7" s="10"/>
      <c r="K7" s="2" t="n">
        <f>335414</f>
        <v>335414.0</v>
      </c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 t="n">
        <f>171669</f>
        <v>171669.0</v>
      </c>
      <c r="F10" s="10"/>
      <c r="G10" s="2" t="n">
        <f>4728855882227</f>
        <v>4.728855882227E12</v>
      </c>
      <c r="H10" s="10"/>
      <c r="I10" s="2" t="n">
        <f>24252</f>
        <v>24252.0</v>
      </c>
      <c r="J10" s="10"/>
      <c r="K10" s="2" t="n">
        <f>342003</f>
        <v>342003.0</v>
      </c>
    </row>
    <row r="11">
      <c r="A11" s="8" t="s">
        <v>23</v>
      </c>
      <c r="B11" s="9" t="s">
        <v>17</v>
      </c>
      <c r="C11" s="9" t="s">
        <v>18</v>
      </c>
      <c r="D11" s="10" t="s">
        <v>24</v>
      </c>
      <c r="E11" s="2" t="n">
        <f>308039</f>
        <v>308039.0</v>
      </c>
      <c r="F11" s="10" t="s">
        <v>24</v>
      </c>
      <c r="G11" s="2" t="n">
        <f>8489473443655</f>
        <v>8.489473443655E12</v>
      </c>
      <c r="H11" s="10" t="s">
        <v>24</v>
      </c>
      <c r="I11" s="2" t="n">
        <f>70987</f>
        <v>70987.0</v>
      </c>
      <c r="J11" s="10" t="s">
        <v>24</v>
      </c>
      <c r="K11" s="2" t="n">
        <f>369495</f>
        <v>369495.0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262047</f>
        <v>262047.0</v>
      </c>
      <c r="F12" s="10"/>
      <c r="G12" s="2" t="n">
        <f>7161885677433</f>
        <v>7.161885677433E12</v>
      </c>
      <c r="H12" s="10"/>
      <c r="I12" s="2" t="n">
        <f>33094</f>
        <v>33094.0</v>
      </c>
      <c r="J12" s="10"/>
      <c r="K12" s="2" t="n">
        <f>339917</f>
        <v>339917.0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149647</f>
        <v>149647.0</v>
      </c>
      <c r="F13" s="10"/>
      <c r="G13" s="2" t="n">
        <f>4148797397532</f>
        <v>4.148797397532E12</v>
      </c>
      <c r="H13" s="10"/>
      <c r="I13" s="2" t="n">
        <f>10510</f>
        <v>10510.0</v>
      </c>
      <c r="J13" s="10"/>
      <c r="K13" s="2" t="n">
        <f>342917</f>
        <v>342917.0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87461</f>
        <v>87461.0</v>
      </c>
      <c r="F14" s="10"/>
      <c r="G14" s="2" t="n">
        <f>2438479017344</f>
        <v>2.438479017344E12</v>
      </c>
      <c r="H14" s="10"/>
      <c r="I14" s="2" t="n">
        <f>5574</f>
        <v>5574.0</v>
      </c>
      <c r="J14" s="10"/>
      <c r="K14" s="2" t="n">
        <f>336040</f>
        <v>336040.0</v>
      </c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 t="s">
        <v>31</v>
      </c>
      <c r="E17" s="2" t="n">
        <f>54587</f>
        <v>54587.0</v>
      </c>
      <c r="F17" s="10" t="s">
        <v>31</v>
      </c>
      <c r="G17" s="2" t="n">
        <f>1540881924138</f>
        <v>1.540881924138E12</v>
      </c>
      <c r="H17" s="10"/>
      <c r="I17" s="2" t="n">
        <f>4609</f>
        <v>4609.0</v>
      </c>
      <c r="J17" s="10" t="s">
        <v>31</v>
      </c>
      <c r="K17" s="2" t="n">
        <f>263252</f>
        <v>263252.0</v>
      </c>
    </row>
    <row r="18">
      <c r="A18" s="8" t="s">
        <v>32</v>
      </c>
      <c r="B18" s="9" t="s">
        <v>17</v>
      </c>
      <c r="C18" s="9" t="s">
        <v>18</v>
      </c>
      <c r="D18" s="10"/>
      <c r="E18" s="2" t="n">
        <f>58603</f>
        <v>58603.0</v>
      </c>
      <c r="F18" s="10"/>
      <c r="G18" s="2" t="n">
        <f>1661665878780</f>
        <v>1.66166587878E12</v>
      </c>
      <c r="H18" s="10" t="s">
        <v>31</v>
      </c>
      <c r="I18" s="2" t="n">
        <f>3516</f>
        <v>3516.0</v>
      </c>
      <c r="J18" s="10"/>
      <c r="K18" s="2" t="n">
        <f>264165</f>
        <v>264165.0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127004</f>
        <v>127004.0</v>
      </c>
      <c r="F19" s="10"/>
      <c r="G19" s="2" t="n">
        <f>3523673132100</f>
        <v>3.5236731321E12</v>
      </c>
      <c r="H19" s="10"/>
      <c r="I19" s="2" t="n">
        <f>9579</f>
        <v>9579.0</v>
      </c>
      <c r="J19" s="10"/>
      <c r="K19" s="2" t="n">
        <f>268229</f>
        <v>268229.0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74763</f>
        <v>74763.0</v>
      </c>
      <c r="F20" s="10"/>
      <c r="G20" s="2" t="n">
        <f>2067874656340</f>
        <v>2.06787465634E12</v>
      </c>
      <c r="H20" s="10"/>
      <c r="I20" s="2" t="n">
        <f>6587</f>
        <v>6587.0</v>
      </c>
      <c r="J20" s="10"/>
      <c r="K20" s="2" t="n">
        <f>269301</f>
        <v>269301.0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76434</f>
        <v>76434.0</v>
      </c>
      <c r="F21" s="10"/>
      <c r="G21" s="2" t="n">
        <f>2096412055850</f>
        <v>2.09641205585E12</v>
      </c>
      <c r="H21" s="10"/>
      <c r="I21" s="2" t="n">
        <f>7914</f>
        <v>7914.0</v>
      </c>
      <c r="J21" s="10"/>
      <c r="K21" s="2" t="n">
        <f>271860</f>
        <v>271860.0</v>
      </c>
    </row>
    <row r="22">
      <c r="A22" s="8" t="s">
        <v>36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 t="n">
        <f>66355</f>
        <v>66355.0</v>
      </c>
      <c r="F25" s="10"/>
      <c r="G25" s="2" t="n">
        <f>1820018259630</f>
        <v>1.82001825963E12</v>
      </c>
      <c r="H25" s="10"/>
      <c r="I25" s="2" t="n">
        <f>6116</f>
        <v>6116.0</v>
      </c>
      <c r="J25" s="10"/>
      <c r="K25" s="2" t="n">
        <f>277360</f>
        <v>277360.0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82235</f>
        <v>82235.0</v>
      </c>
      <c r="F26" s="10"/>
      <c r="G26" s="2" t="n">
        <f>2234323689460</f>
        <v>2.23432368946E12</v>
      </c>
      <c r="H26" s="10"/>
      <c r="I26" s="2" t="n">
        <f>7238</f>
        <v>7238.0</v>
      </c>
      <c r="J26" s="10"/>
      <c r="K26" s="2" t="n">
        <f>281257</f>
        <v>281257.0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111162</f>
        <v>111162.0</v>
      </c>
      <c r="F27" s="10"/>
      <c r="G27" s="2" t="n">
        <f>2998048273332</f>
        <v>2.998048273332E12</v>
      </c>
      <c r="H27" s="10"/>
      <c r="I27" s="2" t="n">
        <f>9274</f>
        <v>9274.0</v>
      </c>
      <c r="J27" s="10"/>
      <c r="K27" s="2" t="n">
        <f>286304</f>
        <v>286304.0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44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45</v>
      </c>
      <c r="B31" s="9" t="s">
        <v>17</v>
      </c>
      <c r="C31" s="9" t="s">
        <v>18</v>
      </c>
      <c r="D31" s="10"/>
      <c r="E31" s="2" t="n">
        <f>135395</f>
        <v>135395.0</v>
      </c>
      <c r="F31" s="10"/>
      <c r="G31" s="2" t="n">
        <f>3584534368440</f>
        <v>3.58453436844E12</v>
      </c>
      <c r="H31" s="10"/>
      <c r="I31" s="2" t="n">
        <f>13584</f>
        <v>13584.0</v>
      </c>
      <c r="J31" s="10"/>
      <c r="K31" s="2" t="n">
        <f>291070</f>
        <v>291070.0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97227</f>
        <v>97227.0</v>
      </c>
      <c r="F32" s="10"/>
      <c r="G32" s="2" t="n">
        <f>2561557485640</f>
        <v>2.56155748564E12</v>
      </c>
      <c r="H32" s="10"/>
      <c r="I32" s="2" t="n">
        <f>7428</f>
        <v>7428.0</v>
      </c>
      <c r="J32" s="10"/>
      <c r="K32" s="2" t="n">
        <f>300200</f>
        <v>300200.0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130215</f>
        <v>130215.0</v>
      </c>
      <c r="F33" s="10"/>
      <c r="G33" s="2" t="n">
        <f>3387114555850</f>
        <v>3.38711455585E12</v>
      </c>
      <c r="H33" s="10"/>
      <c r="I33" s="2" t="n">
        <f>11537</f>
        <v>11537.0</v>
      </c>
      <c r="J33" s="10"/>
      <c r="K33" s="2" t="n">
        <f>304985</f>
        <v>304985.0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144277</f>
        <v>144277.0</v>
      </c>
      <c r="F34" s="10"/>
      <c r="G34" s="2" t="n">
        <f>3791196261400</f>
        <v>3.7911962614E12</v>
      </c>
      <c r="H34" s="10"/>
      <c r="I34" s="2" t="n">
        <f>11494</f>
        <v>11494.0</v>
      </c>
      <c r="J34" s="10"/>
      <c r="K34" s="2" t="n">
        <f>315842</f>
        <v>315842.0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152071</f>
        <v>152071.0</v>
      </c>
      <c r="F35" s="10"/>
      <c r="G35" s="2" t="n">
        <f>3953651188400</f>
        <v>3.9536511884E12</v>
      </c>
      <c r="H35" s="10"/>
      <c r="I35" s="2" t="n">
        <f>14071</f>
        <v>14071.0</v>
      </c>
      <c r="J35" s="10"/>
      <c r="K35" s="2" t="n">
        <f>316482</f>
        <v>316482.0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1084119</f>
        <v>1084119.0</v>
      </c>
      <c r="F36" s="10"/>
      <c r="G36" s="2" t="n">
        <f>3012777738036</f>
        <v>3.012777738036E12</v>
      </c>
      <c r="H36" s="10"/>
      <c r="I36" s="2" t="n">
        <f>99467</f>
        <v>99467.0</v>
      </c>
      <c r="J36" s="10"/>
      <c r="K36" s="2" t="n">
        <f>534322</f>
        <v>534322.0</v>
      </c>
    </row>
    <row r="37">
      <c r="A37" s="8" t="s">
        <v>19</v>
      </c>
      <c r="B37" s="9" t="s">
        <v>50</v>
      </c>
      <c r="C37" s="9" t="s">
        <v>51</v>
      </c>
      <c r="D37" s="10"/>
      <c r="E37" s="2" t="n">
        <f>969272</f>
        <v>969272.0</v>
      </c>
      <c r="F37" s="10"/>
      <c r="G37" s="2" t="n">
        <f>2676420421521</f>
        <v>2.676420421521E12</v>
      </c>
      <c r="H37" s="10"/>
      <c r="I37" s="2" t="n">
        <f>91379</f>
        <v>91379.0</v>
      </c>
      <c r="J37" s="10"/>
      <c r="K37" s="2" t="n">
        <f>528553</f>
        <v>528553.0</v>
      </c>
    </row>
    <row r="38">
      <c r="A38" s="8" t="s">
        <v>20</v>
      </c>
      <c r="B38" s="9" t="s">
        <v>50</v>
      </c>
      <c r="C38" s="9" t="s">
        <v>51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21</v>
      </c>
      <c r="B39" s="9" t="s">
        <v>50</v>
      </c>
      <c r="C39" s="9" t="s">
        <v>51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22</v>
      </c>
      <c r="B40" s="9" t="s">
        <v>50</v>
      </c>
      <c r="C40" s="9" t="s">
        <v>51</v>
      </c>
      <c r="D40" s="10"/>
      <c r="E40" s="2" t="n">
        <f>1158370</f>
        <v>1158370.0</v>
      </c>
      <c r="F40" s="10"/>
      <c r="G40" s="2" t="n">
        <f>3200083212492</f>
        <v>3.200083212492E12</v>
      </c>
      <c r="H40" s="10"/>
      <c r="I40" s="2" t="n">
        <f>171871</f>
        <v>171871.0</v>
      </c>
      <c r="J40" s="10"/>
      <c r="K40" s="2" t="n">
        <f>575462</f>
        <v>575462.0</v>
      </c>
    </row>
    <row r="41">
      <c r="A41" s="8" t="s">
        <v>23</v>
      </c>
      <c r="B41" s="9" t="s">
        <v>50</v>
      </c>
      <c r="C41" s="9" t="s">
        <v>51</v>
      </c>
      <c r="D41" s="10"/>
      <c r="E41" s="2" t="n">
        <f>851692</f>
        <v>851692.0</v>
      </c>
      <c r="F41" s="10"/>
      <c r="G41" s="2" t="n">
        <f>2350915420240</f>
        <v>2.35091542024E12</v>
      </c>
      <c r="H41" s="10" t="s">
        <v>24</v>
      </c>
      <c r="I41" s="2" t="n">
        <f>192969</f>
        <v>192969.0</v>
      </c>
      <c r="J41" s="10"/>
      <c r="K41" s="2" t="n">
        <f>590267</f>
        <v>590267.0</v>
      </c>
    </row>
    <row r="42">
      <c r="A42" s="8" t="s">
        <v>25</v>
      </c>
      <c r="B42" s="9" t="s">
        <v>50</v>
      </c>
      <c r="C42" s="9" t="s">
        <v>51</v>
      </c>
      <c r="D42" s="10"/>
      <c r="E42" s="2" t="n">
        <f>1319314</f>
        <v>1319314.0</v>
      </c>
      <c r="F42" s="10"/>
      <c r="G42" s="2" t="n">
        <f>3618738565847</f>
        <v>3.618738565847E12</v>
      </c>
      <c r="H42" s="10"/>
      <c r="I42" s="2" t="n">
        <f>141458</f>
        <v>141458.0</v>
      </c>
      <c r="J42" s="10"/>
      <c r="K42" s="2" t="n">
        <f>586941</f>
        <v>586941.0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1068389</f>
        <v>1068389.0</v>
      </c>
      <c r="F43" s="10"/>
      <c r="G43" s="2" t="n">
        <f>2955539066183</f>
        <v>2.955539066183E12</v>
      </c>
      <c r="H43" s="10"/>
      <c r="I43" s="2" t="n">
        <f>98536</f>
        <v>98536.0</v>
      </c>
      <c r="J43" s="10"/>
      <c r="K43" s="2" t="n">
        <f>609430</f>
        <v>609430.0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1070511</f>
        <v>1070511.0</v>
      </c>
      <c r="F44" s="10"/>
      <c r="G44" s="2" t="n">
        <f>2981480796779</f>
        <v>2.981480796779E12</v>
      </c>
      <c r="H44" s="10"/>
      <c r="I44" s="2" t="n">
        <f>115815</f>
        <v>115815.0</v>
      </c>
      <c r="J44" s="10" t="s">
        <v>24</v>
      </c>
      <c r="K44" s="2" t="n">
        <f>617655</f>
        <v>617655.0</v>
      </c>
    </row>
    <row r="45">
      <c r="A45" s="8" t="s">
        <v>28</v>
      </c>
      <c r="B45" s="9" t="s">
        <v>50</v>
      </c>
      <c r="C45" s="9" t="s">
        <v>51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29</v>
      </c>
      <c r="B46" s="9" t="s">
        <v>50</v>
      </c>
      <c r="C46" s="9" t="s">
        <v>51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50</v>
      </c>
      <c r="C47" s="9" t="s">
        <v>51</v>
      </c>
      <c r="D47" s="10"/>
      <c r="E47" s="2" t="n">
        <f>776908</f>
        <v>776908.0</v>
      </c>
      <c r="F47" s="10"/>
      <c r="G47" s="2" t="n">
        <f>2190384718110</f>
        <v>2.19038471811E12</v>
      </c>
      <c r="H47" s="10"/>
      <c r="I47" s="2" t="n">
        <f>78955</f>
        <v>78955.0</v>
      </c>
      <c r="J47" s="10" t="s">
        <v>31</v>
      </c>
      <c r="K47" s="2" t="n">
        <f>347802</f>
        <v>347802.0</v>
      </c>
    </row>
    <row r="48">
      <c r="A48" s="8" t="s">
        <v>32</v>
      </c>
      <c r="B48" s="9" t="s">
        <v>50</v>
      </c>
      <c r="C48" s="9" t="s">
        <v>51</v>
      </c>
      <c r="D48" s="10" t="s">
        <v>31</v>
      </c>
      <c r="E48" s="2" t="n">
        <f>700170</f>
        <v>700170.0</v>
      </c>
      <c r="F48" s="10" t="s">
        <v>31</v>
      </c>
      <c r="G48" s="2" t="n">
        <f>1986113631724</f>
        <v>1.986113631724E12</v>
      </c>
      <c r="H48" s="10" t="s">
        <v>31</v>
      </c>
      <c r="I48" s="2" t="n">
        <f>60556</f>
        <v>60556.0</v>
      </c>
      <c r="J48" s="10"/>
      <c r="K48" s="2" t="n">
        <f>370270</f>
        <v>370270.0</v>
      </c>
    </row>
    <row r="49">
      <c r="A49" s="8" t="s">
        <v>33</v>
      </c>
      <c r="B49" s="9" t="s">
        <v>50</v>
      </c>
      <c r="C49" s="9" t="s">
        <v>51</v>
      </c>
      <c r="D49" s="10"/>
      <c r="E49" s="2" t="n">
        <f>1277441</f>
        <v>1277441.0</v>
      </c>
      <c r="F49" s="10"/>
      <c r="G49" s="2" t="n">
        <f>3555688557856</f>
        <v>3.555688557856E12</v>
      </c>
      <c r="H49" s="10"/>
      <c r="I49" s="2" t="n">
        <f>113419</f>
        <v>113419.0</v>
      </c>
      <c r="J49" s="10"/>
      <c r="K49" s="2" t="n">
        <f>380366</f>
        <v>380366.0</v>
      </c>
    </row>
    <row r="50">
      <c r="A50" s="8" t="s">
        <v>34</v>
      </c>
      <c r="B50" s="9" t="s">
        <v>50</v>
      </c>
      <c r="C50" s="9" t="s">
        <v>51</v>
      </c>
      <c r="D50" s="10"/>
      <c r="E50" s="2" t="n">
        <f>882276</f>
        <v>882276.0</v>
      </c>
      <c r="F50" s="10"/>
      <c r="G50" s="2" t="n">
        <f>2441148257430</f>
        <v>2.44114825743E12</v>
      </c>
      <c r="H50" s="10"/>
      <c r="I50" s="2" t="n">
        <f>93849</f>
        <v>93849.0</v>
      </c>
      <c r="J50" s="10"/>
      <c r="K50" s="2" t="n">
        <f>382444</f>
        <v>382444.0</v>
      </c>
    </row>
    <row r="51">
      <c r="A51" s="8" t="s">
        <v>35</v>
      </c>
      <c r="B51" s="9" t="s">
        <v>50</v>
      </c>
      <c r="C51" s="9" t="s">
        <v>51</v>
      </c>
      <c r="D51" s="10"/>
      <c r="E51" s="2" t="n">
        <f>865665</f>
        <v>865665.0</v>
      </c>
      <c r="F51" s="10"/>
      <c r="G51" s="2" t="n">
        <f>2377982988648</f>
        <v>2.377982988648E12</v>
      </c>
      <c r="H51" s="10"/>
      <c r="I51" s="2" t="n">
        <f>83009</f>
        <v>83009.0</v>
      </c>
      <c r="J51" s="10"/>
      <c r="K51" s="2" t="n">
        <f>389524</f>
        <v>389524.0</v>
      </c>
    </row>
    <row r="52">
      <c r="A52" s="8" t="s">
        <v>36</v>
      </c>
      <c r="B52" s="9" t="s">
        <v>50</v>
      </c>
      <c r="C52" s="9" t="s">
        <v>51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37</v>
      </c>
      <c r="B53" s="9" t="s">
        <v>50</v>
      </c>
      <c r="C53" s="9" t="s">
        <v>51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38</v>
      </c>
      <c r="B54" s="9" t="s">
        <v>50</v>
      </c>
      <c r="C54" s="9" t="s">
        <v>51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39</v>
      </c>
      <c r="B55" s="9" t="s">
        <v>50</v>
      </c>
      <c r="C55" s="9" t="s">
        <v>51</v>
      </c>
      <c r="D55" s="10"/>
      <c r="E55" s="2" t="n">
        <f>840521</f>
        <v>840521.0</v>
      </c>
      <c r="F55" s="10"/>
      <c r="G55" s="2" t="n">
        <f>2302832302496</f>
        <v>2.302832302496E12</v>
      </c>
      <c r="H55" s="10"/>
      <c r="I55" s="2" t="n">
        <f>85891</f>
        <v>85891.0</v>
      </c>
      <c r="J55" s="10"/>
      <c r="K55" s="2" t="n">
        <f>394110</f>
        <v>394110.0</v>
      </c>
    </row>
    <row r="56">
      <c r="A56" s="8" t="s">
        <v>40</v>
      </c>
      <c r="B56" s="9" t="s">
        <v>50</v>
      </c>
      <c r="C56" s="9" t="s">
        <v>51</v>
      </c>
      <c r="D56" s="10"/>
      <c r="E56" s="2" t="n">
        <f>881792</f>
        <v>881792.0</v>
      </c>
      <c r="F56" s="10"/>
      <c r="G56" s="2" t="n">
        <f>2398921052514</f>
        <v>2.398921052514E12</v>
      </c>
      <c r="H56" s="10"/>
      <c r="I56" s="2" t="n">
        <f>78822</f>
        <v>78822.0</v>
      </c>
      <c r="J56" s="10"/>
      <c r="K56" s="2" t="n">
        <f>411150</f>
        <v>411150.0</v>
      </c>
    </row>
    <row r="57">
      <c r="A57" s="8" t="s">
        <v>41</v>
      </c>
      <c r="B57" s="9" t="s">
        <v>50</v>
      </c>
      <c r="C57" s="9" t="s">
        <v>51</v>
      </c>
      <c r="D57" s="10"/>
      <c r="E57" s="2" t="n">
        <f>1231645</f>
        <v>1231645.0</v>
      </c>
      <c r="F57" s="10"/>
      <c r="G57" s="2" t="n">
        <f>3326493679280</f>
        <v>3.32649367928E12</v>
      </c>
      <c r="H57" s="10"/>
      <c r="I57" s="2" t="n">
        <f>113232</f>
        <v>113232.0</v>
      </c>
      <c r="J57" s="10"/>
      <c r="K57" s="2" t="n">
        <f>430680</f>
        <v>430680.0</v>
      </c>
    </row>
    <row r="58">
      <c r="A58" s="8" t="s">
        <v>42</v>
      </c>
      <c r="B58" s="9" t="s">
        <v>50</v>
      </c>
      <c r="C58" s="9" t="s">
        <v>51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43</v>
      </c>
      <c r="B59" s="9" t="s">
        <v>50</v>
      </c>
      <c r="C59" s="9" t="s">
        <v>51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44</v>
      </c>
      <c r="B60" s="9" t="s">
        <v>50</v>
      </c>
      <c r="C60" s="9" t="s">
        <v>51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45</v>
      </c>
      <c r="B61" s="9" t="s">
        <v>50</v>
      </c>
      <c r="C61" s="9" t="s">
        <v>51</v>
      </c>
      <c r="D61" s="10" t="s">
        <v>24</v>
      </c>
      <c r="E61" s="2" t="n">
        <f>1806881</f>
        <v>1806881.0</v>
      </c>
      <c r="F61" s="10" t="s">
        <v>24</v>
      </c>
      <c r="G61" s="2" t="n">
        <f>4798526819962</f>
        <v>4.798526819962E12</v>
      </c>
      <c r="H61" s="10"/>
      <c r="I61" s="2" t="n">
        <f>186447</f>
        <v>186447.0</v>
      </c>
      <c r="J61" s="10"/>
      <c r="K61" s="2" t="n">
        <f>466378</f>
        <v>466378.0</v>
      </c>
    </row>
    <row r="62">
      <c r="A62" s="8" t="s">
        <v>46</v>
      </c>
      <c r="B62" s="9" t="s">
        <v>50</v>
      </c>
      <c r="C62" s="9" t="s">
        <v>51</v>
      </c>
      <c r="D62" s="10"/>
      <c r="E62" s="2" t="n">
        <f>1113035</f>
        <v>1113035.0</v>
      </c>
      <c r="F62" s="10"/>
      <c r="G62" s="2" t="n">
        <f>2932833194769</f>
        <v>2.932833194769E12</v>
      </c>
      <c r="H62" s="10"/>
      <c r="I62" s="2" t="n">
        <f>105172</f>
        <v>105172.0</v>
      </c>
      <c r="J62" s="10"/>
      <c r="K62" s="2" t="n">
        <f>471802</f>
        <v>471802.0</v>
      </c>
    </row>
    <row r="63">
      <c r="A63" s="8" t="s">
        <v>47</v>
      </c>
      <c r="B63" s="9" t="s">
        <v>50</v>
      </c>
      <c r="C63" s="9" t="s">
        <v>51</v>
      </c>
      <c r="D63" s="10"/>
      <c r="E63" s="2" t="n">
        <f>1551692</f>
        <v>1551692.0</v>
      </c>
      <c r="F63" s="10"/>
      <c r="G63" s="2" t="n">
        <f>4044804672560</f>
        <v>4.04480467256E12</v>
      </c>
      <c r="H63" s="10"/>
      <c r="I63" s="2" t="n">
        <f>169313</f>
        <v>169313.0</v>
      </c>
      <c r="J63" s="10"/>
      <c r="K63" s="2" t="n">
        <f>527505</f>
        <v>527505.0</v>
      </c>
    </row>
    <row r="64">
      <c r="A64" s="8" t="s">
        <v>48</v>
      </c>
      <c r="B64" s="9" t="s">
        <v>50</v>
      </c>
      <c r="C64" s="9" t="s">
        <v>51</v>
      </c>
      <c r="D64" s="10"/>
      <c r="E64" s="2" t="n">
        <f>1602719</f>
        <v>1602719.0</v>
      </c>
      <c r="F64" s="10"/>
      <c r="G64" s="2" t="n">
        <f>4207270697478</f>
        <v>4.207270697478E12</v>
      </c>
      <c r="H64" s="10"/>
      <c r="I64" s="2" t="n">
        <f>174930</f>
        <v>174930.0</v>
      </c>
      <c r="J64" s="10"/>
      <c r="K64" s="2" t="n">
        <f>506643</f>
        <v>506643.0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1391107</f>
        <v>1391107.0</v>
      </c>
      <c r="F65" s="10"/>
      <c r="G65" s="2" t="n">
        <f>3626714722690</f>
        <v>3.62671472269E12</v>
      </c>
      <c r="H65" s="10"/>
      <c r="I65" s="2" t="n">
        <f>147229</f>
        <v>147229.0</v>
      </c>
      <c r="J65" s="10"/>
      <c r="K65" s="2" t="n">
        <f>537250</f>
        <v>537250.0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104307</f>
        <v>104307.0</v>
      </c>
      <c r="F66" s="10"/>
      <c r="G66" s="2" t="n">
        <f>2024361547100</f>
        <v>2.0243615471E12</v>
      </c>
      <c r="H66" s="10"/>
      <c r="I66" s="2" t="n">
        <f>21657</f>
        <v>21657.0</v>
      </c>
      <c r="J66" s="10" t="s">
        <v>31</v>
      </c>
      <c r="K66" s="2" t="n">
        <f>480864</f>
        <v>480864.0</v>
      </c>
    </row>
    <row r="67">
      <c r="A67" s="8" t="s">
        <v>19</v>
      </c>
      <c r="B67" s="9" t="s">
        <v>52</v>
      </c>
      <c r="C67" s="9" t="s">
        <v>53</v>
      </c>
      <c r="D67" s="10"/>
      <c r="E67" s="2" t="n">
        <f>167679</f>
        <v>167679.0</v>
      </c>
      <c r="F67" s="10"/>
      <c r="G67" s="2" t="n">
        <f>3224772204768</f>
        <v>3.224772204768E12</v>
      </c>
      <c r="H67" s="10"/>
      <c r="I67" s="2" t="n">
        <f>32715</f>
        <v>32715.0</v>
      </c>
      <c r="J67" s="10"/>
      <c r="K67" s="2" t="n">
        <f>494733</f>
        <v>494733.0</v>
      </c>
    </row>
    <row r="68">
      <c r="A68" s="8" t="s">
        <v>20</v>
      </c>
      <c r="B68" s="9" t="s">
        <v>52</v>
      </c>
      <c r="C68" s="9" t="s">
        <v>53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21</v>
      </c>
      <c r="B69" s="9" t="s">
        <v>52</v>
      </c>
      <c r="C69" s="9" t="s">
        <v>53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22</v>
      </c>
      <c r="B70" s="9" t="s">
        <v>52</v>
      </c>
      <c r="C70" s="9" t="s">
        <v>53</v>
      </c>
      <c r="D70" s="10"/>
      <c r="E70" s="2" t="n">
        <f>626773</f>
        <v>626773.0</v>
      </c>
      <c r="F70" s="10"/>
      <c r="G70" s="2" t="n">
        <f>12018881484761</f>
        <v>1.2018881484761E13</v>
      </c>
      <c r="H70" s="10"/>
      <c r="I70" s="2" t="n">
        <f>145762</f>
        <v>145762.0</v>
      </c>
      <c r="J70" s="10"/>
      <c r="K70" s="2" t="n">
        <f>553541</f>
        <v>553541.0</v>
      </c>
    </row>
    <row r="71">
      <c r="A71" s="8" t="s">
        <v>23</v>
      </c>
      <c r="B71" s="9" t="s">
        <v>52</v>
      </c>
      <c r="C71" s="9" t="s">
        <v>53</v>
      </c>
      <c r="D71" s="10" t="s">
        <v>24</v>
      </c>
      <c r="E71" s="2" t="n">
        <f>898689</f>
        <v>898689.0</v>
      </c>
      <c r="F71" s="10" t="s">
        <v>24</v>
      </c>
      <c r="G71" s="2" t="n">
        <f>17240618669152</f>
        <v>1.7240618669152E13</v>
      </c>
      <c r="H71" s="10" t="s">
        <v>24</v>
      </c>
      <c r="I71" s="2" t="n">
        <f>228047</f>
        <v>228047.0</v>
      </c>
      <c r="J71" s="10" t="s">
        <v>24</v>
      </c>
      <c r="K71" s="2" t="n">
        <f>693507</f>
        <v>693507.0</v>
      </c>
    </row>
    <row r="72">
      <c r="A72" s="8" t="s">
        <v>25</v>
      </c>
      <c r="B72" s="9" t="s">
        <v>52</v>
      </c>
      <c r="C72" s="9" t="s">
        <v>53</v>
      </c>
      <c r="D72" s="10"/>
      <c r="E72" s="2" t="n">
        <f>467857</f>
        <v>467857.0</v>
      </c>
      <c r="F72" s="10"/>
      <c r="G72" s="2" t="n">
        <f>8923597207014</f>
        <v>8.923597207014E12</v>
      </c>
      <c r="H72" s="10"/>
      <c r="I72" s="2" t="n">
        <f>78976</f>
        <v>78976.0</v>
      </c>
      <c r="J72" s="10"/>
      <c r="K72" s="2" t="n">
        <f>597139</f>
        <v>597139.0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243445</f>
        <v>243445.0</v>
      </c>
      <c r="F73" s="10"/>
      <c r="G73" s="2" t="n">
        <f>4693814685250</f>
        <v>4.69381468525E12</v>
      </c>
      <c r="H73" s="10"/>
      <c r="I73" s="2" t="n">
        <f>25886</f>
        <v>25886.0</v>
      </c>
      <c r="J73" s="10"/>
      <c r="K73" s="2" t="n">
        <f>561113</f>
        <v>561113.0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65191</f>
        <v>65191.0</v>
      </c>
      <c r="F74" s="10"/>
      <c r="G74" s="2" t="n">
        <f>1265731107919</f>
        <v>1.265731107919E12</v>
      </c>
      <c r="H74" s="10"/>
      <c r="I74" s="2" t="n">
        <f>16632</f>
        <v>16632.0</v>
      </c>
      <c r="J74" s="10"/>
      <c r="K74" s="2" t="n">
        <f>554946</f>
        <v>554946.0</v>
      </c>
    </row>
    <row r="75">
      <c r="A75" s="8" t="s">
        <v>28</v>
      </c>
      <c r="B75" s="9" t="s">
        <v>52</v>
      </c>
      <c r="C75" s="9" t="s">
        <v>53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29</v>
      </c>
      <c r="B76" s="9" t="s">
        <v>52</v>
      </c>
      <c r="C76" s="9" t="s">
        <v>53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30</v>
      </c>
      <c r="B77" s="9" t="s">
        <v>52</v>
      </c>
      <c r="C77" s="9" t="s">
        <v>53</v>
      </c>
      <c r="D77" s="10"/>
      <c r="E77" s="2" t="n">
        <f>61661</f>
        <v>61661.0</v>
      </c>
      <c r="F77" s="10"/>
      <c r="G77" s="2" t="n">
        <f>1206931848500</f>
        <v>1.2069318485E12</v>
      </c>
      <c r="H77" s="10"/>
      <c r="I77" s="2" t="n">
        <f>18823</f>
        <v>18823.0</v>
      </c>
      <c r="J77" s="10"/>
      <c r="K77" s="2" t="n">
        <f>487495</f>
        <v>487495.0</v>
      </c>
    </row>
    <row r="78">
      <c r="A78" s="8" t="s">
        <v>32</v>
      </c>
      <c r="B78" s="9" t="s">
        <v>52</v>
      </c>
      <c r="C78" s="9" t="s">
        <v>53</v>
      </c>
      <c r="D78" s="10" t="s">
        <v>31</v>
      </c>
      <c r="E78" s="2" t="n">
        <f>55254</f>
        <v>55254.0</v>
      </c>
      <c r="F78" s="10" t="s">
        <v>31</v>
      </c>
      <c r="G78" s="2" t="n">
        <f>1085244215850</f>
        <v>1.08524421585E12</v>
      </c>
      <c r="H78" s="10"/>
      <c r="I78" s="2" t="n">
        <f>15119</f>
        <v>15119.0</v>
      </c>
      <c r="J78" s="10"/>
      <c r="K78" s="2" t="n">
        <f>486840</f>
        <v>486840.0</v>
      </c>
    </row>
    <row r="79">
      <c r="A79" s="8" t="s">
        <v>33</v>
      </c>
      <c r="B79" s="9" t="s">
        <v>52</v>
      </c>
      <c r="C79" s="9" t="s">
        <v>53</v>
      </c>
      <c r="D79" s="10"/>
      <c r="E79" s="2" t="n">
        <f>104063</f>
        <v>104063.0</v>
      </c>
      <c r="F79" s="10"/>
      <c r="G79" s="2" t="n">
        <f>2012570084750</f>
        <v>2.01257008475E12</v>
      </c>
      <c r="H79" s="10"/>
      <c r="I79" s="2" t="n">
        <f>18065</f>
        <v>18065.0</v>
      </c>
      <c r="J79" s="10"/>
      <c r="K79" s="2" t="n">
        <f>488923</f>
        <v>488923.0</v>
      </c>
    </row>
    <row r="80">
      <c r="A80" s="8" t="s">
        <v>34</v>
      </c>
      <c r="B80" s="9" t="s">
        <v>52</v>
      </c>
      <c r="C80" s="9" t="s">
        <v>53</v>
      </c>
      <c r="D80" s="10"/>
      <c r="E80" s="2" t="n">
        <f>66222</f>
        <v>66222.0</v>
      </c>
      <c r="F80" s="10"/>
      <c r="G80" s="2" t="n">
        <f>1278442648700</f>
        <v>1.2784426487E12</v>
      </c>
      <c r="H80" s="10"/>
      <c r="I80" s="2" t="n">
        <f>15938</f>
        <v>15938.0</v>
      </c>
      <c r="J80" s="10"/>
      <c r="K80" s="2" t="n">
        <f>483905</f>
        <v>483905.0</v>
      </c>
    </row>
    <row r="81">
      <c r="A81" s="8" t="s">
        <v>35</v>
      </c>
      <c r="B81" s="9" t="s">
        <v>52</v>
      </c>
      <c r="C81" s="9" t="s">
        <v>53</v>
      </c>
      <c r="D81" s="10"/>
      <c r="E81" s="2" t="n">
        <f>66076</f>
        <v>66076.0</v>
      </c>
      <c r="F81" s="10"/>
      <c r="G81" s="2" t="n">
        <f>1269047003850</f>
        <v>1.26904700385E12</v>
      </c>
      <c r="H81" s="10"/>
      <c r="I81" s="2" t="n">
        <f>13634</f>
        <v>13634.0</v>
      </c>
      <c r="J81" s="10"/>
      <c r="K81" s="2" t="n">
        <f>485680</f>
        <v>485680.0</v>
      </c>
    </row>
    <row r="82">
      <c r="A82" s="8" t="s">
        <v>36</v>
      </c>
      <c r="B82" s="9" t="s">
        <v>52</v>
      </c>
      <c r="C82" s="9" t="s">
        <v>53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37</v>
      </c>
      <c r="B83" s="9" t="s">
        <v>52</v>
      </c>
      <c r="C83" s="9" t="s">
        <v>53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38</v>
      </c>
      <c r="B84" s="9" t="s">
        <v>52</v>
      </c>
      <c r="C84" s="9" t="s">
        <v>53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39</v>
      </c>
      <c r="B85" s="9" t="s">
        <v>52</v>
      </c>
      <c r="C85" s="9" t="s">
        <v>53</v>
      </c>
      <c r="D85" s="10"/>
      <c r="E85" s="2" t="n">
        <f>69163</f>
        <v>69163.0</v>
      </c>
      <c r="F85" s="10"/>
      <c r="G85" s="2" t="n">
        <f>1331683825400</f>
        <v>1.3316838254E12</v>
      </c>
      <c r="H85" s="10" t="s">
        <v>31</v>
      </c>
      <c r="I85" s="2" t="n">
        <f>12211</f>
        <v>12211.0</v>
      </c>
      <c r="J85" s="10"/>
      <c r="K85" s="2" t="n">
        <f>487716</f>
        <v>487716.0</v>
      </c>
    </row>
    <row r="86">
      <c r="A86" s="8" t="s">
        <v>40</v>
      </c>
      <c r="B86" s="9" t="s">
        <v>52</v>
      </c>
      <c r="C86" s="9" t="s">
        <v>53</v>
      </c>
      <c r="D86" s="10"/>
      <c r="E86" s="2" t="n">
        <f>86430</f>
        <v>86430.0</v>
      </c>
      <c r="F86" s="10"/>
      <c r="G86" s="2" t="n">
        <f>1649544048990</f>
        <v>1.64954404899E12</v>
      </c>
      <c r="H86" s="10"/>
      <c r="I86" s="2" t="n">
        <f>17585</f>
        <v>17585.0</v>
      </c>
      <c r="J86" s="10"/>
      <c r="K86" s="2" t="n">
        <f>489116</f>
        <v>489116.0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69420</f>
        <v>69420.0</v>
      </c>
      <c r="F87" s="10"/>
      <c r="G87" s="2" t="n">
        <f>1315052710360</f>
        <v>1.31505271036E12</v>
      </c>
      <c r="H87" s="10"/>
      <c r="I87" s="2" t="n">
        <f>12836</f>
        <v>12836.0</v>
      </c>
      <c r="J87" s="10"/>
      <c r="K87" s="2" t="n">
        <f>493408</f>
        <v>493408.0</v>
      </c>
    </row>
    <row r="88">
      <c r="A88" s="8" t="s">
        <v>42</v>
      </c>
      <c r="B88" s="9" t="s">
        <v>52</v>
      </c>
      <c r="C88" s="9" t="s">
        <v>53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43</v>
      </c>
      <c r="B89" s="9" t="s">
        <v>52</v>
      </c>
      <c r="C89" s="9" t="s">
        <v>53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44</v>
      </c>
      <c r="B90" s="9" t="s">
        <v>52</v>
      </c>
      <c r="C90" s="9" t="s">
        <v>53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45</v>
      </c>
      <c r="B91" s="9" t="s">
        <v>52</v>
      </c>
      <c r="C91" s="9" t="s">
        <v>53</v>
      </c>
      <c r="D91" s="10"/>
      <c r="E91" s="2" t="n">
        <f>122519</f>
        <v>122519.0</v>
      </c>
      <c r="F91" s="10"/>
      <c r="G91" s="2" t="n">
        <f>2279471754300</f>
        <v>2.2794717543E12</v>
      </c>
      <c r="H91" s="10"/>
      <c r="I91" s="2" t="n">
        <f>26204</f>
        <v>26204.0</v>
      </c>
      <c r="J91" s="10"/>
      <c r="K91" s="2" t="n">
        <f>485847</f>
        <v>485847.0</v>
      </c>
    </row>
    <row r="92">
      <c r="A92" s="8" t="s">
        <v>46</v>
      </c>
      <c r="B92" s="9" t="s">
        <v>52</v>
      </c>
      <c r="C92" s="9" t="s">
        <v>53</v>
      </c>
      <c r="D92" s="10"/>
      <c r="E92" s="2" t="n">
        <f>94614</f>
        <v>94614.0</v>
      </c>
      <c r="F92" s="10"/>
      <c r="G92" s="2" t="n">
        <f>1753584685920</f>
        <v>1.75358468592E12</v>
      </c>
      <c r="H92" s="10"/>
      <c r="I92" s="2" t="n">
        <f>20766</f>
        <v>20766.0</v>
      </c>
      <c r="J92" s="10"/>
      <c r="K92" s="2" t="n">
        <f>484181</f>
        <v>484181.0</v>
      </c>
    </row>
    <row r="93">
      <c r="A93" s="8" t="s">
        <v>47</v>
      </c>
      <c r="B93" s="9" t="s">
        <v>52</v>
      </c>
      <c r="C93" s="9" t="s">
        <v>53</v>
      </c>
      <c r="D93" s="10"/>
      <c r="E93" s="2" t="n">
        <f>160867</f>
        <v>160867.0</v>
      </c>
      <c r="F93" s="10"/>
      <c r="G93" s="2" t="n">
        <f>2949508075800</f>
        <v>2.9495080758E12</v>
      </c>
      <c r="H93" s="10"/>
      <c r="I93" s="2" t="n">
        <f>35774</f>
        <v>35774.0</v>
      </c>
      <c r="J93" s="10"/>
      <c r="K93" s="2" t="n">
        <f>504389</f>
        <v>504389.0</v>
      </c>
    </row>
    <row r="94">
      <c r="A94" s="8" t="s">
        <v>48</v>
      </c>
      <c r="B94" s="9" t="s">
        <v>52</v>
      </c>
      <c r="C94" s="9" t="s">
        <v>53</v>
      </c>
      <c r="D94" s="10"/>
      <c r="E94" s="2" t="n">
        <f>227034</f>
        <v>227034.0</v>
      </c>
      <c r="F94" s="10"/>
      <c r="G94" s="2" t="n">
        <f>4217696357470</f>
        <v>4.21769635747E12</v>
      </c>
      <c r="H94" s="10"/>
      <c r="I94" s="2" t="n">
        <f>62356</f>
        <v>62356.0</v>
      </c>
      <c r="J94" s="10"/>
      <c r="K94" s="2" t="n">
        <f>546508</f>
        <v>546508.0</v>
      </c>
    </row>
    <row r="95">
      <c r="A95" s="8" t="s">
        <v>49</v>
      </c>
      <c r="B95" s="9" t="s">
        <v>52</v>
      </c>
      <c r="C95" s="9" t="s">
        <v>53</v>
      </c>
      <c r="D95" s="10"/>
      <c r="E95" s="2" t="n">
        <f>122489</f>
        <v>122489.0</v>
      </c>
      <c r="F95" s="10"/>
      <c r="G95" s="2" t="n">
        <f>2259902369700</f>
        <v>2.2599023697E12</v>
      </c>
      <c r="H95" s="10"/>
      <c r="I95" s="2" t="n">
        <f>26355</f>
        <v>26355.0</v>
      </c>
      <c r="J95" s="10"/>
      <c r="K95" s="2" t="n">
        <f>542132</f>
        <v>542132.0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25810</f>
        <v>25810.0</v>
      </c>
      <c r="F96" s="10"/>
      <c r="G96" s="2" t="n">
        <f>50144365620</f>
        <v>5.014436562E10</v>
      </c>
      <c r="H96" s="10"/>
      <c r="I96" s="2" t="n">
        <f>920</f>
        <v>920.0</v>
      </c>
      <c r="J96" s="10"/>
      <c r="K96" s="2" t="n">
        <f>46287</f>
        <v>46287.0</v>
      </c>
    </row>
    <row r="97">
      <c r="A97" s="8" t="s">
        <v>19</v>
      </c>
      <c r="B97" s="9" t="s">
        <v>54</v>
      </c>
      <c r="C97" s="9" t="s">
        <v>55</v>
      </c>
      <c r="D97" s="10"/>
      <c r="E97" s="2" t="n">
        <f>20584</f>
        <v>20584.0</v>
      </c>
      <c r="F97" s="10"/>
      <c r="G97" s="2" t="n">
        <f>39717612510</f>
        <v>3.971761251E10</v>
      </c>
      <c r="H97" s="10"/>
      <c r="I97" s="2" t="n">
        <f>853</f>
        <v>853.0</v>
      </c>
      <c r="J97" s="10"/>
      <c r="K97" s="2" t="n">
        <f>46457</f>
        <v>46457.0</v>
      </c>
    </row>
    <row r="98">
      <c r="A98" s="8" t="s">
        <v>20</v>
      </c>
      <c r="B98" s="9" t="s">
        <v>54</v>
      </c>
      <c r="C98" s="9" t="s">
        <v>55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21</v>
      </c>
      <c r="B99" s="9" t="s">
        <v>54</v>
      </c>
      <c r="C99" s="9" t="s">
        <v>55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22</v>
      </c>
      <c r="B100" s="9" t="s">
        <v>54</v>
      </c>
      <c r="C100" s="9" t="s">
        <v>55</v>
      </c>
      <c r="D100" s="10"/>
      <c r="E100" s="2" t="n">
        <f>35671</f>
        <v>35671.0</v>
      </c>
      <c r="F100" s="10"/>
      <c r="G100" s="2" t="n">
        <f>68620101744</f>
        <v>6.8620101744E10</v>
      </c>
      <c r="H100" s="10"/>
      <c r="I100" s="2" t="n">
        <f>7187</f>
        <v>7187.0</v>
      </c>
      <c r="J100" s="10"/>
      <c r="K100" s="2" t="n">
        <f>51070</f>
        <v>51070.0</v>
      </c>
    </row>
    <row r="101">
      <c r="A101" s="8" t="s">
        <v>23</v>
      </c>
      <c r="B101" s="9" t="s">
        <v>54</v>
      </c>
      <c r="C101" s="9" t="s">
        <v>55</v>
      </c>
      <c r="D101" s="10"/>
      <c r="E101" s="2" t="n">
        <f>40609</f>
        <v>40609.0</v>
      </c>
      <c r="F101" s="10"/>
      <c r="G101" s="2" t="n">
        <f>78087636516</f>
        <v>7.8087636516E10</v>
      </c>
      <c r="H101" s="10" t="s">
        <v>24</v>
      </c>
      <c r="I101" s="2" t="n">
        <f>11329</f>
        <v>11329.0</v>
      </c>
      <c r="J101" s="10" t="s">
        <v>24</v>
      </c>
      <c r="K101" s="2" t="n">
        <f>54098</f>
        <v>54098.0</v>
      </c>
    </row>
    <row r="102">
      <c r="A102" s="8" t="s">
        <v>25</v>
      </c>
      <c r="B102" s="9" t="s">
        <v>54</v>
      </c>
      <c r="C102" s="9" t="s">
        <v>55</v>
      </c>
      <c r="D102" s="10"/>
      <c r="E102" s="2" t="n">
        <f>45667</f>
        <v>45667.0</v>
      </c>
      <c r="F102" s="10"/>
      <c r="G102" s="2" t="n">
        <f>87265757048</f>
        <v>8.7265757048E10</v>
      </c>
      <c r="H102" s="10"/>
      <c r="I102" s="2" t="n">
        <f>7221</f>
        <v>7221.0</v>
      </c>
      <c r="J102" s="10"/>
      <c r="K102" s="2" t="n">
        <f>53637</f>
        <v>53637.0</v>
      </c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25141</f>
        <v>25141.0</v>
      </c>
      <c r="F103" s="10"/>
      <c r="G103" s="2" t="n">
        <f>48454494550</f>
        <v>4.845449455E10</v>
      </c>
      <c r="H103" s="10"/>
      <c r="I103" s="2" t="n">
        <f>1088</f>
        <v>1088.0</v>
      </c>
      <c r="J103" s="10"/>
      <c r="K103" s="2" t="n">
        <f>52227</f>
        <v>52227.0</v>
      </c>
    </row>
    <row r="104">
      <c r="A104" s="8" t="s">
        <v>27</v>
      </c>
      <c r="B104" s="9" t="s">
        <v>54</v>
      </c>
      <c r="C104" s="9" t="s">
        <v>55</v>
      </c>
      <c r="D104" s="10"/>
      <c r="E104" s="2" t="n">
        <f>24742</f>
        <v>24742.0</v>
      </c>
      <c r="F104" s="10"/>
      <c r="G104" s="2" t="n">
        <f>48009319920</f>
        <v>4.800931992E10</v>
      </c>
      <c r="H104" s="10"/>
      <c r="I104" s="2" t="n">
        <f>1048</f>
        <v>1048.0</v>
      </c>
      <c r="J104" s="10"/>
      <c r="K104" s="2" t="n">
        <f>53191</f>
        <v>53191.0</v>
      </c>
    </row>
    <row r="105">
      <c r="A105" s="8" t="s">
        <v>28</v>
      </c>
      <c r="B105" s="9" t="s">
        <v>54</v>
      </c>
      <c r="C105" s="9" t="s">
        <v>55</v>
      </c>
      <c r="D105" s="10"/>
      <c r="E105" s="2"/>
      <c r="F105" s="10"/>
      <c r="G105" s="2"/>
      <c r="H105" s="10"/>
      <c r="I105" s="2"/>
      <c r="J105" s="10"/>
      <c r="K105" s="2"/>
    </row>
    <row r="106">
      <c r="A106" s="8" t="s">
        <v>29</v>
      </c>
      <c r="B106" s="9" t="s">
        <v>54</v>
      </c>
      <c r="C106" s="9" t="s">
        <v>55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30</v>
      </c>
      <c r="B107" s="9" t="s">
        <v>54</v>
      </c>
      <c r="C107" s="9" t="s">
        <v>55</v>
      </c>
      <c r="D107" s="10"/>
      <c r="E107" s="2" t="n">
        <f>17292</f>
        <v>17292.0</v>
      </c>
      <c r="F107" s="10"/>
      <c r="G107" s="2" t="n">
        <f>33842764130</f>
        <v>3.384276413E10</v>
      </c>
      <c r="H107" s="10"/>
      <c r="I107" s="2" t="n">
        <f>844</f>
        <v>844.0</v>
      </c>
      <c r="J107" s="10"/>
      <c r="K107" s="2" t="n">
        <f>27822</f>
        <v>27822.0</v>
      </c>
    </row>
    <row r="108">
      <c r="A108" s="8" t="s">
        <v>32</v>
      </c>
      <c r="B108" s="9" t="s">
        <v>54</v>
      </c>
      <c r="C108" s="9" t="s">
        <v>55</v>
      </c>
      <c r="D108" s="10" t="s">
        <v>31</v>
      </c>
      <c r="E108" s="2" t="n">
        <f>15414</f>
        <v>15414.0</v>
      </c>
      <c r="F108" s="10" t="s">
        <v>31</v>
      </c>
      <c r="G108" s="2" t="n">
        <f>30270768780</f>
        <v>3.027076878E10</v>
      </c>
      <c r="H108" s="10" t="s">
        <v>31</v>
      </c>
      <c r="I108" s="2" t="n">
        <f>416</f>
        <v>416.0</v>
      </c>
      <c r="J108" s="10" t="s">
        <v>31</v>
      </c>
      <c r="K108" s="2" t="n">
        <f>27807</f>
        <v>27807.0</v>
      </c>
    </row>
    <row r="109">
      <c r="A109" s="8" t="s">
        <v>33</v>
      </c>
      <c r="B109" s="9" t="s">
        <v>54</v>
      </c>
      <c r="C109" s="9" t="s">
        <v>55</v>
      </c>
      <c r="D109" s="10"/>
      <c r="E109" s="2" t="n">
        <f>33915</f>
        <v>33915.0</v>
      </c>
      <c r="F109" s="10"/>
      <c r="G109" s="2" t="n">
        <f>65562125400</f>
        <v>6.55621254E10</v>
      </c>
      <c r="H109" s="10"/>
      <c r="I109" s="2" t="n">
        <f>984</f>
        <v>984.0</v>
      </c>
      <c r="J109" s="10"/>
      <c r="K109" s="2" t="n">
        <f>29247</f>
        <v>29247.0</v>
      </c>
    </row>
    <row r="110">
      <c r="A110" s="8" t="s">
        <v>34</v>
      </c>
      <c r="B110" s="9" t="s">
        <v>54</v>
      </c>
      <c r="C110" s="9" t="s">
        <v>55</v>
      </c>
      <c r="D110" s="10"/>
      <c r="E110" s="2" t="n">
        <f>18014</f>
        <v>18014.0</v>
      </c>
      <c r="F110" s="10"/>
      <c r="G110" s="2" t="n">
        <f>34779059650</f>
        <v>3.477905965E10</v>
      </c>
      <c r="H110" s="10"/>
      <c r="I110" s="2" t="n">
        <f>743</f>
        <v>743.0</v>
      </c>
      <c r="J110" s="10"/>
      <c r="K110" s="2" t="n">
        <f>29544</f>
        <v>29544.0</v>
      </c>
    </row>
    <row r="111">
      <c r="A111" s="8" t="s">
        <v>35</v>
      </c>
      <c r="B111" s="9" t="s">
        <v>54</v>
      </c>
      <c r="C111" s="9" t="s">
        <v>55</v>
      </c>
      <c r="D111" s="10"/>
      <c r="E111" s="2" t="n">
        <f>21173</f>
        <v>21173.0</v>
      </c>
      <c r="F111" s="10"/>
      <c r="G111" s="2" t="n">
        <f>40689304190</f>
        <v>4.068930419E10</v>
      </c>
      <c r="H111" s="10"/>
      <c r="I111" s="2" t="n">
        <f>1656</f>
        <v>1656.0</v>
      </c>
      <c r="J111" s="10"/>
      <c r="K111" s="2" t="n">
        <f>30464</f>
        <v>30464.0</v>
      </c>
    </row>
    <row r="112">
      <c r="A112" s="8" t="s">
        <v>36</v>
      </c>
      <c r="B112" s="9" t="s">
        <v>54</v>
      </c>
      <c r="C112" s="9" t="s">
        <v>55</v>
      </c>
      <c r="D112" s="10"/>
      <c r="E112" s="2"/>
      <c r="F112" s="10"/>
      <c r="G112" s="2"/>
      <c r="H112" s="10"/>
      <c r="I112" s="2"/>
      <c r="J112" s="10"/>
      <c r="K112" s="2"/>
    </row>
    <row r="113">
      <c r="A113" s="8" t="s">
        <v>37</v>
      </c>
      <c r="B113" s="9" t="s">
        <v>54</v>
      </c>
      <c r="C113" s="9" t="s">
        <v>55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38</v>
      </c>
      <c r="B114" s="9" t="s">
        <v>54</v>
      </c>
      <c r="C114" s="9" t="s">
        <v>55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39</v>
      </c>
      <c r="B115" s="9" t="s">
        <v>54</v>
      </c>
      <c r="C115" s="9" t="s">
        <v>55</v>
      </c>
      <c r="D115" s="10"/>
      <c r="E115" s="2" t="n">
        <f>19702</f>
        <v>19702.0</v>
      </c>
      <c r="F115" s="10"/>
      <c r="G115" s="2" t="n">
        <f>37913449400</f>
        <v>3.79134494E10</v>
      </c>
      <c r="H115" s="10"/>
      <c r="I115" s="2" t="n">
        <f>671</f>
        <v>671.0</v>
      </c>
      <c r="J115" s="10"/>
      <c r="K115" s="2" t="n">
        <f>30146</f>
        <v>30146.0</v>
      </c>
    </row>
    <row r="116">
      <c r="A116" s="8" t="s">
        <v>40</v>
      </c>
      <c r="B116" s="9" t="s">
        <v>54</v>
      </c>
      <c r="C116" s="9" t="s">
        <v>55</v>
      </c>
      <c r="D116" s="10"/>
      <c r="E116" s="2" t="n">
        <f>24879</f>
        <v>24879.0</v>
      </c>
      <c r="F116" s="10"/>
      <c r="G116" s="2" t="n">
        <f>47494105820</f>
        <v>4.749410582E10</v>
      </c>
      <c r="H116" s="10"/>
      <c r="I116" s="2" t="n">
        <f>923</f>
        <v>923.0</v>
      </c>
      <c r="J116" s="10"/>
      <c r="K116" s="2" t="n">
        <f>32947</f>
        <v>32947.0</v>
      </c>
    </row>
    <row r="117">
      <c r="A117" s="8" t="s">
        <v>41</v>
      </c>
      <c r="B117" s="9" t="s">
        <v>54</v>
      </c>
      <c r="C117" s="9" t="s">
        <v>55</v>
      </c>
      <c r="D117" s="10"/>
      <c r="E117" s="2" t="n">
        <f>29009</f>
        <v>29009.0</v>
      </c>
      <c r="F117" s="10"/>
      <c r="G117" s="2" t="n">
        <f>55002113500</f>
        <v>5.50021135E10</v>
      </c>
      <c r="H117" s="10"/>
      <c r="I117" s="2" t="n">
        <f>917</f>
        <v>917.0</v>
      </c>
      <c r="J117" s="10"/>
      <c r="K117" s="2" t="n">
        <f>33759</f>
        <v>33759.0</v>
      </c>
    </row>
    <row r="118">
      <c r="A118" s="8" t="s">
        <v>42</v>
      </c>
      <c r="B118" s="9" t="s">
        <v>54</v>
      </c>
      <c r="C118" s="9" t="s">
        <v>55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43</v>
      </c>
      <c r="B119" s="9" t="s">
        <v>54</v>
      </c>
      <c r="C119" s="9" t="s">
        <v>55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44</v>
      </c>
      <c r="B120" s="9" t="s">
        <v>54</v>
      </c>
      <c r="C120" s="9" t="s">
        <v>55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45</v>
      </c>
      <c r="B121" s="9" t="s">
        <v>54</v>
      </c>
      <c r="C121" s="9" t="s">
        <v>55</v>
      </c>
      <c r="D121" s="10" t="s">
        <v>24</v>
      </c>
      <c r="E121" s="2" t="n">
        <f>51304</f>
        <v>51304.0</v>
      </c>
      <c r="F121" s="10" t="s">
        <v>24</v>
      </c>
      <c r="G121" s="2" t="n">
        <f>95771349790</f>
        <v>9.577134979E10</v>
      </c>
      <c r="H121" s="10"/>
      <c r="I121" s="2" t="n">
        <f>1336</f>
        <v>1336.0</v>
      </c>
      <c r="J121" s="10"/>
      <c r="K121" s="2" t="n">
        <f>37767</f>
        <v>37767.0</v>
      </c>
    </row>
    <row r="122">
      <c r="A122" s="8" t="s">
        <v>46</v>
      </c>
      <c r="B122" s="9" t="s">
        <v>54</v>
      </c>
      <c r="C122" s="9" t="s">
        <v>55</v>
      </c>
      <c r="D122" s="10"/>
      <c r="E122" s="2" t="n">
        <f>27530</f>
        <v>27530.0</v>
      </c>
      <c r="F122" s="10"/>
      <c r="G122" s="2" t="n">
        <f>51025028330</f>
        <v>5.102502833E10</v>
      </c>
      <c r="H122" s="10"/>
      <c r="I122" s="2" t="n">
        <f>1122</f>
        <v>1122.0</v>
      </c>
      <c r="J122" s="10"/>
      <c r="K122" s="2" t="n">
        <f>39286</f>
        <v>39286.0</v>
      </c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46283</f>
        <v>46283.0</v>
      </c>
      <c r="F123" s="10"/>
      <c r="G123" s="2" t="n">
        <f>84895884700</f>
        <v>8.48958847E10</v>
      </c>
      <c r="H123" s="10"/>
      <c r="I123" s="2" t="n">
        <f>4435</f>
        <v>4435.0</v>
      </c>
      <c r="J123" s="10"/>
      <c r="K123" s="2" t="n">
        <f>41669</f>
        <v>41669.0</v>
      </c>
    </row>
    <row r="124">
      <c r="A124" s="8" t="s">
        <v>48</v>
      </c>
      <c r="B124" s="9" t="s">
        <v>54</v>
      </c>
      <c r="C124" s="9" t="s">
        <v>55</v>
      </c>
      <c r="D124" s="10"/>
      <c r="E124" s="2" t="n">
        <f>50128</f>
        <v>50128.0</v>
      </c>
      <c r="F124" s="10"/>
      <c r="G124" s="2" t="n">
        <f>93117969950</f>
        <v>9.311796995E10</v>
      </c>
      <c r="H124" s="10"/>
      <c r="I124" s="2" t="n">
        <f>2768</f>
        <v>2768.0</v>
      </c>
      <c r="J124" s="10"/>
      <c r="K124" s="2" t="n">
        <f>41905</f>
        <v>41905.0</v>
      </c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33477</f>
        <v>33477.0</v>
      </c>
      <c r="F125" s="10"/>
      <c r="G125" s="2" t="n">
        <f>61818454500</f>
        <v>6.18184545E10</v>
      </c>
      <c r="H125" s="10"/>
      <c r="I125" s="2" t="n">
        <f>1306</f>
        <v>1306.0</v>
      </c>
      <c r="J125" s="10"/>
      <c r="K125" s="2" t="n">
        <f>43264</f>
        <v>43264.0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7146</f>
        <v>7146.0</v>
      </c>
      <c r="F126" s="10"/>
      <c r="G126" s="2" t="n">
        <f>12499142000</f>
        <v>1.2499142E10</v>
      </c>
      <c r="H126" s="10"/>
      <c r="I126" s="2" t="n">
        <f>231</f>
        <v>231.0</v>
      </c>
      <c r="J126" s="10"/>
      <c r="K126" s="2" t="n">
        <f>56207</f>
        <v>56207.0</v>
      </c>
    </row>
    <row r="127">
      <c r="A127" s="8" t="s">
        <v>19</v>
      </c>
      <c r="B127" s="9" t="s">
        <v>56</v>
      </c>
      <c r="C127" s="9" t="s">
        <v>57</v>
      </c>
      <c r="D127" s="10" t="s">
        <v>31</v>
      </c>
      <c r="E127" s="2" t="n">
        <f>5102</f>
        <v>5102.0</v>
      </c>
      <c r="F127" s="10" t="s">
        <v>31</v>
      </c>
      <c r="G127" s="2" t="n">
        <f>8867344000</f>
        <v>8.867344E9</v>
      </c>
      <c r="H127" s="10"/>
      <c r="I127" s="2" t="n">
        <f>545</f>
        <v>545.0</v>
      </c>
      <c r="J127" s="10" t="s">
        <v>31</v>
      </c>
      <c r="K127" s="2" t="n">
        <f>56104</f>
        <v>56104.0</v>
      </c>
    </row>
    <row r="128">
      <c r="A128" s="8" t="s">
        <v>20</v>
      </c>
      <c r="B128" s="9" t="s">
        <v>56</v>
      </c>
      <c r="C128" s="9" t="s">
        <v>57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21</v>
      </c>
      <c r="B129" s="9" t="s">
        <v>56</v>
      </c>
      <c r="C129" s="9" t="s">
        <v>57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22</v>
      </c>
      <c r="B130" s="9" t="s">
        <v>56</v>
      </c>
      <c r="C130" s="9" t="s">
        <v>57</v>
      </c>
      <c r="D130" s="10"/>
      <c r="E130" s="2" t="n">
        <f>11203</f>
        <v>11203.0</v>
      </c>
      <c r="F130" s="10"/>
      <c r="G130" s="2" t="n">
        <f>19408236400</f>
        <v>1.94082364E10</v>
      </c>
      <c r="H130" s="10"/>
      <c r="I130" s="2" t="n">
        <f>319</f>
        <v>319.0</v>
      </c>
      <c r="J130" s="10"/>
      <c r="K130" s="2" t="n">
        <f>57225</f>
        <v>57225.0</v>
      </c>
    </row>
    <row r="131">
      <c r="A131" s="8" t="s">
        <v>23</v>
      </c>
      <c r="B131" s="9" t="s">
        <v>56</v>
      </c>
      <c r="C131" s="9" t="s">
        <v>57</v>
      </c>
      <c r="D131" s="10"/>
      <c r="E131" s="2" t="n">
        <f>49766</f>
        <v>49766.0</v>
      </c>
      <c r="F131" s="10"/>
      <c r="G131" s="2" t="n">
        <f>86178608760</f>
        <v>8.617860876E10</v>
      </c>
      <c r="H131" s="10" t="s">
        <v>24</v>
      </c>
      <c r="I131" s="2" t="n">
        <f>6207</f>
        <v>6207.0</v>
      </c>
      <c r="J131" s="10"/>
      <c r="K131" s="2" t="n">
        <f>63087</f>
        <v>63087.0</v>
      </c>
    </row>
    <row r="132">
      <c r="A132" s="8" t="s">
        <v>25</v>
      </c>
      <c r="B132" s="9" t="s">
        <v>56</v>
      </c>
      <c r="C132" s="9" t="s">
        <v>57</v>
      </c>
      <c r="D132" s="10" t="s">
        <v>24</v>
      </c>
      <c r="E132" s="2" t="n">
        <f>70361</f>
        <v>70361.0</v>
      </c>
      <c r="F132" s="10" t="s">
        <v>24</v>
      </c>
      <c r="G132" s="2" t="n">
        <f>120906720050</f>
        <v>1.2090672005E11</v>
      </c>
      <c r="H132" s="10"/>
      <c r="I132" s="2" t="n">
        <f>5173</f>
        <v>5173.0</v>
      </c>
      <c r="J132" s="10"/>
      <c r="K132" s="2" t="n">
        <f>69599</f>
        <v>69599.0</v>
      </c>
    </row>
    <row r="133">
      <c r="A133" s="8" t="s">
        <v>26</v>
      </c>
      <c r="B133" s="9" t="s">
        <v>56</v>
      </c>
      <c r="C133" s="9" t="s">
        <v>57</v>
      </c>
      <c r="D133" s="10"/>
      <c r="E133" s="2" t="n">
        <f>20074</f>
        <v>20074.0</v>
      </c>
      <c r="F133" s="10"/>
      <c r="G133" s="2" t="n">
        <f>34901182150</f>
        <v>3.490118215E10</v>
      </c>
      <c r="H133" s="10"/>
      <c r="I133" s="2" t="n">
        <f>266</f>
        <v>266.0</v>
      </c>
      <c r="J133" s="10"/>
      <c r="K133" s="2" t="n">
        <f>77812</f>
        <v>77812.0</v>
      </c>
    </row>
    <row r="134">
      <c r="A134" s="8" t="s">
        <v>27</v>
      </c>
      <c r="B134" s="9" t="s">
        <v>56</v>
      </c>
      <c r="C134" s="9" t="s">
        <v>57</v>
      </c>
      <c r="D134" s="10"/>
      <c r="E134" s="2" t="n">
        <f>8804</f>
        <v>8804.0</v>
      </c>
      <c r="F134" s="10"/>
      <c r="G134" s="2" t="n">
        <f>15418842500</f>
        <v>1.54188425E10</v>
      </c>
      <c r="H134" s="10"/>
      <c r="I134" s="2" t="n">
        <f>813</f>
        <v>813.0</v>
      </c>
      <c r="J134" s="10"/>
      <c r="K134" s="2" t="n">
        <f>78683</f>
        <v>78683.0</v>
      </c>
    </row>
    <row r="135">
      <c r="A135" s="8" t="s">
        <v>28</v>
      </c>
      <c r="B135" s="9" t="s">
        <v>56</v>
      </c>
      <c r="C135" s="9" t="s">
        <v>57</v>
      </c>
      <c r="D135" s="10"/>
      <c r="E135" s="2"/>
      <c r="F135" s="10"/>
      <c r="G135" s="2"/>
      <c r="H135" s="10"/>
      <c r="I135" s="2"/>
      <c r="J135" s="10"/>
      <c r="K135" s="2"/>
    </row>
    <row r="136">
      <c r="A136" s="8" t="s">
        <v>29</v>
      </c>
      <c r="B136" s="9" t="s">
        <v>56</v>
      </c>
      <c r="C136" s="9" t="s">
        <v>57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30</v>
      </c>
      <c r="B137" s="9" t="s">
        <v>56</v>
      </c>
      <c r="C137" s="9" t="s">
        <v>57</v>
      </c>
      <c r="D137" s="10"/>
      <c r="E137" s="2" t="n">
        <f>5657</f>
        <v>5657.0</v>
      </c>
      <c r="F137" s="10"/>
      <c r="G137" s="2" t="n">
        <f>9987185500</f>
        <v>9.9871855E9</v>
      </c>
      <c r="H137" s="10"/>
      <c r="I137" s="2" t="n">
        <f>217</f>
        <v>217.0</v>
      </c>
      <c r="J137" s="10"/>
      <c r="K137" s="2" t="n">
        <f>57484</f>
        <v>57484.0</v>
      </c>
    </row>
    <row r="138">
      <c r="A138" s="8" t="s">
        <v>32</v>
      </c>
      <c r="B138" s="9" t="s">
        <v>56</v>
      </c>
      <c r="C138" s="9" t="s">
        <v>57</v>
      </c>
      <c r="D138" s="10"/>
      <c r="E138" s="2" t="n">
        <f>6750</f>
        <v>6750.0</v>
      </c>
      <c r="F138" s="10"/>
      <c r="G138" s="2" t="n">
        <f>11952025500</f>
        <v>1.19520255E10</v>
      </c>
      <c r="H138" s="10"/>
      <c r="I138" s="2" t="n">
        <f>1469</f>
        <v>1469.0</v>
      </c>
      <c r="J138" s="10"/>
      <c r="K138" s="2" t="n">
        <f>58812</f>
        <v>58812.0</v>
      </c>
    </row>
    <row r="139">
      <c r="A139" s="8" t="s">
        <v>33</v>
      </c>
      <c r="B139" s="9" t="s">
        <v>56</v>
      </c>
      <c r="C139" s="9" t="s">
        <v>57</v>
      </c>
      <c r="D139" s="10"/>
      <c r="E139" s="2" t="n">
        <f>7731</f>
        <v>7731.0</v>
      </c>
      <c r="F139" s="10"/>
      <c r="G139" s="2" t="n">
        <f>13476772500</f>
        <v>1.34767725E10</v>
      </c>
      <c r="H139" s="10"/>
      <c r="I139" s="2" t="n">
        <f>229</f>
        <v>229.0</v>
      </c>
      <c r="J139" s="10"/>
      <c r="K139" s="2" t="n">
        <f>58348</f>
        <v>58348.0</v>
      </c>
    </row>
    <row r="140">
      <c r="A140" s="8" t="s">
        <v>34</v>
      </c>
      <c r="B140" s="9" t="s">
        <v>56</v>
      </c>
      <c r="C140" s="9" t="s">
        <v>57</v>
      </c>
      <c r="D140" s="10"/>
      <c r="E140" s="2" t="n">
        <f>6102</f>
        <v>6102.0</v>
      </c>
      <c r="F140" s="10"/>
      <c r="G140" s="2" t="n">
        <f>10604881500</f>
        <v>1.06048815E10</v>
      </c>
      <c r="H140" s="10"/>
      <c r="I140" s="2" t="n">
        <f>159</f>
        <v>159.0</v>
      </c>
      <c r="J140" s="10"/>
      <c r="K140" s="2" t="n">
        <f>58950</f>
        <v>58950.0</v>
      </c>
    </row>
    <row r="141">
      <c r="A141" s="8" t="s">
        <v>35</v>
      </c>
      <c r="B141" s="9" t="s">
        <v>56</v>
      </c>
      <c r="C141" s="9" t="s">
        <v>57</v>
      </c>
      <c r="D141" s="10"/>
      <c r="E141" s="2" t="n">
        <f>5700</f>
        <v>5700.0</v>
      </c>
      <c r="F141" s="10"/>
      <c r="G141" s="2" t="n">
        <f>9848880296</f>
        <v>9.848880296E9</v>
      </c>
      <c r="H141" s="10" t="s">
        <v>31</v>
      </c>
      <c r="I141" s="2" t="n">
        <f>51</f>
        <v>51.0</v>
      </c>
      <c r="J141" s="10"/>
      <c r="K141" s="2" t="n">
        <f>59531</f>
        <v>59531.0</v>
      </c>
    </row>
    <row r="142">
      <c r="A142" s="8" t="s">
        <v>36</v>
      </c>
      <c r="B142" s="9" t="s">
        <v>56</v>
      </c>
      <c r="C142" s="9" t="s">
        <v>57</v>
      </c>
      <c r="D142" s="10"/>
      <c r="E142" s="2"/>
      <c r="F142" s="10"/>
      <c r="G142" s="2"/>
      <c r="H142" s="10"/>
      <c r="I142" s="2"/>
      <c r="J142" s="10"/>
      <c r="K142" s="2"/>
    </row>
    <row r="143">
      <c r="A143" s="8" t="s">
        <v>37</v>
      </c>
      <c r="B143" s="9" t="s">
        <v>56</v>
      </c>
      <c r="C143" s="9" t="s">
        <v>57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38</v>
      </c>
      <c r="B144" s="9" t="s">
        <v>56</v>
      </c>
      <c r="C144" s="9" t="s">
        <v>57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39</v>
      </c>
      <c r="B145" s="9" t="s">
        <v>56</v>
      </c>
      <c r="C145" s="9" t="s">
        <v>57</v>
      </c>
      <c r="D145" s="10"/>
      <c r="E145" s="2" t="n">
        <f>6221</f>
        <v>6221.0</v>
      </c>
      <c r="F145" s="10"/>
      <c r="G145" s="2" t="n">
        <f>10772681500</f>
        <v>1.07726815E10</v>
      </c>
      <c r="H145" s="10"/>
      <c r="I145" s="2" t="n">
        <f>115</f>
        <v>115.0</v>
      </c>
      <c r="J145" s="10"/>
      <c r="K145" s="2" t="n">
        <f>60974</f>
        <v>60974.0</v>
      </c>
    </row>
    <row r="146">
      <c r="A146" s="8" t="s">
        <v>40</v>
      </c>
      <c r="B146" s="9" t="s">
        <v>56</v>
      </c>
      <c r="C146" s="9" t="s">
        <v>57</v>
      </c>
      <c r="D146" s="10"/>
      <c r="E146" s="2" t="n">
        <f>6394</f>
        <v>6394.0</v>
      </c>
      <c r="F146" s="10"/>
      <c r="G146" s="2" t="n">
        <f>10972163000</f>
        <v>1.0972163E10</v>
      </c>
      <c r="H146" s="10"/>
      <c r="I146" s="2" t="n">
        <f>94</f>
        <v>94.0</v>
      </c>
      <c r="J146" s="10"/>
      <c r="K146" s="2" t="n">
        <f>61729</f>
        <v>61729.0</v>
      </c>
    </row>
    <row r="147">
      <c r="A147" s="8" t="s">
        <v>41</v>
      </c>
      <c r="B147" s="9" t="s">
        <v>56</v>
      </c>
      <c r="C147" s="9" t="s">
        <v>57</v>
      </c>
      <c r="D147" s="10"/>
      <c r="E147" s="2" t="n">
        <f>10037</f>
        <v>10037.0</v>
      </c>
      <c r="F147" s="10"/>
      <c r="G147" s="2" t="n">
        <f>17084282500</f>
        <v>1.70842825E10</v>
      </c>
      <c r="H147" s="10"/>
      <c r="I147" s="2" t="n">
        <f>675</f>
        <v>675.0</v>
      </c>
      <c r="J147" s="10"/>
      <c r="K147" s="2" t="n">
        <f>62850</f>
        <v>62850.0</v>
      </c>
    </row>
    <row r="148">
      <c r="A148" s="8" t="s">
        <v>42</v>
      </c>
      <c r="B148" s="9" t="s">
        <v>56</v>
      </c>
      <c r="C148" s="9" t="s">
        <v>57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43</v>
      </c>
      <c r="B149" s="9" t="s">
        <v>56</v>
      </c>
      <c r="C149" s="9" t="s">
        <v>57</v>
      </c>
      <c r="D149" s="10"/>
      <c r="E149" s="2"/>
      <c r="F149" s="10"/>
      <c r="G149" s="2"/>
      <c r="H149" s="10"/>
      <c r="I149" s="2"/>
      <c r="J149" s="10"/>
      <c r="K149" s="2"/>
    </row>
    <row r="150">
      <c r="A150" s="8" t="s">
        <v>44</v>
      </c>
      <c r="B150" s="9" t="s">
        <v>56</v>
      </c>
      <c r="C150" s="9" t="s">
        <v>57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45</v>
      </c>
      <c r="B151" s="9" t="s">
        <v>56</v>
      </c>
      <c r="C151" s="9" t="s">
        <v>57</v>
      </c>
      <c r="D151" s="10"/>
      <c r="E151" s="2" t="n">
        <f>15061</f>
        <v>15061.0</v>
      </c>
      <c r="F151" s="10"/>
      <c r="G151" s="2" t="n">
        <f>25206633000</f>
        <v>2.5206633E10</v>
      </c>
      <c r="H151" s="10"/>
      <c r="I151" s="2" t="n">
        <f>514</f>
        <v>514.0</v>
      </c>
      <c r="J151" s="10"/>
      <c r="K151" s="2" t="n">
        <f>62369</f>
        <v>62369.0</v>
      </c>
    </row>
    <row r="152">
      <c r="A152" s="8" t="s">
        <v>46</v>
      </c>
      <c r="B152" s="9" t="s">
        <v>56</v>
      </c>
      <c r="C152" s="9" t="s">
        <v>57</v>
      </c>
      <c r="D152" s="10"/>
      <c r="E152" s="2" t="n">
        <f>13305</f>
        <v>13305.0</v>
      </c>
      <c r="F152" s="10"/>
      <c r="G152" s="2" t="n">
        <f>22148444728</f>
        <v>2.2148444728E10</v>
      </c>
      <c r="H152" s="10"/>
      <c r="I152" s="2" t="n">
        <f>658</f>
        <v>658.0</v>
      </c>
      <c r="J152" s="10"/>
      <c r="K152" s="2" t="n">
        <f>63130</f>
        <v>63130.0</v>
      </c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25922</f>
        <v>25922.0</v>
      </c>
      <c r="F153" s="10"/>
      <c r="G153" s="2" t="n">
        <f>42652431776</f>
        <v>4.2652431776E10</v>
      </c>
      <c r="H153" s="10"/>
      <c r="I153" s="2" t="n">
        <f>1520</f>
        <v>1520.0</v>
      </c>
      <c r="J153" s="10"/>
      <c r="K153" s="2" t="n">
        <f>69513</f>
        <v>69513.0</v>
      </c>
    </row>
    <row r="154">
      <c r="A154" s="8" t="s">
        <v>48</v>
      </c>
      <c r="B154" s="9" t="s">
        <v>56</v>
      </c>
      <c r="C154" s="9" t="s">
        <v>57</v>
      </c>
      <c r="D154" s="10"/>
      <c r="E154" s="2" t="n">
        <f>38566</f>
        <v>38566.0</v>
      </c>
      <c r="F154" s="10"/>
      <c r="G154" s="2" t="n">
        <f>64152276413</f>
        <v>6.4152276413E10</v>
      </c>
      <c r="H154" s="10"/>
      <c r="I154" s="2" t="n">
        <f>5130</f>
        <v>5130.0</v>
      </c>
      <c r="J154" s="10"/>
      <c r="K154" s="2" t="n">
        <f>79497</f>
        <v>79497.0</v>
      </c>
    </row>
    <row r="155">
      <c r="A155" s="8" t="s">
        <v>49</v>
      </c>
      <c r="B155" s="9" t="s">
        <v>56</v>
      </c>
      <c r="C155" s="9" t="s">
        <v>57</v>
      </c>
      <c r="D155" s="10"/>
      <c r="E155" s="2" t="n">
        <f>12628</f>
        <v>12628.0</v>
      </c>
      <c r="F155" s="10"/>
      <c r="G155" s="2" t="n">
        <f>20892932000</f>
        <v>2.0892932E10</v>
      </c>
      <c r="H155" s="10"/>
      <c r="I155" s="2" t="n">
        <f>384</f>
        <v>384.0</v>
      </c>
      <c r="J155" s="10" t="s">
        <v>24</v>
      </c>
      <c r="K155" s="2" t="n">
        <f>79519</f>
        <v>79519.0</v>
      </c>
    </row>
    <row r="156">
      <c r="A156" s="8" t="s">
        <v>16</v>
      </c>
      <c r="B156" s="9" t="s">
        <v>58</v>
      </c>
      <c r="C156" s="9" t="s">
        <v>59</v>
      </c>
      <c r="D156" s="10" t="s">
        <v>31</v>
      </c>
      <c r="E156" s="2" t="str">
        <f>"－"</f>
        <v>－</v>
      </c>
      <c r="F156" s="10" t="s">
        <v>31</v>
      </c>
      <c r="G156" s="2" t="str">
        <f>"－"</f>
        <v>－</v>
      </c>
      <c r="H156" s="10" t="s">
        <v>60</v>
      </c>
      <c r="I156" s="2" t="str">
        <f>"－"</f>
        <v>－</v>
      </c>
      <c r="J156" s="10"/>
      <c r="K156" s="2" t="n">
        <f>54</f>
        <v>54.0</v>
      </c>
    </row>
    <row r="157">
      <c r="A157" s="8" t="s">
        <v>19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54</f>
        <v>54.0</v>
      </c>
    </row>
    <row r="158">
      <c r="A158" s="8" t="s">
        <v>20</v>
      </c>
      <c r="B158" s="9" t="s">
        <v>58</v>
      </c>
      <c r="C158" s="9" t="s">
        <v>59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21</v>
      </c>
      <c r="B159" s="9" t="s">
        <v>58</v>
      </c>
      <c r="C159" s="9" t="s">
        <v>59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22</v>
      </c>
      <c r="B160" s="9" t="s">
        <v>58</v>
      </c>
      <c r="C160" s="9" t="s">
        <v>59</v>
      </c>
      <c r="D160" s="10"/>
      <c r="E160" s="2" t="str">
        <f>"－"</f>
        <v>－</v>
      </c>
      <c r="F160" s="10"/>
      <c r="G160" s="2" t="str">
        <f>"－"</f>
        <v>－</v>
      </c>
      <c r="H160" s="10"/>
      <c r="I160" s="2" t="str">
        <f>"－"</f>
        <v>－</v>
      </c>
      <c r="J160" s="10"/>
      <c r="K160" s="2" t="n">
        <f>54</f>
        <v>54.0</v>
      </c>
    </row>
    <row r="161">
      <c r="A161" s="8" t="s">
        <v>23</v>
      </c>
      <c r="B161" s="9" t="s">
        <v>58</v>
      </c>
      <c r="C161" s="9" t="s">
        <v>59</v>
      </c>
      <c r="D161" s="10" t="s">
        <v>24</v>
      </c>
      <c r="E161" s="2" t="n">
        <f>86</f>
        <v>86.0</v>
      </c>
      <c r="F161" s="10" t="s">
        <v>24</v>
      </c>
      <c r="G161" s="2" t="n">
        <f>80569100</f>
        <v>8.05691E7</v>
      </c>
      <c r="H161" s="10"/>
      <c r="I161" s="2" t="str">
        <f>"－"</f>
        <v>－</v>
      </c>
      <c r="J161" s="10"/>
      <c r="K161" s="2" t="n">
        <f>54</f>
        <v>54.0</v>
      </c>
    </row>
    <row r="162">
      <c r="A162" s="8" t="s">
        <v>25</v>
      </c>
      <c r="B162" s="9" t="s">
        <v>58</v>
      </c>
      <c r="C162" s="9" t="s">
        <v>59</v>
      </c>
      <c r="D162" s="10"/>
      <c r="E162" s="2" t="n">
        <f>11</f>
        <v>11.0</v>
      </c>
      <c r="F162" s="10"/>
      <c r="G162" s="2" t="n">
        <f>10160500</f>
        <v>1.01605E7</v>
      </c>
      <c r="H162" s="10"/>
      <c r="I162" s="2" t="str">
        <f>"－"</f>
        <v>－</v>
      </c>
      <c r="J162" s="10"/>
      <c r="K162" s="2" t="n">
        <f>53</f>
        <v>53.0</v>
      </c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53</f>
        <v>53.0</v>
      </c>
    </row>
    <row r="164">
      <c r="A164" s="8" t="s">
        <v>27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53</f>
        <v>53.0</v>
      </c>
    </row>
    <row r="165">
      <c r="A165" s="8" t="s">
        <v>28</v>
      </c>
      <c r="B165" s="9" t="s">
        <v>58</v>
      </c>
      <c r="C165" s="9" t="s">
        <v>59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29</v>
      </c>
      <c r="B166" s="9" t="s">
        <v>58</v>
      </c>
      <c r="C166" s="9" t="s">
        <v>59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30</v>
      </c>
      <c r="B167" s="9" t="s">
        <v>58</v>
      </c>
      <c r="C167" s="9" t="s">
        <v>59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 t="s">
        <v>31</v>
      </c>
      <c r="K167" s="2" t="n">
        <f>43</f>
        <v>43.0</v>
      </c>
    </row>
    <row r="168">
      <c r="A168" s="8" t="s">
        <v>32</v>
      </c>
      <c r="B168" s="9" t="s">
        <v>58</v>
      </c>
      <c r="C168" s="9" t="s">
        <v>59</v>
      </c>
      <c r="D168" s="10"/>
      <c r="E168" s="2" t="n">
        <f>10</f>
        <v>10.0</v>
      </c>
      <c r="F168" s="10"/>
      <c r="G168" s="2" t="n">
        <f>9515000</f>
        <v>9515000.0</v>
      </c>
      <c r="H168" s="10"/>
      <c r="I168" s="2" t="str">
        <f>"－"</f>
        <v>－</v>
      </c>
      <c r="J168" s="10"/>
      <c r="K168" s="2" t="n">
        <f>53</f>
        <v>53.0</v>
      </c>
    </row>
    <row r="169">
      <c r="A169" s="8" t="s">
        <v>33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53</f>
        <v>53.0</v>
      </c>
    </row>
    <row r="170">
      <c r="A170" s="8" t="s">
        <v>34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53</f>
        <v>53.0</v>
      </c>
    </row>
    <row r="171">
      <c r="A171" s="8" t="s">
        <v>35</v>
      </c>
      <c r="B171" s="9" t="s">
        <v>58</v>
      </c>
      <c r="C171" s="9" t="s">
        <v>59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53</f>
        <v>53.0</v>
      </c>
    </row>
    <row r="172">
      <c r="A172" s="8" t="s">
        <v>36</v>
      </c>
      <c r="B172" s="9" t="s">
        <v>58</v>
      </c>
      <c r="C172" s="9" t="s">
        <v>59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37</v>
      </c>
      <c r="B173" s="9" t="s">
        <v>58</v>
      </c>
      <c r="C173" s="9" t="s">
        <v>59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38</v>
      </c>
      <c r="B174" s="9" t="s">
        <v>58</v>
      </c>
      <c r="C174" s="9" t="s">
        <v>59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39</v>
      </c>
      <c r="B175" s="9" t="s">
        <v>58</v>
      </c>
      <c r="C175" s="9" t="s">
        <v>59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53</f>
        <v>53.0</v>
      </c>
    </row>
    <row r="176">
      <c r="A176" s="8" t="s">
        <v>40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53</f>
        <v>53.0</v>
      </c>
    </row>
    <row r="177">
      <c r="A177" s="8" t="s">
        <v>41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53</f>
        <v>53.0</v>
      </c>
    </row>
    <row r="178">
      <c r="A178" s="8" t="s">
        <v>42</v>
      </c>
      <c r="B178" s="9" t="s">
        <v>58</v>
      </c>
      <c r="C178" s="9" t="s">
        <v>59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43</v>
      </c>
      <c r="B179" s="9" t="s">
        <v>58</v>
      </c>
      <c r="C179" s="9" t="s">
        <v>59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44</v>
      </c>
      <c r="B180" s="9" t="s">
        <v>58</v>
      </c>
      <c r="C180" s="9" t="s">
        <v>59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45</v>
      </c>
      <c r="B181" s="9" t="s">
        <v>58</v>
      </c>
      <c r="C181" s="9" t="s">
        <v>59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53</f>
        <v>53.0</v>
      </c>
    </row>
    <row r="182">
      <c r="A182" s="8" t="s">
        <v>46</v>
      </c>
      <c r="B182" s="9" t="s">
        <v>58</v>
      </c>
      <c r="C182" s="9" t="s">
        <v>59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53</f>
        <v>53.0</v>
      </c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53</f>
        <v>53.0</v>
      </c>
    </row>
    <row r="184">
      <c r="A184" s="8" t="s">
        <v>48</v>
      </c>
      <c r="B184" s="9" t="s">
        <v>58</v>
      </c>
      <c r="C184" s="9" t="s">
        <v>59</v>
      </c>
      <c r="D184" s="10"/>
      <c r="E184" s="2" t="n">
        <f>34</f>
        <v>34.0</v>
      </c>
      <c r="F184" s="10"/>
      <c r="G184" s="2" t="n">
        <f>30075380</f>
        <v>3.007538E7</v>
      </c>
      <c r="H184" s="10"/>
      <c r="I184" s="2" t="str">
        <f>"－"</f>
        <v>－</v>
      </c>
      <c r="J184" s="10" t="s">
        <v>24</v>
      </c>
      <c r="K184" s="2" t="n">
        <f>87</f>
        <v>87.0</v>
      </c>
    </row>
    <row r="185">
      <c r="A185" s="8" t="s">
        <v>49</v>
      </c>
      <c r="B185" s="9" t="s">
        <v>58</v>
      </c>
      <c r="C185" s="9" t="s">
        <v>59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87</f>
        <v>87.0</v>
      </c>
    </row>
    <row r="186">
      <c r="A186" s="8" t="s">
        <v>16</v>
      </c>
      <c r="B186" s="9" t="s">
        <v>61</v>
      </c>
      <c r="C186" s="9" t="s">
        <v>62</v>
      </c>
      <c r="D186" s="10" t="s">
        <v>24</v>
      </c>
      <c r="E186" s="2" t="n">
        <f>96000</f>
        <v>96000.0</v>
      </c>
      <c r="F186" s="10" t="s">
        <v>24</v>
      </c>
      <c r="G186" s="2" t="n">
        <f>151948000000</f>
        <v>1.51948E11</v>
      </c>
      <c r="H186" s="10" t="s">
        <v>31</v>
      </c>
      <c r="I186" s="2" t="str">
        <f>"－"</f>
        <v>－</v>
      </c>
      <c r="J186" s="10"/>
      <c r="K186" s="2" t="n">
        <f>81171</f>
        <v>81171.0</v>
      </c>
    </row>
    <row r="187">
      <c r="A187" s="8" t="s">
        <v>19</v>
      </c>
      <c r="B187" s="9" t="s">
        <v>61</v>
      </c>
      <c r="C187" s="9" t="s">
        <v>62</v>
      </c>
      <c r="D187" s="10"/>
      <c r="E187" s="2" t="n">
        <f>3000</f>
        <v>3000.0</v>
      </c>
      <c r="F187" s="10"/>
      <c r="G187" s="2" t="n">
        <f>4795500000</f>
        <v>4.7955E9</v>
      </c>
      <c r="H187" s="10"/>
      <c r="I187" s="2" t="str">
        <f>"－"</f>
        <v>－</v>
      </c>
      <c r="J187" s="10"/>
      <c r="K187" s="2" t="n">
        <f>78171</f>
        <v>78171.0</v>
      </c>
    </row>
    <row r="188">
      <c r="A188" s="8" t="s">
        <v>20</v>
      </c>
      <c r="B188" s="9" t="s">
        <v>61</v>
      </c>
      <c r="C188" s="9" t="s">
        <v>62</v>
      </c>
      <c r="D188" s="10"/>
      <c r="E188" s="2"/>
      <c r="F188" s="10"/>
      <c r="G188" s="2"/>
      <c r="H188" s="10"/>
      <c r="I188" s="2"/>
      <c r="J188" s="10"/>
      <c r="K188" s="2"/>
    </row>
    <row r="189">
      <c r="A189" s="8" t="s">
        <v>21</v>
      </c>
      <c r="B189" s="9" t="s">
        <v>61</v>
      </c>
      <c r="C189" s="9" t="s">
        <v>62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22</v>
      </c>
      <c r="B190" s="9" t="s">
        <v>61</v>
      </c>
      <c r="C190" s="9" t="s">
        <v>62</v>
      </c>
      <c r="D190" s="10" t="s">
        <v>31</v>
      </c>
      <c r="E190" s="2" t="str">
        <f>"－"</f>
        <v>－</v>
      </c>
      <c r="F190" s="10" t="s">
        <v>31</v>
      </c>
      <c r="G190" s="2" t="str">
        <f>"－"</f>
        <v>－</v>
      </c>
      <c r="H190" s="10"/>
      <c r="I190" s="2" t="str">
        <f>"－"</f>
        <v>－</v>
      </c>
      <c r="J190" s="10"/>
      <c r="K190" s="2" t="n">
        <f>78171</f>
        <v>78171.0</v>
      </c>
    </row>
    <row r="191">
      <c r="A191" s="8" t="s">
        <v>23</v>
      </c>
      <c r="B191" s="9" t="s">
        <v>61</v>
      </c>
      <c r="C191" s="9" t="s">
        <v>62</v>
      </c>
      <c r="D191" s="10"/>
      <c r="E191" s="2" t="n">
        <f>29151</f>
        <v>29151.0</v>
      </c>
      <c r="F191" s="10"/>
      <c r="G191" s="2" t="n">
        <f>46069869400</f>
        <v>4.60698694E10</v>
      </c>
      <c r="H191" s="10"/>
      <c r="I191" s="2" t="n">
        <f>230</f>
        <v>230.0</v>
      </c>
      <c r="J191" s="10" t="s">
        <v>24</v>
      </c>
      <c r="K191" s="2" t="n">
        <f>84424</f>
        <v>84424.0</v>
      </c>
    </row>
    <row r="192">
      <c r="A192" s="8" t="s">
        <v>25</v>
      </c>
      <c r="B192" s="9" t="s">
        <v>61</v>
      </c>
      <c r="C192" s="9" t="s">
        <v>62</v>
      </c>
      <c r="D192" s="10"/>
      <c r="E192" s="2" t="n">
        <f>8404</f>
        <v>8404.0</v>
      </c>
      <c r="F192" s="10"/>
      <c r="G192" s="2" t="n">
        <f>13290208000</f>
        <v>1.3290208E10</v>
      </c>
      <c r="H192" s="10"/>
      <c r="I192" s="2" t="n">
        <f>284</f>
        <v>284.0</v>
      </c>
      <c r="J192" s="10"/>
      <c r="K192" s="2" t="n">
        <f>72937</f>
        <v>72937.0</v>
      </c>
    </row>
    <row r="193">
      <c r="A193" s="8" t="s">
        <v>26</v>
      </c>
      <c r="B193" s="9" t="s">
        <v>61</v>
      </c>
      <c r="C193" s="9" t="s">
        <v>62</v>
      </c>
      <c r="D193" s="10"/>
      <c r="E193" s="2" t="n">
        <f>4505</f>
        <v>4505.0</v>
      </c>
      <c r="F193" s="10"/>
      <c r="G193" s="2" t="n">
        <f>7285486000</f>
        <v>7.285486E9</v>
      </c>
      <c r="H193" s="10"/>
      <c r="I193" s="2" t="str">
        <f>"－"</f>
        <v>－</v>
      </c>
      <c r="J193" s="10"/>
      <c r="K193" s="2" t="n">
        <f>68290</f>
        <v>68290.0</v>
      </c>
    </row>
    <row r="194">
      <c r="A194" s="8" t="s">
        <v>27</v>
      </c>
      <c r="B194" s="9" t="s">
        <v>61</v>
      </c>
      <c r="C194" s="9" t="s">
        <v>62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68290</f>
        <v>68290.0</v>
      </c>
    </row>
    <row r="195">
      <c r="A195" s="8" t="s">
        <v>28</v>
      </c>
      <c r="B195" s="9" t="s">
        <v>61</v>
      </c>
      <c r="C195" s="9" t="s">
        <v>62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29</v>
      </c>
      <c r="B196" s="9" t="s">
        <v>61</v>
      </c>
      <c r="C196" s="9" t="s">
        <v>62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30</v>
      </c>
      <c r="B197" s="9" t="s">
        <v>61</v>
      </c>
      <c r="C197" s="9" t="s">
        <v>62</v>
      </c>
      <c r="D197" s="10"/>
      <c r="E197" s="2" t="n">
        <f>890</f>
        <v>890.0</v>
      </c>
      <c r="F197" s="10"/>
      <c r="G197" s="2" t="n">
        <f>1414477000</f>
        <v>1.414477E9</v>
      </c>
      <c r="H197" s="10" t="s">
        <v>24</v>
      </c>
      <c r="I197" s="2" t="n">
        <f>890</f>
        <v>890.0</v>
      </c>
      <c r="J197" s="10" t="s">
        <v>31</v>
      </c>
      <c r="K197" s="2" t="n">
        <f>61387</f>
        <v>61387.0</v>
      </c>
    </row>
    <row r="198">
      <c r="A198" s="8" t="s">
        <v>32</v>
      </c>
      <c r="B198" s="9" t="s">
        <v>61</v>
      </c>
      <c r="C198" s="9" t="s">
        <v>62</v>
      </c>
      <c r="D198" s="10"/>
      <c r="E198" s="2" t="n">
        <f>10</f>
        <v>10.0</v>
      </c>
      <c r="F198" s="10"/>
      <c r="G198" s="2" t="n">
        <f>15950000</f>
        <v>1.595E7</v>
      </c>
      <c r="H198" s="10"/>
      <c r="I198" s="2" t="str">
        <f>"－"</f>
        <v>－</v>
      </c>
      <c r="J198" s="10"/>
      <c r="K198" s="2" t="n">
        <f>61397</f>
        <v>61397.0</v>
      </c>
    </row>
    <row r="199">
      <c r="A199" s="8" t="s">
        <v>33</v>
      </c>
      <c r="B199" s="9" t="s">
        <v>61</v>
      </c>
      <c r="C199" s="9" t="s">
        <v>62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61397</f>
        <v>61397.0</v>
      </c>
    </row>
    <row r="200">
      <c r="A200" s="8" t="s">
        <v>34</v>
      </c>
      <c r="B200" s="9" t="s">
        <v>61</v>
      </c>
      <c r="C200" s="9" t="s">
        <v>62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61397</f>
        <v>61397.0</v>
      </c>
    </row>
    <row r="201">
      <c r="A201" s="8" t="s">
        <v>35</v>
      </c>
      <c r="B201" s="9" t="s">
        <v>61</v>
      </c>
      <c r="C201" s="9" t="s">
        <v>62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61397</f>
        <v>61397.0</v>
      </c>
    </row>
    <row r="202">
      <c r="A202" s="8" t="s">
        <v>36</v>
      </c>
      <c r="B202" s="9" t="s">
        <v>61</v>
      </c>
      <c r="C202" s="9" t="s">
        <v>62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37</v>
      </c>
      <c r="B203" s="9" t="s">
        <v>61</v>
      </c>
      <c r="C203" s="9" t="s">
        <v>62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38</v>
      </c>
      <c r="B204" s="9" t="s">
        <v>61</v>
      </c>
      <c r="C204" s="9" t="s">
        <v>62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39</v>
      </c>
      <c r="B205" s="9" t="s">
        <v>61</v>
      </c>
      <c r="C205" s="9" t="s">
        <v>62</v>
      </c>
      <c r="D205" s="10"/>
      <c r="E205" s="2" t="n">
        <f>6392</f>
        <v>6392.0</v>
      </c>
      <c r="F205" s="10"/>
      <c r="G205" s="2" t="n">
        <f>10355766288</f>
        <v>1.0355766288E10</v>
      </c>
      <c r="H205" s="10"/>
      <c r="I205" s="2" t="n">
        <f>138</f>
        <v>138.0</v>
      </c>
      <c r="J205" s="10"/>
      <c r="K205" s="2" t="n">
        <f>67789</f>
        <v>67789.0</v>
      </c>
    </row>
    <row r="206">
      <c r="A206" s="8" t="s">
        <v>40</v>
      </c>
      <c r="B206" s="9" t="s">
        <v>61</v>
      </c>
      <c r="C206" s="9" t="s">
        <v>62</v>
      </c>
      <c r="D206" s="10"/>
      <c r="E206" s="2" t="n">
        <f>3363</f>
        <v>3363.0</v>
      </c>
      <c r="F206" s="10"/>
      <c r="G206" s="2" t="n">
        <f>5455330806</f>
        <v>5.455330806E9</v>
      </c>
      <c r="H206" s="10"/>
      <c r="I206" s="2" t="n">
        <f>136</f>
        <v>136.0</v>
      </c>
      <c r="J206" s="10"/>
      <c r="K206" s="2" t="n">
        <f>71152</f>
        <v>71152.0</v>
      </c>
    </row>
    <row r="207">
      <c r="A207" s="8" t="s">
        <v>41</v>
      </c>
      <c r="B207" s="9" t="s">
        <v>61</v>
      </c>
      <c r="C207" s="9" t="s">
        <v>62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71152</f>
        <v>71152.0</v>
      </c>
    </row>
    <row r="208">
      <c r="A208" s="8" t="s">
        <v>42</v>
      </c>
      <c r="B208" s="9" t="s">
        <v>61</v>
      </c>
      <c r="C208" s="9" t="s">
        <v>62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43</v>
      </c>
      <c r="B209" s="9" t="s">
        <v>61</v>
      </c>
      <c r="C209" s="9" t="s">
        <v>62</v>
      </c>
      <c r="D209" s="10"/>
      <c r="E209" s="2"/>
      <c r="F209" s="10"/>
      <c r="G209" s="2"/>
      <c r="H209" s="10"/>
      <c r="I209" s="2"/>
      <c r="J209" s="10"/>
      <c r="K209" s="2"/>
    </row>
    <row r="210">
      <c r="A210" s="8" t="s">
        <v>44</v>
      </c>
      <c r="B210" s="9" t="s">
        <v>61</v>
      </c>
      <c r="C210" s="9" t="s">
        <v>62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45</v>
      </c>
      <c r="B211" s="9" t="s">
        <v>61</v>
      </c>
      <c r="C211" s="9" t="s">
        <v>62</v>
      </c>
      <c r="D211" s="10"/>
      <c r="E211" s="2" t="n">
        <f>274</f>
        <v>274.0</v>
      </c>
      <c r="F211" s="10"/>
      <c r="G211" s="2" t="n">
        <f>427434246</f>
        <v>4.27434246E8</v>
      </c>
      <c r="H211" s="10"/>
      <c r="I211" s="2" t="n">
        <f>274</f>
        <v>274.0</v>
      </c>
      <c r="J211" s="10"/>
      <c r="K211" s="2" t="n">
        <f>71152</f>
        <v>71152.0</v>
      </c>
    </row>
    <row r="212">
      <c r="A212" s="8" t="s">
        <v>46</v>
      </c>
      <c r="B212" s="9" t="s">
        <v>61</v>
      </c>
      <c r="C212" s="9" t="s">
        <v>62</v>
      </c>
      <c r="D212" s="10"/>
      <c r="E212" s="2" t="n">
        <f>10</f>
        <v>10.0</v>
      </c>
      <c r="F212" s="10"/>
      <c r="G212" s="2" t="n">
        <f>15650000</f>
        <v>1.565E7</v>
      </c>
      <c r="H212" s="10"/>
      <c r="I212" s="2" t="str">
        <f>"－"</f>
        <v>－</v>
      </c>
      <c r="J212" s="10"/>
      <c r="K212" s="2" t="n">
        <f>70888</f>
        <v>70888.0</v>
      </c>
    </row>
    <row r="213">
      <c r="A213" s="8" t="s">
        <v>47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70888</f>
        <v>70888.0</v>
      </c>
    </row>
    <row r="214">
      <c r="A214" s="8" t="s">
        <v>48</v>
      </c>
      <c r="B214" s="9" t="s">
        <v>61</v>
      </c>
      <c r="C214" s="9" t="s">
        <v>62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70888</f>
        <v>70888.0</v>
      </c>
    </row>
    <row r="215">
      <c r="A215" s="8" t="s">
        <v>49</v>
      </c>
      <c r="B215" s="9" t="s">
        <v>61</v>
      </c>
      <c r="C215" s="9" t="s">
        <v>62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70888</f>
        <v>70888.0</v>
      </c>
    </row>
    <row r="216">
      <c r="A216" s="8" t="s">
        <v>16</v>
      </c>
      <c r="B216" s="9" t="s">
        <v>63</v>
      </c>
      <c r="C216" s="9" t="s">
        <v>64</v>
      </c>
      <c r="D216" s="10"/>
      <c r="E216" s="2" t="n">
        <f>6162</f>
        <v>6162.0</v>
      </c>
      <c r="F216" s="10"/>
      <c r="G216" s="2" t="n">
        <f>12362876240</f>
        <v>1.236287624E10</v>
      </c>
      <c r="H216" s="10"/>
      <c r="I216" s="2" t="n">
        <f>20</f>
        <v>20.0</v>
      </c>
      <c r="J216" s="10"/>
      <c r="K216" s="2" t="n">
        <f>66340</f>
        <v>66340.0</v>
      </c>
    </row>
    <row r="217">
      <c r="A217" s="8" t="s">
        <v>19</v>
      </c>
      <c r="B217" s="9" t="s">
        <v>63</v>
      </c>
      <c r="C217" s="9" t="s">
        <v>64</v>
      </c>
      <c r="D217" s="10"/>
      <c r="E217" s="2" t="n">
        <f>50746</f>
        <v>50746.0</v>
      </c>
      <c r="F217" s="10"/>
      <c r="G217" s="2" t="n">
        <f>102012194820</f>
        <v>1.0201219482E11</v>
      </c>
      <c r="H217" s="10" t="s">
        <v>31</v>
      </c>
      <c r="I217" s="2" t="str">
        <f>"－"</f>
        <v>－</v>
      </c>
      <c r="J217" s="10" t="s">
        <v>24</v>
      </c>
      <c r="K217" s="2" t="n">
        <f>82007</f>
        <v>82007.0</v>
      </c>
    </row>
    <row r="218">
      <c r="A218" s="8" t="s">
        <v>20</v>
      </c>
      <c r="B218" s="9" t="s">
        <v>63</v>
      </c>
      <c r="C218" s="9" t="s">
        <v>64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21</v>
      </c>
      <c r="B219" s="9" t="s">
        <v>63</v>
      </c>
      <c r="C219" s="9" t="s">
        <v>64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22</v>
      </c>
      <c r="B220" s="9" t="s">
        <v>63</v>
      </c>
      <c r="C220" s="9" t="s">
        <v>64</v>
      </c>
      <c r="D220" s="10"/>
      <c r="E220" s="2" t="n">
        <f>32272</f>
        <v>32272.0</v>
      </c>
      <c r="F220" s="10"/>
      <c r="G220" s="2" t="n">
        <f>65014700750</f>
        <v>6.501470075E10</v>
      </c>
      <c r="H220" s="10"/>
      <c r="I220" s="2" t="str">
        <f>"－"</f>
        <v>－</v>
      </c>
      <c r="J220" s="10"/>
      <c r="K220" s="2" t="n">
        <f>80680</f>
        <v>80680.0</v>
      </c>
    </row>
    <row r="221">
      <c r="A221" s="8" t="s">
        <v>23</v>
      </c>
      <c r="B221" s="9" t="s">
        <v>63</v>
      </c>
      <c r="C221" s="9" t="s">
        <v>64</v>
      </c>
      <c r="D221" s="10" t="s">
        <v>24</v>
      </c>
      <c r="E221" s="2" t="n">
        <f>73217</f>
        <v>73217.0</v>
      </c>
      <c r="F221" s="10" t="s">
        <v>24</v>
      </c>
      <c r="G221" s="2" t="n">
        <f>147449600010</f>
        <v>1.4744960001E11</v>
      </c>
      <c r="H221" s="10" t="s">
        <v>24</v>
      </c>
      <c r="I221" s="2" t="n">
        <f>4936</f>
        <v>4936.0</v>
      </c>
      <c r="J221" s="10"/>
      <c r="K221" s="2" t="n">
        <f>78352</f>
        <v>78352.0</v>
      </c>
    </row>
    <row r="222">
      <c r="A222" s="8" t="s">
        <v>25</v>
      </c>
      <c r="B222" s="9" t="s">
        <v>63</v>
      </c>
      <c r="C222" s="9" t="s">
        <v>64</v>
      </c>
      <c r="D222" s="10"/>
      <c r="E222" s="2" t="n">
        <f>23051</f>
        <v>23051.0</v>
      </c>
      <c r="F222" s="10"/>
      <c r="G222" s="2" t="n">
        <f>46495551230</f>
        <v>4.649555123E10</v>
      </c>
      <c r="H222" s="10"/>
      <c r="I222" s="2" t="n">
        <f>474</f>
        <v>474.0</v>
      </c>
      <c r="J222" s="10"/>
      <c r="K222" s="2" t="n">
        <f>79053</f>
        <v>79053.0</v>
      </c>
    </row>
    <row r="223">
      <c r="A223" s="8" t="s">
        <v>26</v>
      </c>
      <c r="B223" s="9" t="s">
        <v>63</v>
      </c>
      <c r="C223" s="9" t="s">
        <v>64</v>
      </c>
      <c r="D223" s="10"/>
      <c r="E223" s="2" t="n">
        <f>2042</f>
        <v>2042.0</v>
      </c>
      <c r="F223" s="10"/>
      <c r="G223" s="2" t="n">
        <f>4115434420</f>
        <v>4.11543442E9</v>
      </c>
      <c r="H223" s="10"/>
      <c r="I223" s="2" t="n">
        <f>18</f>
        <v>18.0</v>
      </c>
      <c r="J223" s="10"/>
      <c r="K223" s="2" t="n">
        <f>78863</f>
        <v>78863.0</v>
      </c>
    </row>
    <row r="224">
      <c r="A224" s="8" t="s">
        <v>27</v>
      </c>
      <c r="B224" s="9" t="s">
        <v>63</v>
      </c>
      <c r="C224" s="9" t="s">
        <v>64</v>
      </c>
      <c r="D224" s="10"/>
      <c r="E224" s="2" t="n">
        <f>260</f>
        <v>260.0</v>
      </c>
      <c r="F224" s="10"/>
      <c r="G224" s="2" t="n">
        <f>520358850</f>
        <v>5.2035885E8</v>
      </c>
      <c r="H224" s="10"/>
      <c r="I224" s="2" t="str">
        <f>"－"</f>
        <v>－</v>
      </c>
      <c r="J224" s="10"/>
      <c r="K224" s="2" t="n">
        <f>78971</f>
        <v>78971.0</v>
      </c>
    </row>
    <row r="225">
      <c r="A225" s="8" t="s">
        <v>28</v>
      </c>
      <c r="B225" s="9" t="s">
        <v>63</v>
      </c>
      <c r="C225" s="9" t="s">
        <v>64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29</v>
      </c>
      <c r="B226" s="9" t="s">
        <v>63</v>
      </c>
      <c r="C226" s="9" t="s">
        <v>64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30</v>
      </c>
      <c r="B227" s="9" t="s">
        <v>63</v>
      </c>
      <c r="C227" s="9" t="s">
        <v>64</v>
      </c>
      <c r="D227" s="10"/>
      <c r="E227" s="2" t="n">
        <f>406</f>
        <v>406.0</v>
      </c>
      <c r="F227" s="10"/>
      <c r="G227" s="2" t="n">
        <f>820113500</f>
        <v>8.201135E8</v>
      </c>
      <c r="H227" s="10"/>
      <c r="I227" s="2" t="n">
        <f>274</f>
        <v>274.0</v>
      </c>
      <c r="J227" s="10"/>
      <c r="K227" s="2" t="n">
        <f>62064</f>
        <v>62064.0</v>
      </c>
    </row>
    <row r="228">
      <c r="A228" s="8" t="s">
        <v>32</v>
      </c>
      <c r="B228" s="9" t="s">
        <v>63</v>
      </c>
      <c r="C228" s="9" t="s">
        <v>64</v>
      </c>
      <c r="D228" s="10"/>
      <c r="E228" s="2" t="n">
        <f>1109</f>
        <v>1109.0</v>
      </c>
      <c r="F228" s="10"/>
      <c r="G228" s="2" t="n">
        <f>2243125020</f>
        <v>2.24312502E9</v>
      </c>
      <c r="H228" s="10"/>
      <c r="I228" s="2" t="n">
        <f>290</f>
        <v>290.0</v>
      </c>
      <c r="J228" s="10"/>
      <c r="K228" s="2" t="n">
        <f>61873</f>
        <v>61873.0</v>
      </c>
    </row>
    <row r="229">
      <c r="A229" s="8" t="s">
        <v>33</v>
      </c>
      <c r="B229" s="9" t="s">
        <v>63</v>
      </c>
      <c r="C229" s="9" t="s">
        <v>64</v>
      </c>
      <c r="D229" s="10"/>
      <c r="E229" s="2" t="n">
        <f>514</f>
        <v>514.0</v>
      </c>
      <c r="F229" s="10"/>
      <c r="G229" s="2" t="n">
        <f>1033972500</f>
        <v>1.0339725E9</v>
      </c>
      <c r="H229" s="10"/>
      <c r="I229" s="2" t="n">
        <f>299</f>
        <v>299.0</v>
      </c>
      <c r="J229" s="10"/>
      <c r="K229" s="2" t="n">
        <f>62086</f>
        <v>62086.0</v>
      </c>
    </row>
    <row r="230">
      <c r="A230" s="8" t="s">
        <v>34</v>
      </c>
      <c r="B230" s="9" t="s">
        <v>63</v>
      </c>
      <c r="C230" s="9" t="s">
        <v>64</v>
      </c>
      <c r="D230" s="10"/>
      <c r="E230" s="2" t="n">
        <f>854</f>
        <v>854.0</v>
      </c>
      <c r="F230" s="10"/>
      <c r="G230" s="2" t="n">
        <f>1709522510</f>
        <v>1.70952251E9</v>
      </c>
      <c r="H230" s="10"/>
      <c r="I230" s="2" t="n">
        <f>138</f>
        <v>138.0</v>
      </c>
      <c r="J230" s="10"/>
      <c r="K230" s="2" t="n">
        <f>62248</f>
        <v>62248.0</v>
      </c>
    </row>
    <row r="231">
      <c r="A231" s="8" t="s">
        <v>35</v>
      </c>
      <c r="B231" s="9" t="s">
        <v>63</v>
      </c>
      <c r="C231" s="9" t="s">
        <v>64</v>
      </c>
      <c r="D231" s="10"/>
      <c r="E231" s="2" t="n">
        <f>461</f>
        <v>461.0</v>
      </c>
      <c r="F231" s="10"/>
      <c r="G231" s="2" t="n">
        <f>926063920</f>
        <v>9.2606392E8</v>
      </c>
      <c r="H231" s="10"/>
      <c r="I231" s="2" t="n">
        <f>11</f>
        <v>11.0</v>
      </c>
      <c r="J231" s="10"/>
      <c r="K231" s="2" t="n">
        <f>62299</f>
        <v>62299.0</v>
      </c>
    </row>
    <row r="232">
      <c r="A232" s="8" t="s">
        <v>36</v>
      </c>
      <c r="B232" s="9" t="s">
        <v>63</v>
      </c>
      <c r="C232" s="9" t="s">
        <v>64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37</v>
      </c>
      <c r="B233" s="9" t="s">
        <v>63</v>
      </c>
      <c r="C233" s="9" t="s">
        <v>64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38</v>
      </c>
      <c r="B234" s="9" t="s">
        <v>63</v>
      </c>
      <c r="C234" s="9" t="s">
        <v>64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39</v>
      </c>
      <c r="B235" s="9" t="s">
        <v>63</v>
      </c>
      <c r="C235" s="9" t="s">
        <v>64</v>
      </c>
      <c r="D235" s="10" t="s">
        <v>31</v>
      </c>
      <c r="E235" s="2" t="n">
        <f>238</f>
        <v>238.0</v>
      </c>
      <c r="F235" s="10" t="s">
        <v>31</v>
      </c>
      <c r="G235" s="2" t="n">
        <f>480428000</f>
        <v>4.80428E8</v>
      </c>
      <c r="H235" s="10"/>
      <c r="I235" s="2" t="n">
        <f>5</f>
        <v>5.0</v>
      </c>
      <c r="J235" s="10"/>
      <c r="K235" s="2" t="n">
        <f>62394</f>
        <v>62394.0</v>
      </c>
    </row>
    <row r="236">
      <c r="A236" s="8" t="s">
        <v>40</v>
      </c>
      <c r="B236" s="9" t="s">
        <v>63</v>
      </c>
      <c r="C236" s="9" t="s">
        <v>64</v>
      </c>
      <c r="D236" s="10"/>
      <c r="E236" s="2" t="n">
        <f>264</f>
        <v>264.0</v>
      </c>
      <c r="F236" s="10"/>
      <c r="G236" s="2" t="n">
        <f>529452400</f>
        <v>5.294524E8</v>
      </c>
      <c r="H236" s="10"/>
      <c r="I236" s="2" t="n">
        <f>2</f>
        <v>2.0</v>
      </c>
      <c r="J236" s="10"/>
      <c r="K236" s="2" t="n">
        <f>62437</f>
        <v>62437.0</v>
      </c>
    </row>
    <row r="237">
      <c r="A237" s="8" t="s">
        <v>41</v>
      </c>
      <c r="B237" s="9" t="s">
        <v>63</v>
      </c>
      <c r="C237" s="9" t="s">
        <v>64</v>
      </c>
      <c r="D237" s="10"/>
      <c r="E237" s="2" t="n">
        <f>452</f>
        <v>452.0</v>
      </c>
      <c r="F237" s="10"/>
      <c r="G237" s="2" t="n">
        <f>905646500</f>
        <v>9.056465E8</v>
      </c>
      <c r="H237" s="10"/>
      <c r="I237" s="2" t="n">
        <f>10</f>
        <v>10.0</v>
      </c>
      <c r="J237" s="10"/>
      <c r="K237" s="2" t="n">
        <f>62558</f>
        <v>62558.0</v>
      </c>
    </row>
    <row r="238">
      <c r="A238" s="8" t="s">
        <v>42</v>
      </c>
      <c r="B238" s="9" t="s">
        <v>63</v>
      </c>
      <c r="C238" s="9" t="s">
        <v>64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43</v>
      </c>
      <c r="B239" s="9" t="s">
        <v>63</v>
      </c>
      <c r="C239" s="9" t="s">
        <v>64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44</v>
      </c>
      <c r="B240" s="9" t="s">
        <v>63</v>
      </c>
      <c r="C240" s="9" t="s">
        <v>64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45</v>
      </c>
      <c r="B241" s="9" t="s">
        <v>63</v>
      </c>
      <c r="C241" s="9" t="s">
        <v>64</v>
      </c>
      <c r="D241" s="10"/>
      <c r="E241" s="2" t="n">
        <f>931</f>
        <v>931.0</v>
      </c>
      <c r="F241" s="10"/>
      <c r="G241" s="2" t="n">
        <f>1842318000</f>
        <v>1.842318E9</v>
      </c>
      <c r="H241" s="10"/>
      <c r="I241" s="2" t="n">
        <f>122</f>
        <v>122.0</v>
      </c>
      <c r="J241" s="10"/>
      <c r="K241" s="2" t="n">
        <f>62292</f>
        <v>62292.0</v>
      </c>
    </row>
    <row r="242">
      <c r="A242" s="8" t="s">
        <v>46</v>
      </c>
      <c r="B242" s="9" t="s">
        <v>63</v>
      </c>
      <c r="C242" s="9" t="s">
        <v>64</v>
      </c>
      <c r="D242" s="10"/>
      <c r="E242" s="2" t="n">
        <f>1146</f>
        <v>1146.0</v>
      </c>
      <c r="F242" s="10"/>
      <c r="G242" s="2" t="n">
        <f>2237241250</f>
        <v>2.23724125E9</v>
      </c>
      <c r="H242" s="10"/>
      <c r="I242" s="2" t="n">
        <f>66</f>
        <v>66.0</v>
      </c>
      <c r="J242" s="10"/>
      <c r="K242" s="2" t="n">
        <f>62068</f>
        <v>62068.0</v>
      </c>
    </row>
    <row r="243">
      <c r="A243" s="8" t="s">
        <v>47</v>
      </c>
      <c r="B243" s="9" t="s">
        <v>63</v>
      </c>
      <c r="C243" s="9" t="s">
        <v>64</v>
      </c>
      <c r="D243" s="10"/>
      <c r="E243" s="2" t="n">
        <f>2319</f>
        <v>2319.0</v>
      </c>
      <c r="F243" s="10"/>
      <c r="G243" s="2" t="n">
        <f>4425281960</f>
        <v>4.42528196E9</v>
      </c>
      <c r="H243" s="10"/>
      <c r="I243" s="2" t="str">
        <f>"－"</f>
        <v>－</v>
      </c>
      <c r="J243" s="10"/>
      <c r="K243" s="2" t="n">
        <f>62500</f>
        <v>62500.0</v>
      </c>
    </row>
    <row r="244">
      <c r="A244" s="8" t="s">
        <v>48</v>
      </c>
      <c r="B244" s="9" t="s">
        <v>63</v>
      </c>
      <c r="C244" s="9" t="s">
        <v>64</v>
      </c>
      <c r="D244" s="10"/>
      <c r="E244" s="2" t="n">
        <f>1672</f>
        <v>1672.0</v>
      </c>
      <c r="F244" s="10"/>
      <c r="G244" s="2" t="n">
        <f>3225613230</f>
        <v>3.22561323E9</v>
      </c>
      <c r="H244" s="10"/>
      <c r="I244" s="2" t="n">
        <f>554</f>
        <v>554.0</v>
      </c>
      <c r="J244" s="10"/>
      <c r="K244" s="2" t="n">
        <f>62443</f>
        <v>62443.0</v>
      </c>
    </row>
    <row r="245">
      <c r="A245" s="8" t="s">
        <v>49</v>
      </c>
      <c r="B245" s="9" t="s">
        <v>63</v>
      </c>
      <c r="C245" s="9" t="s">
        <v>64</v>
      </c>
      <c r="D245" s="10"/>
      <c r="E245" s="2" t="n">
        <f>1650</f>
        <v>1650.0</v>
      </c>
      <c r="F245" s="10"/>
      <c r="G245" s="2" t="n">
        <f>3183967760</f>
        <v>3.18396776E9</v>
      </c>
      <c r="H245" s="10"/>
      <c r="I245" s="2" t="n">
        <f>618</f>
        <v>618.0</v>
      </c>
      <c r="J245" s="10" t="s">
        <v>31</v>
      </c>
      <c r="K245" s="2" t="n">
        <f>61775</f>
        <v>61775.0</v>
      </c>
    </row>
    <row r="246">
      <c r="A246" s="8" t="s">
        <v>16</v>
      </c>
      <c r="B246" s="9" t="s">
        <v>65</v>
      </c>
      <c r="C246" s="9" t="s">
        <v>66</v>
      </c>
      <c r="D246" s="10" t="s">
        <v>60</v>
      </c>
      <c r="E246" s="2" t="str">
        <f>"－"</f>
        <v>－</v>
      </c>
      <c r="F246" s="10" t="s">
        <v>60</v>
      </c>
      <c r="G246" s="2" t="str">
        <f>"－"</f>
        <v>－</v>
      </c>
      <c r="H246" s="10" t="s">
        <v>60</v>
      </c>
      <c r="I246" s="2" t="str">
        <f>"－"</f>
        <v>－</v>
      </c>
      <c r="J246" s="10" t="s">
        <v>60</v>
      </c>
      <c r="K246" s="2" t="str">
        <f>"－"</f>
        <v>－</v>
      </c>
    </row>
    <row r="247">
      <c r="A247" s="8" t="s">
        <v>19</v>
      </c>
      <c r="B247" s="9" t="s">
        <v>65</v>
      </c>
      <c r="C247" s="9" t="s">
        <v>66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20</v>
      </c>
      <c r="B248" s="9" t="s">
        <v>65</v>
      </c>
      <c r="C248" s="9" t="s">
        <v>66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21</v>
      </c>
      <c r="B249" s="9" t="s">
        <v>65</v>
      </c>
      <c r="C249" s="9" t="s">
        <v>66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22</v>
      </c>
      <c r="B250" s="9" t="s">
        <v>65</v>
      </c>
      <c r="C250" s="9" t="s">
        <v>66</v>
      </c>
      <c r="D250" s="10"/>
      <c r="E250" s="2" t="str">
        <f>"－"</f>
        <v>－</v>
      </c>
      <c r="F250" s="10"/>
      <c r="G250" s="2" t="str">
        <f>"－"</f>
        <v>－</v>
      </c>
      <c r="H250" s="10"/>
      <c r="I250" s="2" t="str">
        <f>"－"</f>
        <v>－</v>
      </c>
      <c r="J250" s="10"/>
      <c r="K250" s="2" t="str">
        <f>"－"</f>
        <v>－</v>
      </c>
    </row>
    <row r="251">
      <c r="A251" s="8" t="s">
        <v>23</v>
      </c>
      <c r="B251" s="9" t="s">
        <v>65</v>
      </c>
      <c r="C251" s="9" t="s">
        <v>66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25</v>
      </c>
      <c r="B252" s="9" t="s">
        <v>65</v>
      </c>
      <c r="C252" s="9" t="s">
        <v>66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26</v>
      </c>
      <c r="B253" s="9" t="s">
        <v>65</v>
      </c>
      <c r="C253" s="9" t="s">
        <v>66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65</v>
      </c>
      <c r="C254" s="9" t="s">
        <v>66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28</v>
      </c>
      <c r="B255" s="9" t="s">
        <v>65</v>
      </c>
      <c r="C255" s="9" t="s">
        <v>66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29</v>
      </c>
      <c r="B256" s="9" t="s">
        <v>65</v>
      </c>
      <c r="C256" s="9" t="s">
        <v>66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30</v>
      </c>
      <c r="B257" s="9" t="s">
        <v>65</v>
      </c>
      <c r="C257" s="9" t="s">
        <v>66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32</v>
      </c>
      <c r="B258" s="9" t="s">
        <v>65</v>
      </c>
      <c r="C258" s="9" t="s">
        <v>66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33</v>
      </c>
      <c r="B259" s="9" t="s">
        <v>65</v>
      </c>
      <c r="C259" s="9" t="s">
        <v>66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34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35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36</v>
      </c>
      <c r="B262" s="9" t="s">
        <v>65</v>
      </c>
      <c r="C262" s="9" t="s">
        <v>66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37</v>
      </c>
      <c r="B263" s="9" t="s">
        <v>65</v>
      </c>
      <c r="C263" s="9" t="s">
        <v>66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38</v>
      </c>
      <c r="B264" s="9" t="s">
        <v>65</v>
      </c>
      <c r="C264" s="9" t="s">
        <v>66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39</v>
      </c>
      <c r="B265" s="9" t="s">
        <v>65</v>
      </c>
      <c r="C265" s="9" t="s">
        <v>66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40</v>
      </c>
      <c r="B266" s="9" t="s">
        <v>65</v>
      </c>
      <c r="C266" s="9" t="s">
        <v>66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41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42</v>
      </c>
      <c r="B268" s="9" t="s">
        <v>65</v>
      </c>
      <c r="C268" s="9" t="s">
        <v>66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43</v>
      </c>
      <c r="B269" s="9" t="s">
        <v>65</v>
      </c>
      <c r="C269" s="9" t="s">
        <v>66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44</v>
      </c>
      <c r="B270" s="9" t="s">
        <v>65</v>
      </c>
      <c r="C270" s="9" t="s">
        <v>66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45</v>
      </c>
      <c r="B271" s="9" t="s">
        <v>65</v>
      </c>
      <c r="C271" s="9" t="s">
        <v>66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46</v>
      </c>
      <c r="B272" s="9" t="s">
        <v>65</v>
      </c>
      <c r="C272" s="9" t="s">
        <v>66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47</v>
      </c>
      <c r="B273" s="9" t="s">
        <v>65</v>
      </c>
      <c r="C273" s="9" t="s">
        <v>66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65</v>
      </c>
      <c r="C274" s="9" t="s">
        <v>66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49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5843</f>
        <v>5843.0</v>
      </c>
      <c r="F276" s="10"/>
      <c r="G276" s="2" t="n">
        <f>4270475850</f>
        <v>4.27047585E9</v>
      </c>
      <c r="H276" s="10" t="s">
        <v>31</v>
      </c>
      <c r="I276" s="2" t="n">
        <f>295</f>
        <v>295.0</v>
      </c>
      <c r="J276" s="10"/>
      <c r="K276" s="2" t="n">
        <f>35373</f>
        <v>35373.0</v>
      </c>
    </row>
    <row r="277">
      <c r="A277" s="8" t="s">
        <v>19</v>
      </c>
      <c r="B277" s="9" t="s">
        <v>67</v>
      </c>
      <c r="C277" s="9" t="s">
        <v>68</v>
      </c>
      <c r="D277" s="10" t="s">
        <v>24</v>
      </c>
      <c r="E277" s="2" t="n">
        <f>53351</f>
        <v>53351.0</v>
      </c>
      <c r="F277" s="10" t="s">
        <v>24</v>
      </c>
      <c r="G277" s="2" t="n">
        <f>38267449370</f>
        <v>3.826744937E10</v>
      </c>
      <c r="H277" s="10"/>
      <c r="I277" s="2" t="n">
        <f>589</f>
        <v>589.0</v>
      </c>
      <c r="J277" s="10"/>
      <c r="K277" s="2" t="n">
        <f>56776</f>
        <v>56776.0</v>
      </c>
    </row>
    <row r="278">
      <c r="A278" s="8" t="s">
        <v>20</v>
      </c>
      <c r="B278" s="9" t="s">
        <v>67</v>
      </c>
      <c r="C278" s="9" t="s">
        <v>68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21</v>
      </c>
      <c r="B279" s="9" t="s">
        <v>67</v>
      </c>
      <c r="C279" s="9" t="s">
        <v>68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22</v>
      </c>
      <c r="B280" s="9" t="s">
        <v>67</v>
      </c>
      <c r="C280" s="9" t="s">
        <v>68</v>
      </c>
      <c r="D280" s="10"/>
      <c r="E280" s="2" t="n">
        <f>15648</f>
        <v>15648.0</v>
      </c>
      <c r="F280" s="10"/>
      <c r="G280" s="2" t="n">
        <f>11249519420</f>
        <v>1.124951942E10</v>
      </c>
      <c r="H280" s="10"/>
      <c r="I280" s="2" t="n">
        <f>724</f>
        <v>724.0</v>
      </c>
      <c r="J280" s="10" t="s">
        <v>24</v>
      </c>
      <c r="K280" s="2" t="n">
        <f>56920</f>
        <v>56920.0</v>
      </c>
    </row>
    <row r="281">
      <c r="A281" s="8" t="s">
        <v>23</v>
      </c>
      <c r="B281" s="9" t="s">
        <v>67</v>
      </c>
      <c r="C281" s="9" t="s">
        <v>68</v>
      </c>
      <c r="D281" s="10"/>
      <c r="E281" s="2" t="n">
        <f>30750</f>
        <v>30750.0</v>
      </c>
      <c r="F281" s="10"/>
      <c r="G281" s="2" t="n">
        <f>22351151290</f>
        <v>2.235115129E10</v>
      </c>
      <c r="H281" s="10"/>
      <c r="I281" s="2" t="n">
        <f>2644</f>
        <v>2644.0</v>
      </c>
      <c r="J281" s="10"/>
      <c r="K281" s="2" t="n">
        <f>55409</f>
        <v>55409.0</v>
      </c>
    </row>
    <row r="282">
      <c r="A282" s="8" t="s">
        <v>25</v>
      </c>
      <c r="B282" s="9" t="s">
        <v>67</v>
      </c>
      <c r="C282" s="9" t="s">
        <v>68</v>
      </c>
      <c r="D282" s="10"/>
      <c r="E282" s="2" t="n">
        <f>35439</f>
        <v>35439.0</v>
      </c>
      <c r="F282" s="10"/>
      <c r="G282" s="2" t="n">
        <f>25239971490</f>
        <v>2.523997149E10</v>
      </c>
      <c r="H282" s="10" t="s">
        <v>24</v>
      </c>
      <c r="I282" s="2" t="n">
        <f>3373</f>
        <v>3373.0</v>
      </c>
      <c r="J282" s="10"/>
      <c r="K282" s="2" t="n">
        <f>40043</f>
        <v>40043.0</v>
      </c>
    </row>
    <row r="283">
      <c r="A283" s="8" t="s">
        <v>26</v>
      </c>
      <c r="B283" s="9" t="s">
        <v>67</v>
      </c>
      <c r="C283" s="9" t="s">
        <v>68</v>
      </c>
      <c r="D283" s="10"/>
      <c r="E283" s="2" t="n">
        <f>14245</f>
        <v>14245.0</v>
      </c>
      <c r="F283" s="10"/>
      <c r="G283" s="2" t="n">
        <f>10233532660</f>
        <v>1.023353266E10</v>
      </c>
      <c r="H283" s="10"/>
      <c r="I283" s="2" t="n">
        <f>590</f>
        <v>590.0</v>
      </c>
      <c r="J283" s="10"/>
      <c r="K283" s="2" t="n">
        <f>36637</f>
        <v>36637.0</v>
      </c>
    </row>
    <row r="284">
      <c r="A284" s="8" t="s">
        <v>27</v>
      </c>
      <c r="B284" s="9" t="s">
        <v>67</v>
      </c>
      <c r="C284" s="9" t="s">
        <v>68</v>
      </c>
      <c r="D284" s="10"/>
      <c r="E284" s="2" t="n">
        <f>8168</f>
        <v>8168.0</v>
      </c>
      <c r="F284" s="10"/>
      <c r="G284" s="2" t="n">
        <f>5905863960</f>
        <v>5.90586396E9</v>
      </c>
      <c r="H284" s="10"/>
      <c r="I284" s="2" t="n">
        <f>902</f>
        <v>902.0</v>
      </c>
      <c r="J284" s="10"/>
      <c r="K284" s="2" t="n">
        <f>37793</f>
        <v>37793.0</v>
      </c>
    </row>
    <row r="285">
      <c r="A285" s="8" t="s">
        <v>28</v>
      </c>
      <c r="B285" s="9" t="s">
        <v>67</v>
      </c>
      <c r="C285" s="9" t="s">
        <v>68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29</v>
      </c>
      <c r="B286" s="9" t="s">
        <v>67</v>
      </c>
      <c r="C286" s="9" t="s">
        <v>68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30</v>
      </c>
      <c r="B287" s="9" t="s">
        <v>67</v>
      </c>
      <c r="C287" s="9" t="s">
        <v>68</v>
      </c>
      <c r="D287" s="10"/>
      <c r="E287" s="2" t="n">
        <f>4730</f>
        <v>4730.0</v>
      </c>
      <c r="F287" s="10"/>
      <c r="G287" s="2" t="n">
        <f>3490806770</f>
        <v>3.49080677E9</v>
      </c>
      <c r="H287" s="10"/>
      <c r="I287" s="2" t="n">
        <f>702</f>
        <v>702.0</v>
      </c>
      <c r="J287" s="10" t="s">
        <v>31</v>
      </c>
      <c r="K287" s="2" t="n">
        <f>29940</f>
        <v>29940.0</v>
      </c>
    </row>
    <row r="288">
      <c r="A288" s="8" t="s">
        <v>32</v>
      </c>
      <c r="B288" s="9" t="s">
        <v>67</v>
      </c>
      <c r="C288" s="9" t="s">
        <v>68</v>
      </c>
      <c r="D288" s="10" t="s">
        <v>31</v>
      </c>
      <c r="E288" s="2" t="n">
        <f>4594</f>
        <v>4594.0</v>
      </c>
      <c r="F288" s="10" t="s">
        <v>31</v>
      </c>
      <c r="G288" s="2" t="n">
        <f>3417834836</f>
        <v>3.417834836E9</v>
      </c>
      <c r="H288" s="10"/>
      <c r="I288" s="2" t="n">
        <f>858</f>
        <v>858.0</v>
      </c>
      <c r="J288" s="10"/>
      <c r="K288" s="2" t="n">
        <f>30467</f>
        <v>30467.0</v>
      </c>
    </row>
    <row r="289">
      <c r="A289" s="8" t="s">
        <v>33</v>
      </c>
      <c r="B289" s="9" t="s">
        <v>67</v>
      </c>
      <c r="C289" s="9" t="s">
        <v>68</v>
      </c>
      <c r="D289" s="10"/>
      <c r="E289" s="2" t="n">
        <f>11281</f>
        <v>11281.0</v>
      </c>
      <c r="F289" s="10"/>
      <c r="G289" s="2" t="n">
        <f>8202289640</f>
        <v>8.20228964E9</v>
      </c>
      <c r="H289" s="10"/>
      <c r="I289" s="2" t="n">
        <f>671</f>
        <v>671.0</v>
      </c>
      <c r="J289" s="10"/>
      <c r="K289" s="2" t="n">
        <f>32405</f>
        <v>32405.0</v>
      </c>
    </row>
    <row r="290">
      <c r="A290" s="8" t="s">
        <v>34</v>
      </c>
      <c r="B290" s="9" t="s">
        <v>67</v>
      </c>
      <c r="C290" s="9" t="s">
        <v>68</v>
      </c>
      <c r="D290" s="10"/>
      <c r="E290" s="2" t="n">
        <f>8836</f>
        <v>8836.0</v>
      </c>
      <c r="F290" s="10"/>
      <c r="G290" s="2" t="n">
        <f>6566359730</f>
        <v>6.56635973E9</v>
      </c>
      <c r="H290" s="10"/>
      <c r="I290" s="2" t="n">
        <f>1019</f>
        <v>1019.0</v>
      </c>
      <c r="J290" s="10"/>
      <c r="K290" s="2" t="n">
        <f>31882</f>
        <v>31882.0</v>
      </c>
    </row>
    <row r="291">
      <c r="A291" s="8" t="s">
        <v>35</v>
      </c>
      <c r="B291" s="9" t="s">
        <v>67</v>
      </c>
      <c r="C291" s="9" t="s">
        <v>68</v>
      </c>
      <c r="D291" s="10"/>
      <c r="E291" s="2" t="n">
        <f>7171</f>
        <v>7171.0</v>
      </c>
      <c r="F291" s="10"/>
      <c r="G291" s="2" t="n">
        <f>5288188250</f>
        <v>5.28818825E9</v>
      </c>
      <c r="H291" s="10"/>
      <c r="I291" s="2" t="n">
        <f>702</f>
        <v>702.0</v>
      </c>
      <c r="J291" s="10"/>
      <c r="K291" s="2" t="n">
        <f>32143</f>
        <v>32143.0</v>
      </c>
    </row>
    <row r="292">
      <c r="A292" s="8" t="s">
        <v>36</v>
      </c>
      <c r="B292" s="9" t="s">
        <v>67</v>
      </c>
      <c r="C292" s="9" t="s">
        <v>68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37</v>
      </c>
      <c r="B293" s="9" t="s">
        <v>67</v>
      </c>
      <c r="C293" s="9" t="s">
        <v>68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38</v>
      </c>
      <c r="B294" s="9" t="s">
        <v>67</v>
      </c>
      <c r="C294" s="9" t="s">
        <v>68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39</v>
      </c>
      <c r="B295" s="9" t="s">
        <v>67</v>
      </c>
      <c r="C295" s="9" t="s">
        <v>68</v>
      </c>
      <c r="D295" s="10"/>
      <c r="E295" s="2" t="n">
        <f>7590</f>
        <v>7590.0</v>
      </c>
      <c r="F295" s="10"/>
      <c r="G295" s="2" t="n">
        <f>5490273560</f>
        <v>5.49027356E9</v>
      </c>
      <c r="H295" s="10"/>
      <c r="I295" s="2" t="n">
        <f>557</f>
        <v>557.0</v>
      </c>
      <c r="J295" s="10"/>
      <c r="K295" s="2" t="n">
        <f>32511</f>
        <v>32511.0</v>
      </c>
    </row>
    <row r="296">
      <c r="A296" s="8" t="s">
        <v>40</v>
      </c>
      <c r="B296" s="9" t="s">
        <v>67</v>
      </c>
      <c r="C296" s="9" t="s">
        <v>68</v>
      </c>
      <c r="D296" s="10"/>
      <c r="E296" s="2" t="n">
        <f>9217</f>
        <v>9217.0</v>
      </c>
      <c r="F296" s="10"/>
      <c r="G296" s="2" t="n">
        <f>6497953200</f>
        <v>6.4979532E9</v>
      </c>
      <c r="H296" s="10"/>
      <c r="I296" s="2" t="n">
        <f>895</f>
        <v>895.0</v>
      </c>
      <c r="J296" s="10"/>
      <c r="K296" s="2" t="n">
        <f>33339</f>
        <v>33339.0</v>
      </c>
    </row>
    <row r="297">
      <c r="A297" s="8" t="s">
        <v>41</v>
      </c>
      <c r="B297" s="9" t="s">
        <v>67</v>
      </c>
      <c r="C297" s="9" t="s">
        <v>68</v>
      </c>
      <c r="D297" s="10"/>
      <c r="E297" s="2" t="n">
        <f>13049</f>
        <v>13049.0</v>
      </c>
      <c r="F297" s="10"/>
      <c r="G297" s="2" t="n">
        <f>9167368000</f>
        <v>9.167368E9</v>
      </c>
      <c r="H297" s="10"/>
      <c r="I297" s="2" t="n">
        <f>1078</f>
        <v>1078.0</v>
      </c>
      <c r="J297" s="10"/>
      <c r="K297" s="2" t="n">
        <f>34157</f>
        <v>34157.0</v>
      </c>
    </row>
    <row r="298">
      <c r="A298" s="8" t="s">
        <v>42</v>
      </c>
      <c r="B298" s="9" t="s">
        <v>67</v>
      </c>
      <c r="C298" s="9" t="s">
        <v>68</v>
      </c>
      <c r="D298" s="10"/>
      <c r="E298" s="2"/>
      <c r="F298" s="10"/>
      <c r="G298" s="2"/>
      <c r="H298" s="10"/>
      <c r="I298" s="2"/>
      <c r="J298" s="10"/>
      <c r="K298" s="2"/>
    </row>
    <row r="299">
      <c r="A299" s="8" t="s">
        <v>43</v>
      </c>
      <c r="B299" s="9" t="s">
        <v>67</v>
      </c>
      <c r="C299" s="9" t="s">
        <v>68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44</v>
      </c>
      <c r="B300" s="9" t="s">
        <v>67</v>
      </c>
      <c r="C300" s="9" t="s">
        <v>68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45</v>
      </c>
      <c r="B301" s="9" t="s">
        <v>67</v>
      </c>
      <c r="C301" s="9" t="s">
        <v>68</v>
      </c>
      <c r="D301" s="10"/>
      <c r="E301" s="2" t="n">
        <f>10173</f>
        <v>10173.0</v>
      </c>
      <c r="F301" s="10"/>
      <c r="G301" s="2" t="n">
        <f>7048577400</f>
        <v>7.0485774E9</v>
      </c>
      <c r="H301" s="10"/>
      <c r="I301" s="2" t="n">
        <f>1323</f>
        <v>1323.0</v>
      </c>
      <c r="J301" s="10"/>
      <c r="K301" s="2" t="n">
        <f>33925</f>
        <v>33925.0</v>
      </c>
    </row>
    <row r="302">
      <c r="A302" s="8" t="s">
        <v>46</v>
      </c>
      <c r="B302" s="9" t="s">
        <v>67</v>
      </c>
      <c r="C302" s="9" t="s">
        <v>68</v>
      </c>
      <c r="D302" s="10"/>
      <c r="E302" s="2" t="n">
        <f>8582</f>
        <v>8582.0</v>
      </c>
      <c r="F302" s="10"/>
      <c r="G302" s="2" t="n">
        <f>5958567550</f>
        <v>5.95856755E9</v>
      </c>
      <c r="H302" s="10"/>
      <c r="I302" s="2" t="n">
        <f>1138</f>
        <v>1138.0</v>
      </c>
      <c r="J302" s="10"/>
      <c r="K302" s="2" t="n">
        <f>33583</f>
        <v>33583.0</v>
      </c>
    </row>
    <row r="303">
      <c r="A303" s="8" t="s">
        <v>47</v>
      </c>
      <c r="B303" s="9" t="s">
        <v>67</v>
      </c>
      <c r="C303" s="9" t="s">
        <v>68</v>
      </c>
      <c r="D303" s="10"/>
      <c r="E303" s="2" t="n">
        <f>10598</f>
        <v>10598.0</v>
      </c>
      <c r="F303" s="10"/>
      <c r="G303" s="2" t="n">
        <f>7344940010</f>
        <v>7.34494001E9</v>
      </c>
      <c r="H303" s="10"/>
      <c r="I303" s="2" t="n">
        <f>1388</f>
        <v>1388.0</v>
      </c>
      <c r="J303" s="10"/>
      <c r="K303" s="2" t="n">
        <f>33870</f>
        <v>33870.0</v>
      </c>
    </row>
    <row r="304">
      <c r="A304" s="8" t="s">
        <v>48</v>
      </c>
      <c r="B304" s="9" t="s">
        <v>67</v>
      </c>
      <c r="C304" s="9" t="s">
        <v>68</v>
      </c>
      <c r="D304" s="10"/>
      <c r="E304" s="2" t="n">
        <f>8877</f>
        <v>8877.0</v>
      </c>
      <c r="F304" s="10"/>
      <c r="G304" s="2" t="n">
        <f>6202418580</f>
        <v>6.20241858E9</v>
      </c>
      <c r="H304" s="10"/>
      <c r="I304" s="2" t="n">
        <f>1335</f>
        <v>1335.0</v>
      </c>
      <c r="J304" s="10"/>
      <c r="K304" s="2" t="n">
        <f>33587</f>
        <v>33587.0</v>
      </c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8501</f>
        <v>8501.0</v>
      </c>
      <c r="F305" s="10"/>
      <c r="G305" s="2" t="n">
        <f>5881797680</f>
        <v>5.88179768E9</v>
      </c>
      <c r="H305" s="10"/>
      <c r="I305" s="2" t="n">
        <f>618</f>
        <v>618.0</v>
      </c>
      <c r="J305" s="10"/>
      <c r="K305" s="2" t="n">
        <f>33416</f>
        <v>33416.0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2230</f>
        <v>2230.0</v>
      </c>
      <c r="F306" s="10"/>
      <c r="G306" s="2" t="n">
        <f>7043346100</f>
        <v>7.0433461E9</v>
      </c>
      <c r="H306" s="10"/>
      <c r="I306" s="2" t="n">
        <f>342</f>
        <v>342.0</v>
      </c>
      <c r="J306" s="10" t="s">
        <v>31</v>
      </c>
      <c r="K306" s="2" t="n">
        <f>5693</f>
        <v>5693.0</v>
      </c>
    </row>
    <row r="307">
      <c r="A307" s="8" t="s">
        <v>19</v>
      </c>
      <c r="B307" s="9" t="s">
        <v>69</v>
      </c>
      <c r="C307" s="9" t="s">
        <v>70</v>
      </c>
      <c r="D307" s="10"/>
      <c r="E307" s="2" t="n">
        <f>2466</f>
        <v>2466.0</v>
      </c>
      <c r="F307" s="10"/>
      <c r="G307" s="2" t="n">
        <f>7742103200</f>
        <v>7.7421032E9</v>
      </c>
      <c r="H307" s="10"/>
      <c r="I307" s="2" t="n">
        <f>561</f>
        <v>561.0</v>
      </c>
      <c r="J307" s="10"/>
      <c r="K307" s="2" t="n">
        <f>5744</f>
        <v>5744.0</v>
      </c>
    </row>
    <row r="308">
      <c r="A308" s="8" t="s">
        <v>20</v>
      </c>
      <c r="B308" s="9" t="s">
        <v>69</v>
      </c>
      <c r="C308" s="9" t="s">
        <v>70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21</v>
      </c>
      <c r="B309" s="9" t="s">
        <v>69</v>
      </c>
      <c r="C309" s="9" t="s">
        <v>70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22</v>
      </c>
      <c r="B310" s="9" t="s">
        <v>69</v>
      </c>
      <c r="C310" s="9" t="s">
        <v>70</v>
      </c>
      <c r="D310" s="10"/>
      <c r="E310" s="2" t="n">
        <f>2458</f>
        <v>2458.0</v>
      </c>
      <c r="F310" s="10"/>
      <c r="G310" s="2" t="n">
        <f>7783342400</f>
        <v>7.7833424E9</v>
      </c>
      <c r="H310" s="10"/>
      <c r="I310" s="2" t="n">
        <f>612</f>
        <v>612.0</v>
      </c>
      <c r="J310" s="10"/>
      <c r="K310" s="2" t="n">
        <f>5875</f>
        <v>5875.0</v>
      </c>
    </row>
    <row r="311">
      <c r="A311" s="8" t="s">
        <v>23</v>
      </c>
      <c r="B311" s="9" t="s">
        <v>69</v>
      </c>
      <c r="C311" s="9" t="s">
        <v>70</v>
      </c>
      <c r="D311" s="10" t="s">
        <v>31</v>
      </c>
      <c r="E311" s="2" t="n">
        <f>431</f>
        <v>431.0</v>
      </c>
      <c r="F311" s="10" t="s">
        <v>31</v>
      </c>
      <c r="G311" s="2" t="n">
        <f>1354982800</f>
        <v>1.3549828E9</v>
      </c>
      <c r="H311" s="10"/>
      <c r="I311" s="2" t="n">
        <f>113</f>
        <v>113.0</v>
      </c>
      <c r="J311" s="10"/>
      <c r="K311" s="2" t="n">
        <f>5890</f>
        <v>5890.0</v>
      </c>
    </row>
    <row r="312">
      <c r="A312" s="8" t="s">
        <v>25</v>
      </c>
      <c r="B312" s="9" t="s">
        <v>69</v>
      </c>
      <c r="C312" s="9" t="s">
        <v>70</v>
      </c>
      <c r="D312" s="10"/>
      <c r="E312" s="2" t="n">
        <f>2224</f>
        <v>2224.0</v>
      </c>
      <c r="F312" s="10"/>
      <c r="G312" s="2" t="n">
        <f>6941231700</f>
        <v>6.9412317E9</v>
      </c>
      <c r="H312" s="10"/>
      <c r="I312" s="2" t="n">
        <f>453</f>
        <v>453.0</v>
      </c>
      <c r="J312" s="10"/>
      <c r="K312" s="2" t="n">
        <f>5867</f>
        <v>5867.0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1555</f>
        <v>1555.0</v>
      </c>
      <c r="F313" s="10"/>
      <c r="G313" s="2" t="n">
        <f>4877770700</f>
        <v>4.8777707E9</v>
      </c>
      <c r="H313" s="10"/>
      <c r="I313" s="2" t="n">
        <f>295</f>
        <v>295.0</v>
      </c>
      <c r="J313" s="10"/>
      <c r="K313" s="2" t="n">
        <f>5941</f>
        <v>5941.0</v>
      </c>
    </row>
    <row r="314">
      <c r="A314" s="8" t="s">
        <v>27</v>
      </c>
      <c r="B314" s="9" t="s">
        <v>69</v>
      </c>
      <c r="C314" s="9" t="s">
        <v>70</v>
      </c>
      <c r="D314" s="10"/>
      <c r="E314" s="2" t="n">
        <f>1780</f>
        <v>1780.0</v>
      </c>
      <c r="F314" s="10"/>
      <c r="G314" s="2" t="n">
        <f>5627244300</f>
        <v>5.6272443E9</v>
      </c>
      <c r="H314" s="10"/>
      <c r="I314" s="2" t="n">
        <f>304</f>
        <v>304.0</v>
      </c>
      <c r="J314" s="10"/>
      <c r="K314" s="2" t="n">
        <f>6061</f>
        <v>6061.0</v>
      </c>
    </row>
    <row r="315">
      <c r="A315" s="8" t="s">
        <v>28</v>
      </c>
      <c r="B315" s="9" t="s">
        <v>69</v>
      </c>
      <c r="C315" s="9" t="s">
        <v>70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29</v>
      </c>
      <c r="B316" s="9" t="s">
        <v>69</v>
      </c>
      <c r="C316" s="9" t="s">
        <v>70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30</v>
      </c>
      <c r="B317" s="9" t="s">
        <v>69</v>
      </c>
      <c r="C317" s="9" t="s">
        <v>70</v>
      </c>
      <c r="D317" s="10"/>
      <c r="E317" s="2" t="n">
        <f>1363</f>
        <v>1363.0</v>
      </c>
      <c r="F317" s="10"/>
      <c r="G317" s="2" t="n">
        <f>4374302700</f>
        <v>4.3743027E9</v>
      </c>
      <c r="H317" s="10"/>
      <c r="I317" s="2" t="n">
        <f>191</f>
        <v>191.0</v>
      </c>
      <c r="J317" s="10"/>
      <c r="K317" s="2" t="n">
        <f>6061</f>
        <v>6061.0</v>
      </c>
    </row>
    <row r="318">
      <c r="A318" s="8" t="s">
        <v>32</v>
      </c>
      <c r="B318" s="9" t="s">
        <v>69</v>
      </c>
      <c r="C318" s="9" t="s">
        <v>70</v>
      </c>
      <c r="D318" s="10"/>
      <c r="E318" s="2" t="n">
        <f>1437</f>
        <v>1437.0</v>
      </c>
      <c r="F318" s="10"/>
      <c r="G318" s="2" t="n">
        <f>4651340700</f>
        <v>4.6513407E9</v>
      </c>
      <c r="H318" s="10"/>
      <c r="I318" s="2" t="n">
        <f>262</f>
        <v>262.0</v>
      </c>
      <c r="J318" s="10"/>
      <c r="K318" s="2" t="n">
        <f>6131</f>
        <v>6131.0</v>
      </c>
    </row>
    <row r="319">
      <c r="A319" s="8" t="s">
        <v>33</v>
      </c>
      <c r="B319" s="9" t="s">
        <v>69</v>
      </c>
      <c r="C319" s="9" t="s">
        <v>70</v>
      </c>
      <c r="D319" s="10"/>
      <c r="E319" s="2" t="n">
        <f>4938</f>
        <v>4938.0</v>
      </c>
      <c r="F319" s="10"/>
      <c r="G319" s="2" t="n">
        <f>15583859000</f>
        <v>1.5583859E10</v>
      </c>
      <c r="H319" s="10"/>
      <c r="I319" s="2" t="n">
        <f>499</f>
        <v>499.0</v>
      </c>
      <c r="J319" s="10"/>
      <c r="K319" s="2" t="n">
        <f>7265</f>
        <v>7265.0</v>
      </c>
    </row>
    <row r="320">
      <c r="A320" s="8" t="s">
        <v>34</v>
      </c>
      <c r="B320" s="9" t="s">
        <v>69</v>
      </c>
      <c r="C320" s="9" t="s">
        <v>70</v>
      </c>
      <c r="D320" s="10"/>
      <c r="E320" s="2" t="n">
        <f>2318</f>
        <v>2318.0</v>
      </c>
      <c r="F320" s="10"/>
      <c r="G320" s="2" t="n">
        <f>7222719800</f>
        <v>7.2227198E9</v>
      </c>
      <c r="H320" s="10"/>
      <c r="I320" s="2" t="n">
        <f>232</f>
        <v>232.0</v>
      </c>
      <c r="J320" s="10"/>
      <c r="K320" s="2" t="n">
        <f>7332</f>
        <v>7332.0</v>
      </c>
    </row>
    <row r="321">
      <c r="A321" s="8" t="s">
        <v>35</v>
      </c>
      <c r="B321" s="9" t="s">
        <v>69</v>
      </c>
      <c r="C321" s="9" t="s">
        <v>70</v>
      </c>
      <c r="D321" s="10"/>
      <c r="E321" s="2" t="n">
        <f>3319</f>
        <v>3319.0</v>
      </c>
      <c r="F321" s="10"/>
      <c r="G321" s="2" t="n">
        <f>10290327300</f>
        <v>1.02903273E10</v>
      </c>
      <c r="H321" s="10"/>
      <c r="I321" s="2" t="n">
        <f>191</f>
        <v>191.0</v>
      </c>
      <c r="J321" s="10"/>
      <c r="K321" s="2" t="n">
        <f>8011</f>
        <v>8011.0</v>
      </c>
    </row>
    <row r="322">
      <c r="A322" s="8" t="s">
        <v>36</v>
      </c>
      <c r="B322" s="9" t="s">
        <v>69</v>
      </c>
      <c r="C322" s="9" t="s">
        <v>70</v>
      </c>
      <c r="D322" s="10"/>
      <c r="E322" s="2"/>
      <c r="F322" s="10"/>
      <c r="G322" s="2"/>
      <c r="H322" s="10"/>
      <c r="I322" s="2"/>
      <c r="J322" s="10"/>
      <c r="K322" s="2"/>
    </row>
    <row r="323">
      <c r="A323" s="8" t="s">
        <v>37</v>
      </c>
      <c r="B323" s="9" t="s">
        <v>69</v>
      </c>
      <c r="C323" s="9" t="s">
        <v>70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38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39</v>
      </c>
      <c r="B325" s="9" t="s">
        <v>69</v>
      </c>
      <c r="C325" s="9" t="s">
        <v>70</v>
      </c>
      <c r="D325" s="10"/>
      <c r="E325" s="2" t="n">
        <f>4424</f>
        <v>4424.0</v>
      </c>
      <c r="F325" s="10"/>
      <c r="G325" s="2" t="n">
        <f>13686074100</f>
        <v>1.36860741E10</v>
      </c>
      <c r="H325" s="10" t="s">
        <v>31</v>
      </c>
      <c r="I325" s="2" t="str">
        <f>"－"</f>
        <v>－</v>
      </c>
      <c r="J325" s="10" t="s">
        <v>24</v>
      </c>
      <c r="K325" s="2" t="n">
        <f>10718</f>
        <v>10718.0</v>
      </c>
    </row>
    <row r="326">
      <c r="A326" s="8" t="s">
        <v>40</v>
      </c>
      <c r="B326" s="9" t="s">
        <v>69</v>
      </c>
      <c r="C326" s="9" t="s">
        <v>70</v>
      </c>
      <c r="D326" s="10"/>
      <c r="E326" s="2" t="n">
        <f>5251</f>
        <v>5251.0</v>
      </c>
      <c r="F326" s="10"/>
      <c r="G326" s="2" t="n">
        <f>16203757200</f>
        <v>1.62037572E10</v>
      </c>
      <c r="H326" s="10"/>
      <c r="I326" s="2" t="str">
        <f>"－"</f>
        <v>－</v>
      </c>
      <c r="J326" s="10"/>
      <c r="K326" s="2" t="n">
        <f>8276</f>
        <v>8276.0</v>
      </c>
    </row>
    <row r="327">
      <c r="A327" s="8" t="s">
        <v>41</v>
      </c>
      <c r="B327" s="9" t="s">
        <v>69</v>
      </c>
      <c r="C327" s="9" t="s">
        <v>70</v>
      </c>
      <c r="D327" s="10"/>
      <c r="E327" s="2" t="n">
        <f>3154</f>
        <v>3154.0</v>
      </c>
      <c r="F327" s="10"/>
      <c r="G327" s="2" t="n">
        <f>9588977600</f>
        <v>9.5889776E9</v>
      </c>
      <c r="H327" s="10"/>
      <c r="I327" s="2" t="n">
        <f>71</f>
        <v>71.0</v>
      </c>
      <c r="J327" s="10"/>
      <c r="K327" s="2" t="n">
        <f>9012</f>
        <v>9012.0</v>
      </c>
    </row>
    <row r="328">
      <c r="A328" s="8" t="s">
        <v>42</v>
      </c>
      <c r="B328" s="9" t="s">
        <v>69</v>
      </c>
      <c r="C328" s="9" t="s">
        <v>70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43</v>
      </c>
      <c r="B329" s="9" t="s">
        <v>69</v>
      </c>
      <c r="C329" s="9" t="s">
        <v>70</v>
      </c>
      <c r="D329" s="10"/>
      <c r="E329" s="2"/>
      <c r="F329" s="10"/>
      <c r="G329" s="2"/>
      <c r="H329" s="10"/>
      <c r="I329" s="2"/>
      <c r="J329" s="10"/>
      <c r="K329" s="2"/>
    </row>
    <row r="330">
      <c r="A330" s="8" t="s">
        <v>44</v>
      </c>
      <c r="B330" s="9" t="s">
        <v>69</v>
      </c>
      <c r="C330" s="9" t="s">
        <v>70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45</v>
      </c>
      <c r="B331" s="9" t="s">
        <v>69</v>
      </c>
      <c r="C331" s="9" t="s">
        <v>70</v>
      </c>
      <c r="D331" s="10" t="s">
        <v>24</v>
      </c>
      <c r="E331" s="2" t="n">
        <f>7360</f>
        <v>7360.0</v>
      </c>
      <c r="F331" s="10" t="s">
        <v>24</v>
      </c>
      <c r="G331" s="2" t="n">
        <f>21898725800</f>
        <v>2.18987258E10</v>
      </c>
      <c r="H331" s="10"/>
      <c r="I331" s="2" t="n">
        <f>621</f>
        <v>621.0</v>
      </c>
      <c r="J331" s="10"/>
      <c r="K331" s="2" t="n">
        <f>9570</f>
        <v>9570.0</v>
      </c>
    </row>
    <row r="332">
      <c r="A332" s="8" t="s">
        <v>46</v>
      </c>
      <c r="B332" s="9" t="s">
        <v>69</v>
      </c>
      <c r="C332" s="9" t="s">
        <v>70</v>
      </c>
      <c r="D332" s="10"/>
      <c r="E332" s="2" t="n">
        <f>2057</f>
        <v>2057.0</v>
      </c>
      <c r="F332" s="10"/>
      <c r="G332" s="2" t="n">
        <f>6052504500</f>
        <v>6.0525045E9</v>
      </c>
      <c r="H332" s="10"/>
      <c r="I332" s="2" t="n">
        <f>251</f>
        <v>251.0</v>
      </c>
      <c r="J332" s="10"/>
      <c r="K332" s="2" t="n">
        <f>9485</f>
        <v>9485.0</v>
      </c>
    </row>
    <row r="333">
      <c r="A333" s="8" t="s">
        <v>47</v>
      </c>
      <c r="B333" s="9" t="s">
        <v>69</v>
      </c>
      <c r="C333" s="9" t="s">
        <v>70</v>
      </c>
      <c r="D333" s="10"/>
      <c r="E333" s="2" t="n">
        <f>6356</f>
        <v>6356.0</v>
      </c>
      <c r="F333" s="10"/>
      <c r="G333" s="2" t="n">
        <f>18563901300</f>
        <v>1.85639013E10</v>
      </c>
      <c r="H333" s="10" t="s">
        <v>24</v>
      </c>
      <c r="I333" s="2" t="n">
        <f>913</f>
        <v>913.0</v>
      </c>
      <c r="J333" s="10"/>
      <c r="K333" s="2" t="n">
        <f>8060</f>
        <v>8060.0</v>
      </c>
    </row>
    <row r="334">
      <c r="A334" s="8" t="s">
        <v>48</v>
      </c>
      <c r="B334" s="9" t="s">
        <v>69</v>
      </c>
      <c r="C334" s="9" t="s">
        <v>70</v>
      </c>
      <c r="D334" s="10"/>
      <c r="E334" s="2" t="n">
        <f>3008</f>
        <v>3008.0</v>
      </c>
      <c r="F334" s="10"/>
      <c r="G334" s="2" t="n">
        <f>8842577800</f>
        <v>8.8425778E9</v>
      </c>
      <c r="H334" s="10"/>
      <c r="I334" s="2" t="n">
        <f>243</f>
        <v>243.0</v>
      </c>
      <c r="J334" s="10"/>
      <c r="K334" s="2" t="n">
        <f>8185</f>
        <v>8185.0</v>
      </c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2330</f>
        <v>2330.0</v>
      </c>
      <c r="F335" s="10"/>
      <c r="G335" s="2" t="n">
        <f>6819898500</f>
        <v>6.8198985E9</v>
      </c>
      <c r="H335" s="10"/>
      <c r="I335" s="2" t="n">
        <f>4</f>
        <v>4.0</v>
      </c>
      <c r="J335" s="10"/>
      <c r="K335" s="2" t="n">
        <f>7907</f>
        <v>7907.0</v>
      </c>
    </row>
    <row r="336">
      <c r="A336" s="8" t="s">
        <v>16</v>
      </c>
      <c r="B336" s="9" t="s">
        <v>71</v>
      </c>
      <c r="C336" s="9" t="s">
        <v>72</v>
      </c>
      <c r="D336" s="10" t="s">
        <v>60</v>
      </c>
      <c r="E336" s="2" t="str">
        <f>"－"</f>
        <v>－</v>
      </c>
      <c r="F336" s="10" t="s">
        <v>60</v>
      </c>
      <c r="G336" s="2" t="str">
        <f>"－"</f>
        <v>－</v>
      </c>
      <c r="H336" s="10" t="s">
        <v>60</v>
      </c>
      <c r="I336" s="2" t="str">
        <f>"－"</f>
        <v>－</v>
      </c>
      <c r="J336" s="10" t="s">
        <v>60</v>
      </c>
      <c r="K336" s="2" t="str">
        <f>"－"</f>
        <v>－</v>
      </c>
    </row>
    <row r="337">
      <c r="A337" s="8" t="s">
        <v>19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20</v>
      </c>
      <c r="B338" s="9" t="s">
        <v>71</v>
      </c>
      <c r="C338" s="9" t="s">
        <v>72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21</v>
      </c>
      <c r="B339" s="9" t="s">
        <v>71</v>
      </c>
      <c r="C339" s="9" t="s">
        <v>72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22</v>
      </c>
      <c r="B340" s="9" t="s">
        <v>71</v>
      </c>
      <c r="C340" s="9" t="s">
        <v>72</v>
      </c>
      <c r="D340" s="10"/>
      <c r="E340" s="2" t="str">
        <f>"－"</f>
        <v>－</v>
      </c>
      <c r="F340" s="10"/>
      <c r="G340" s="2" t="str">
        <f>"－"</f>
        <v>－</v>
      </c>
      <c r="H340" s="10"/>
      <c r="I340" s="2" t="str">
        <f>"－"</f>
        <v>－</v>
      </c>
      <c r="J340" s="10"/>
      <c r="K340" s="2" t="str">
        <f>"－"</f>
        <v>－</v>
      </c>
    </row>
    <row r="341">
      <c r="A341" s="8" t="s">
        <v>23</v>
      </c>
      <c r="B341" s="9" t="s">
        <v>71</v>
      </c>
      <c r="C341" s="9" t="s">
        <v>72</v>
      </c>
      <c r="D341" s="10"/>
      <c r="E341" s="2" t="str">
        <f>"－"</f>
        <v>－</v>
      </c>
      <c r="F341" s="10"/>
      <c r="G341" s="2" t="str">
        <f>"－"</f>
        <v>－</v>
      </c>
      <c r="H341" s="10"/>
      <c r="I341" s="2" t="str">
        <f>"－"</f>
        <v>－</v>
      </c>
      <c r="J341" s="10"/>
      <c r="K341" s="2" t="str">
        <f>"－"</f>
        <v>－</v>
      </c>
    </row>
    <row r="342">
      <c r="A342" s="8" t="s">
        <v>25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29</v>
      </c>
      <c r="B346" s="9" t="s">
        <v>71</v>
      </c>
      <c r="C346" s="9" t="s">
        <v>72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30</v>
      </c>
      <c r="B347" s="9" t="s">
        <v>71</v>
      </c>
      <c r="C347" s="9" t="s">
        <v>72</v>
      </c>
      <c r="D347" s="10"/>
      <c r="E347" s="2" t="str">
        <f>"－"</f>
        <v>－</v>
      </c>
      <c r="F347" s="10"/>
      <c r="G347" s="2" t="str">
        <f>"－"</f>
        <v>－</v>
      </c>
      <c r="H347" s="10"/>
      <c r="I347" s="2" t="str">
        <f>"－"</f>
        <v>－</v>
      </c>
      <c r="J347" s="10"/>
      <c r="K347" s="2" t="str">
        <f>"－"</f>
        <v>－</v>
      </c>
    </row>
    <row r="348">
      <c r="A348" s="8" t="s">
        <v>32</v>
      </c>
      <c r="B348" s="9" t="s">
        <v>71</v>
      </c>
      <c r="C348" s="9" t="s">
        <v>72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33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36</v>
      </c>
      <c r="B352" s="9" t="s">
        <v>71</v>
      </c>
      <c r="C352" s="9" t="s">
        <v>72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37</v>
      </c>
      <c r="B353" s="9" t="s">
        <v>71</v>
      </c>
      <c r="C353" s="9" t="s">
        <v>72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38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39</v>
      </c>
      <c r="B355" s="9" t="s">
        <v>71</v>
      </c>
      <c r="C355" s="9" t="s">
        <v>72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40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43</v>
      </c>
      <c r="B359" s="9" t="s">
        <v>71</v>
      </c>
      <c r="C359" s="9" t="s">
        <v>72</v>
      </c>
      <c r="D359" s="10"/>
      <c r="E359" s="2"/>
      <c r="F359" s="10"/>
      <c r="G359" s="2"/>
      <c r="H359" s="10"/>
      <c r="I359" s="2"/>
      <c r="J359" s="10"/>
      <c r="K359" s="2"/>
    </row>
    <row r="360">
      <c r="A360" s="8" t="s">
        <v>44</v>
      </c>
      <c r="B360" s="9" t="s">
        <v>71</v>
      </c>
      <c r="C360" s="9" t="s">
        <v>72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45</v>
      </c>
      <c r="B361" s="9" t="s">
        <v>71</v>
      </c>
      <c r="C361" s="9" t="s">
        <v>72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46</v>
      </c>
      <c r="B362" s="9" t="s">
        <v>71</v>
      </c>
      <c r="C362" s="9" t="s">
        <v>72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60</v>
      </c>
      <c r="E366" s="2" t="str">
        <f>"－"</f>
        <v>－</v>
      </c>
      <c r="F366" s="10" t="s">
        <v>60</v>
      </c>
      <c r="G366" s="2" t="str">
        <f>"－"</f>
        <v>－</v>
      </c>
      <c r="H366" s="10" t="s">
        <v>60</v>
      </c>
      <c r="I366" s="2" t="str">
        <f>"－"</f>
        <v>－</v>
      </c>
      <c r="J366" s="10" t="s">
        <v>60</v>
      </c>
      <c r="K366" s="2" t="str">
        <f>"－"</f>
        <v>－</v>
      </c>
    </row>
    <row r="367">
      <c r="A367" s="8" t="s">
        <v>19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20</v>
      </c>
      <c r="B368" s="9" t="s">
        <v>73</v>
      </c>
      <c r="C368" s="9" t="s">
        <v>74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21</v>
      </c>
      <c r="B369" s="9" t="s">
        <v>73</v>
      </c>
      <c r="C369" s="9" t="s">
        <v>74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22</v>
      </c>
      <c r="B370" s="9" t="s">
        <v>73</v>
      </c>
      <c r="C370" s="9" t="s">
        <v>74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23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25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29</v>
      </c>
      <c r="B376" s="9" t="s">
        <v>73</v>
      </c>
      <c r="C376" s="9" t="s">
        <v>74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30</v>
      </c>
      <c r="B377" s="9" t="s">
        <v>73</v>
      </c>
      <c r="C377" s="9" t="s">
        <v>74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32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37</v>
      </c>
      <c r="B383" s="9" t="s">
        <v>73</v>
      </c>
      <c r="C383" s="9" t="s">
        <v>74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38</v>
      </c>
      <c r="B384" s="9" t="s">
        <v>73</v>
      </c>
      <c r="C384" s="9" t="s">
        <v>74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39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43</v>
      </c>
      <c r="B389" s="9" t="s">
        <v>73</v>
      </c>
      <c r="C389" s="9" t="s">
        <v>74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44</v>
      </c>
      <c r="B390" s="9" t="s">
        <v>73</v>
      </c>
      <c r="C390" s="9" t="s">
        <v>74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45</v>
      </c>
      <c r="B391" s="9" t="s">
        <v>73</v>
      </c>
      <c r="C391" s="9" t="s">
        <v>74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46</v>
      </c>
      <c r="B392" s="9" t="s">
        <v>73</v>
      </c>
      <c r="C392" s="9" t="s">
        <v>74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60</v>
      </c>
      <c r="E396" s="2" t="str">
        <f>"－"</f>
        <v>－</v>
      </c>
      <c r="F396" s="10" t="s">
        <v>60</v>
      </c>
      <c r="G396" s="2" t="str">
        <f>"－"</f>
        <v>－</v>
      </c>
      <c r="H396" s="10" t="s">
        <v>60</v>
      </c>
      <c r="I396" s="2" t="str">
        <f>"－"</f>
        <v>－</v>
      </c>
      <c r="J396" s="10" t="s">
        <v>60</v>
      </c>
      <c r="K396" s="2" t="n">
        <f>12104</f>
        <v>12104.0</v>
      </c>
    </row>
    <row r="397">
      <c r="A397" s="8" t="s">
        <v>19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12104</f>
        <v>12104.0</v>
      </c>
    </row>
    <row r="398">
      <c r="A398" s="8" t="s">
        <v>20</v>
      </c>
      <c r="B398" s="9" t="s">
        <v>75</v>
      </c>
      <c r="C398" s="9" t="s">
        <v>76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21</v>
      </c>
      <c r="B399" s="9" t="s">
        <v>75</v>
      </c>
      <c r="C399" s="9" t="s">
        <v>76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22</v>
      </c>
      <c r="B400" s="9" t="s">
        <v>75</v>
      </c>
      <c r="C400" s="9" t="s">
        <v>76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n">
        <f>12104</f>
        <v>12104.0</v>
      </c>
    </row>
    <row r="401">
      <c r="A401" s="8" t="s">
        <v>23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n">
        <f>12104</f>
        <v>12104.0</v>
      </c>
    </row>
    <row r="402">
      <c r="A402" s="8" t="s">
        <v>25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12104</f>
        <v>12104.0</v>
      </c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12104</f>
        <v>12104.0</v>
      </c>
    </row>
    <row r="404">
      <c r="A404" s="8" t="s">
        <v>27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n">
        <f>12104</f>
        <v>12104.0</v>
      </c>
    </row>
    <row r="405">
      <c r="A405" s="8" t="s">
        <v>28</v>
      </c>
      <c r="B405" s="9" t="s">
        <v>75</v>
      </c>
      <c r="C405" s="9" t="s">
        <v>76</v>
      </c>
      <c r="D405" s="10"/>
      <c r="E405" s="2"/>
      <c r="F405" s="10"/>
      <c r="G405" s="2"/>
      <c r="H405" s="10"/>
      <c r="I405" s="2"/>
      <c r="J405" s="10"/>
      <c r="K405" s="2"/>
    </row>
    <row r="406">
      <c r="A406" s="8" t="s">
        <v>29</v>
      </c>
      <c r="B406" s="9" t="s">
        <v>75</v>
      </c>
      <c r="C406" s="9" t="s">
        <v>76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30</v>
      </c>
      <c r="B407" s="9" t="s">
        <v>75</v>
      </c>
      <c r="C407" s="9" t="s">
        <v>76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n">
        <f>12104</f>
        <v>12104.0</v>
      </c>
    </row>
    <row r="408">
      <c r="A408" s="8" t="s">
        <v>32</v>
      </c>
      <c r="B408" s="9" t="s">
        <v>75</v>
      </c>
      <c r="C408" s="9" t="s">
        <v>76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n">
        <f>12104</f>
        <v>12104.0</v>
      </c>
    </row>
    <row r="409">
      <c r="A409" s="8" t="s">
        <v>33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12104</f>
        <v>12104.0</v>
      </c>
    </row>
    <row r="410">
      <c r="A410" s="8" t="s">
        <v>34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12104</f>
        <v>12104.0</v>
      </c>
    </row>
    <row r="411">
      <c r="A411" s="8" t="s">
        <v>35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12104</f>
        <v>12104.0</v>
      </c>
    </row>
    <row r="412">
      <c r="A412" s="8" t="s">
        <v>36</v>
      </c>
      <c r="B412" s="9" t="s">
        <v>75</v>
      </c>
      <c r="C412" s="9" t="s">
        <v>76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37</v>
      </c>
      <c r="B413" s="9" t="s">
        <v>75</v>
      </c>
      <c r="C413" s="9" t="s">
        <v>76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38</v>
      </c>
      <c r="B414" s="9" t="s">
        <v>75</v>
      </c>
      <c r="C414" s="9" t="s">
        <v>76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39</v>
      </c>
      <c r="B415" s="9" t="s">
        <v>75</v>
      </c>
      <c r="C415" s="9" t="s">
        <v>76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12104</f>
        <v>12104.0</v>
      </c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12104</f>
        <v>12104.0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12104</f>
        <v>12104.0</v>
      </c>
    </row>
    <row r="418">
      <c r="A418" s="8" t="s">
        <v>42</v>
      </c>
      <c r="B418" s="9" t="s">
        <v>75</v>
      </c>
      <c r="C418" s="9" t="s">
        <v>76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43</v>
      </c>
      <c r="B419" s="9" t="s">
        <v>75</v>
      </c>
      <c r="C419" s="9" t="s">
        <v>76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44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45</v>
      </c>
      <c r="B421" s="9" t="s">
        <v>75</v>
      </c>
      <c r="C421" s="9" t="s">
        <v>76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12104</f>
        <v>12104.0</v>
      </c>
    </row>
    <row r="422">
      <c r="A422" s="8" t="s">
        <v>46</v>
      </c>
      <c r="B422" s="9" t="s">
        <v>75</v>
      </c>
      <c r="C422" s="9" t="s">
        <v>76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12104</f>
        <v>12104.0</v>
      </c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12104</f>
        <v>12104.0</v>
      </c>
    </row>
    <row r="424">
      <c r="A424" s="8" t="s">
        <v>48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12104</f>
        <v>12104.0</v>
      </c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12104</f>
        <v>12104.0</v>
      </c>
    </row>
    <row r="426">
      <c r="A426" s="8" t="s">
        <v>16</v>
      </c>
      <c r="B426" s="9" t="s">
        <v>77</v>
      </c>
      <c r="C426" s="9" t="s">
        <v>78</v>
      </c>
      <c r="D426" s="10"/>
      <c r="E426" s="2" t="n">
        <f>12</f>
        <v>12.0</v>
      </c>
      <c r="F426" s="10"/>
      <c r="G426" s="2" t="n">
        <f>2557000</f>
        <v>2557000.0</v>
      </c>
      <c r="H426" s="10" t="s">
        <v>60</v>
      </c>
      <c r="I426" s="2" t="str">
        <f>"－"</f>
        <v>－</v>
      </c>
      <c r="J426" s="10"/>
      <c r="K426" s="2" t="n">
        <f>411</f>
        <v>411.0</v>
      </c>
    </row>
    <row r="427">
      <c r="A427" s="8" t="s">
        <v>19</v>
      </c>
      <c r="B427" s="9" t="s">
        <v>77</v>
      </c>
      <c r="C427" s="9" t="s">
        <v>78</v>
      </c>
      <c r="D427" s="10"/>
      <c r="E427" s="2" t="n">
        <f>9</f>
        <v>9.0</v>
      </c>
      <c r="F427" s="10"/>
      <c r="G427" s="2" t="n">
        <f>1899000</f>
        <v>1899000.0</v>
      </c>
      <c r="H427" s="10"/>
      <c r="I427" s="2" t="str">
        <f>"－"</f>
        <v>－</v>
      </c>
      <c r="J427" s="10"/>
      <c r="K427" s="2" t="n">
        <f>409</f>
        <v>409.0</v>
      </c>
    </row>
    <row r="428">
      <c r="A428" s="8" t="s">
        <v>20</v>
      </c>
      <c r="B428" s="9" t="s">
        <v>77</v>
      </c>
      <c r="C428" s="9" t="s">
        <v>78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21</v>
      </c>
      <c r="B429" s="9" t="s">
        <v>77</v>
      </c>
      <c r="C429" s="9" t="s">
        <v>78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22</v>
      </c>
      <c r="B430" s="9" t="s">
        <v>77</v>
      </c>
      <c r="C430" s="9" t="s">
        <v>78</v>
      </c>
      <c r="D430" s="10" t="s">
        <v>31</v>
      </c>
      <c r="E430" s="2" t="n">
        <f>4</f>
        <v>4.0</v>
      </c>
      <c r="F430" s="10" t="s">
        <v>31</v>
      </c>
      <c r="G430" s="2" t="n">
        <f>845500</f>
        <v>845500.0</v>
      </c>
      <c r="H430" s="10"/>
      <c r="I430" s="2" t="str">
        <f>"－"</f>
        <v>－</v>
      </c>
      <c r="J430" s="10"/>
      <c r="K430" s="2" t="n">
        <f>410</f>
        <v>410.0</v>
      </c>
    </row>
    <row r="431">
      <c r="A431" s="8" t="s">
        <v>23</v>
      </c>
      <c r="B431" s="9" t="s">
        <v>77</v>
      </c>
      <c r="C431" s="9" t="s">
        <v>78</v>
      </c>
      <c r="D431" s="10"/>
      <c r="E431" s="2" t="n">
        <f>9</f>
        <v>9.0</v>
      </c>
      <c r="F431" s="10"/>
      <c r="G431" s="2" t="n">
        <f>1848000</f>
        <v>1848000.0</v>
      </c>
      <c r="H431" s="10"/>
      <c r="I431" s="2" t="str">
        <f>"－"</f>
        <v>－</v>
      </c>
      <c r="J431" s="10"/>
      <c r="K431" s="2" t="n">
        <f>413</f>
        <v>413.0</v>
      </c>
    </row>
    <row r="432">
      <c r="A432" s="8" t="s">
        <v>25</v>
      </c>
      <c r="B432" s="9" t="s">
        <v>77</v>
      </c>
      <c r="C432" s="9" t="s">
        <v>78</v>
      </c>
      <c r="D432" s="10"/>
      <c r="E432" s="2" t="n">
        <f>30</f>
        <v>30.0</v>
      </c>
      <c r="F432" s="10"/>
      <c r="G432" s="2" t="n">
        <f>6363000</f>
        <v>6363000.0</v>
      </c>
      <c r="H432" s="10"/>
      <c r="I432" s="2" t="str">
        <f>"－"</f>
        <v>－</v>
      </c>
      <c r="J432" s="10" t="s">
        <v>24</v>
      </c>
      <c r="K432" s="2" t="n">
        <f>422</f>
        <v>422.0</v>
      </c>
    </row>
    <row r="433">
      <c r="A433" s="8" t="s">
        <v>26</v>
      </c>
      <c r="B433" s="9" t="s">
        <v>77</v>
      </c>
      <c r="C433" s="9" t="s">
        <v>78</v>
      </c>
      <c r="D433" s="10"/>
      <c r="E433" s="2" t="n">
        <f>35</f>
        <v>35.0</v>
      </c>
      <c r="F433" s="10"/>
      <c r="G433" s="2" t="n">
        <f>7040000</f>
        <v>7040000.0</v>
      </c>
      <c r="H433" s="10"/>
      <c r="I433" s="2" t="str">
        <f>"－"</f>
        <v>－</v>
      </c>
      <c r="J433" s="10"/>
      <c r="K433" s="2" t="n">
        <f>413</f>
        <v>413.0</v>
      </c>
    </row>
    <row r="434">
      <c r="A434" s="8" t="s">
        <v>27</v>
      </c>
      <c r="B434" s="9" t="s">
        <v>77</v>
      </c>
      <c r="C434" s="9" t="s">
        <v>78</v>
      </c>
      <c r="D434" s="10"/>
      <c r="E434" s="2" t="n">
        <f>26</f>
        <v>26.0</v>
      </c>
      <c r="F434" s="10"/>
      <c r="G434" s="2" t="n">
        <f>5216500</f>
        <v>5216500.0</v>
      </c>
      <c r="H434" s="10"/>
      <c r="I434" s="2" t="str">
        <f>"－"</f>
        <v>－</v>
      </c>
      <c r="J434" s="10"/>
      <c r="K434" s="2" t="n">
        <f>399</f>
        <v>399.0</v>
      </c>
    </row>
    <row r="435">
      <c r="A435" s="8" t="s">
        <v>28</v>
      </c>
      <c r="B435" s="9" t="s">
        <v>77</v>
      </c>
      <c r="C435" s="9" t="s">
        <v>78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29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30</v>
      </c>
      <c r="B437" s="9" t="s">
        <v>77</v>
      </c>
      <c r="C437" s="9" t="s">
        <v>78</v>
      </c>
      <c r="D437" s="10"/>
      <c r="E437" s="2" t="n">
        <f>50</f>
        <v>50.0</v>
      </c>
      <c r="F437" s="10"/>
      <c r="G437" s="2" t="n">
        <f>9751500</f>
        <v>9751500.0</v>
      </c>
      <c r="H437" s="10"/>
      <c r="I437" s="2" t="str">
        <f>"－"</f>
        <v>－</v>
      </c>
      <c r="J437" s="10"/>
      <c r="K437" s="2" t="n">
        <f>382</f>
        <v>382.0</v>
      </c>
    </row>
    <row r="438">
      <c r="A438" s="8" t="s">
        <v>32</v>
      </c>
      <c r="B438" s="9" t="s">
        <v>77</v>
      </c>
      <c r="C438" s="9" t="s">
        <v>78</v>
      </c>
      <c r="D438" s="10"/>
      <c r="E438" s="2" t="n">
        <f>32</f>
        <v>32.0</v>
      </c>
      <c r="F438" s="10"/>
      <c r="G438" s="2" t="n">
        <f>6294500</f>
        <v>6294500.0</v>
      </c>
      <c r="H438" s="10"/>
      <c r="I438" s="2" t="str">
        <f>"－"</f>
        <v>－</v>
      </c>
      <c r="J438" s="10"/>
      <c r="K438" s="2" t="n">
        <f>389</f>
        <v>389.0</v>
      </c>
    </row>
    <row r="439">
      <c r="A439" s="8" t="s">
        <v>33</v>
      </c>
      <c r="B439" s="9" t="s">
        <v>77</v>
      </c>
      <c r="C439" s="9" t="s">
        <v>78</v>
      </c>
      <c r="D439" s="10" t="s">
        <v>24</v>
      </c>
      <c r="E439" s="2" t="n">
        <f>59</f>
        <v>59.0</v>
      </c>
      <c r="F439" s="10" t="s">
        <v>24</v>
      </c>
      <c r="G439" s="2" t="n">
        <f>12861000</f>
        <v>1.2861E7</v>
      </c>
      <c r="H439" s="10"/>
      <c r="I439" s="2" t="str">
        <f>"－"</f>
        <v>－</v>
      </c>
      <c r="J439" s="10"/>
      <c r="K439" s="2" t="n">
        <f>420</f>
        <v>420.0</v>
      </c>
    </row>
    <row r="440">
      <c r="A440" s="8" t="s">
        <v>34</v>
      </c>
      <c r="B440" s="9" t="s">
        <v>77</v>
      </c>
      <c r="C440" s="9" t="s">
        <v>78</v>
      </c>
      <c r="D440" s="10"/>
      <c r="E440" s="2" t="n">
        <f>5</f>
        <v>5.0</v>
      </c>
      <c r="F440" s="10"/>
      <c r="G440" s="2" t="n">
        <f>1097500</f>
        <v>1097500.0</v>
      </c>
      <c r="H440" s="10"/>
      <c r="I440" s="2" t="str">
        <f>"－"</f>
        <v>－</v>
      </c>
      <c r="J440" s="10" t="s">
        <v>31</v>
      </c>
      <c r="K440" s="2" t="n">
        <f>112</f>
        <v>112.0</v>
      </c>
    </row>
    <row r="441">
      <c r="A441" s="8" t="s">
        <v>35</v>
      </c>
      <c r="B441" s="9" t="s">
        <v>77</v>
      </c>
      <c r="C441" s="9" t="s">
        <v>78</v>
      </c>
      <c r="D441" s="10"/>
      <c r="E441" s="2" t="n">
        <f>13</f>
        <v>13.0</v>
      </c>
      <c r="F441" s="10"/>
      <c r="G441" s="2" t="n">
        <f>2887000</f>
        <v>2887000.0</v>
      </c>
      <c r="H441" s="10"/>
      <c r="I441" s="2" t="str">
        <f>"－"</f>
        <v>－</v>
      </c>
      <c r="J441" s="10"/>
      <c r="K441" s="2" t="n">
        <f>122</f>
        <v>122.0</v>
      </c>
    </row>
    <row r="442">
      <c r="A442" s="8" t="s">
        <v>36</v>
      </c>
      <c r="B442" s="9" t="s">
        <v>77</v>
      </c>
      <c r="C442" s="9" t="s">
        <v>78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37</v>
      </c>
      <c r="B443" s="9" t="s">
        <v>77</v>
      </c>
      <c r="C443" s="9" t="s">
        <v>78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38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39</v>
      </c>
      <c r="B445" s="9" t="s">
        <v>77</v>
      </c>
      <c r="C445" s="9" t="s">
        <v>78</v>
      </c>
      <c r="D445" s="10"/>
      <c r="E445" s="2" t="n">
        <f>4</f>
        <v>4.0</v>
      </c>
      <c r="F445" s="10"/>
      <c r="G445" s="2" t="n">
        <f>870500</f>
        <v>870500.0</v>
      </c>
      <c r="H445" s="10"/>
      <c r="I445" s="2" t="str">
        <f>"－"</f>
        <v>－</v>
      </c>
      <c r="J445" s="10"/>
      <c r="K445" s="2" t="n">
        <f>123</f>
        <v>123.0</v>
      </c>
    </row>
    <row r="446">
      <c r="A446" s="8" t="s">
        <v>40</v>
      </c>
      <c r="B446" s="9" t="s">
        <v>77</v>
      </c>
      <c r="C446" s="9" t="s">
        <v>78</v>
      </c>
      <c r="D446" s="10"/>
      <c r="E446" s="2" t="n">
        <f>26</f>
        <v>26.0</v>
      </c>
      <c r="F446" s="10"/>
      <c r="G446" s="2" t="n">
        <f>5764500</f>
        <v>5764500.0</v>
      </c>
      <c r="H446" s="10"/>
      <c r="I446" s="2" t="str">
        <f>"－"</f>
        <v>－</v>
      </c>
      <c r="J446" s="10"/>
      <c r="K446" s="2" t="n">
        <f>114</f>
        <v>114.0</v>
      </c>
    </row>
    <row r="447">
      <c r="A447" s="8" t="s">
        <v>41</v>
      </c>
      <c r="B447" s="9" t="s">
        <v>77</v>
      </c>
      <c r="C447" s="9" t="s">
        <v>78</v>
      </c>
      <c r="D447" s="10"/>
      <c r="E447" s="2" t="n">
        <f>27</f>
        <v>27.0</v>
      </c>
      <c r="F447" s="10"/>
      <c r="G447" s="2" t="n">
        <f>6086000</f>
        <v>6086000.0</v>
      </c>
      <c r="H447" s="10"/>
      <c r="I447" s="2" t="str">
        <f>"－"</f>
        <v>－</v>
      </c>
      <c r="J447" s="10"/>
      <c r="K447" s="2" t="n">
        <f>136</f>
        <v>136.0</v>
      </c>
    </row>
    <row r="448">
      <c r="A448" s="8" t="s">
        <v>42</v>
      </c>
      <c r="B448" s="9" t="s">
        <v>77</v>
      </c>
      <c r="C448" s="9" t="s">
        <v>78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43</v>
      </c>
      <c r="B449" s="9" t="s">
        <v>77</v>
      </c>
      <c r="C449" s="9" t="s">
        <v>78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44</v>
      </c>
      <c r="B450" s="9" t="s">
        <v>77</v>
      </c>
      <c r="C450" s="9" t="s">
        <v>78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45</v>
      </c>
      <c r="B451" s="9" t="s">
        <v>77</v>
      </c>
      <c r="C451" s="9" t="s">
        <v>78</v>
      </c>
      <c r="D451" s="10"/>
      <c r="E451" s="2" t="n">
        <f>27</f>
        <v>27.0</v>
      </c>
      <c r="F451" s="10"/>
      <c r="G451" s="2" t="n">
        <f>6245500</f>
        <v>6245500.0</v>
      </c>
      <c r="H451" s="10"/>
      <c r="I451" s="2" t="str">
        <f>"－"</f>
        <v>－</v>
      </c>
      <c r="J451" s="10"/>
      <c r="K451" s="2" t="n">
        <f>144</f>
        <v>144.0</v>
      </c>
    </row>
    <row r="452">
      <c r="A452" s="8" t="s">
        <v>46</v>
      </c>
      <c r="B452" s="9" t="s">
        <v>77</v>
      </c>
      <c r="C452" s="9" t="s">
        <v>78</v>
      </c>
      <c r="D452" s="10"/>
      <c r="E452" s="2" t="n">
        <f>6</f>
        <v>6.0</v>
      </c>
      <c r="F452" s="10"/>
      <c r="G452" s="2" t="n">
        <f>1387500</f>
        <v>1387500.0</v>
      </c>
      <c r="H452" s="10"/>
      <c r="I452" s="2" t="str">
        <f>"－"</f>
        <v>－</v>
      </c>
      <c r="J452" s="10"/>
      <c r="K452" s="2" t="n">
        <f>145</f>
        <v>145.0</v>
      </c>
    </row>
    <row r="453">
      <c r="A453" s="8" t="s">
        <v>47</v>
      </c>
      <c r="B453" s="9" t="s">
        <v>77</v>
      </c>
      <c r="C453" s="9" t="s">
        <v>78</v>
      </c>
      <c r="D453" s="10"/>
      <c r="E453" s="2" t="n">
        <f>33</f>
        <v>33.0</v>
      </c>
      <c r="F453" s="10"/>
      <c r="G453" s="2" t="n">
        <f>8099000</f>
        <v>8099000.0</v>
      </c>
      <c r="H453" s="10"/>
      <c r="I453" s="2" t="str">
        <f>"－"</f>
        <v>－</v>
      </c>
      <c r="J453" s="10"/>
      <c r="K453" s="2" t="n">
        <f>143</f>
        <v>143.0</v>
      </c>
    </row>
    <row r="454">
      <c r="A454" s="8" t="s">
        <v>48</v>
      </c>
      <c r="B454" s="9" t="s">
        <v>77</v>
      </c>
      <c r="C454" s="9" t="s">
        <v>78</v>
      </c>
      <c r="D454" s="10"/>
      <c r="E454" s="2" t="n">
        <f>30</f>
        <v>30.0</v>
      </c>
      <c r="F454" s="10"/>
      <c r="G454" s="2" t="n">
        <f>7074000</f>
        <v>7074000.0</v>
      </c>
      <c r="H454" s="10"/>
      <c r="I454" s="2" t="str">
        <f>"－"</f>
        <v>－</v>
      </c>
      <c r="J454" s="10"/>
      <c r="K454" s="2" t="n">
        <f>158</f>
        <v>158.0</v>
      </c>
    </row>
    <row r="455">
      <c r="A455" s="8" t="s">
        <v>49</v>
      </c>
      <c r="B455" s="9" t="s">
        <v>77</v>
      </c>
      <c r="C455" s="9" t="s">
        <v>78</v>
      </c>
      <c r="D455" s="10"/>
      <c r="E455" s="2" t="n">
        <f>19</f>
        <v>19.0</v>
      </c>
      <c r="F455" s="10"/>
      <c r="G455" s="2" t="n">
        <f>4665500</f>
        <v>4665500.0</v>
      </c>
      <c r="H455" s="10"/>
      <c r="I455" s="2" t="str">
        <f>"－"</f>
        <v>－</v>
      </c>
      <c r="J455" s="10"/>
      <c r="K455" s="2" t="n">
        <f>176</f>
        <v>176.0</v>
      </c>
    </row>
    <row r="456">
      <c r="A456" s="8" t="s">
        <v>16</v>
      </c>
      <c r="B456" s="9" t="s">
        <v>79</v>
      </c>
      <c r="C456" s="9" t="s">
        <v>80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19</v>
      </c>
      <c r="B457" s="9" t="s">
        <v>79</v>
      </c>
      <c r="C457" s="9" t="s">
        <v>80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20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21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22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23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25</v>
      </c>
      <c r="B462" s="9" t="s">
        <v>79</v>
      </c>
      <c r="C462" s="9" t="s">
        <v>80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26</v>
      </c>
      <c r="B463" s="9" t="s">
        <v>79</v>
      </c>
      <c r="C463" s="9" t="s">
        <v>80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27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28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29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30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32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33</v>
      </c>
      <c r="B469" s="9" t="s">
        <v>79</v>
      </c>
      <c r="C469" s="9" t="s">
        <v>80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34</v>
      </c>
      <c r="B470" s="9" t="s">
        <v>79</v>
      </c>
      <c r="C470" s="9" t="s">
        <v>80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35</v>
      </c>
      <c r="B471" s="9" t="s">
        <v>79</v>
      </c>
      <c r="C471" s="9" t="s">
        <v>80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36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37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40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41</v>
      </c>
      <c r="B477" s="9" t="s">
        <v>79</v>
      </c>
      <c r="C477" s="9" t="s">
        <v>80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42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43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44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47</v>
      </c>
      <c r="B483" s="9" t="s">
        <v>79</v>
      </c>
      <c r="C483" s="9" t="s">
        <v>80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48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/>
      <c r="F485" s="10"/>
      <c r="G485" s="2"/>
      <c r="H485" s="10"/>
      <c r="I485" s="2"/>
      <c r="J485" s="10"/>
      <c r="K48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