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<sst xmlns="http://schemas.openxmlformats.org/spreadsheetml/2006/main" count="680" uniqueCount="71">
  <si>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</si>
  <si>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</si>
  <si>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</si>
  <si>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</si>
  <si>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</si>
  <si>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</si>
  <si>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</si>
  <si>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</si>
  <si>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</si>
  <si>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</si>
  <si>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</si>
  <si>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</si>
  <si>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</si>
  <si>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</si>
  <si>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</si>
  <si>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</si>
  <si>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</si>
  <si>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</si>
  <si>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</si>
  <si>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</si>
  <si>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</si>
  <si>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</si>
  <si>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</si>
  <si>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</si>
  <si>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</si>
  <si>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</si>
  <si>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</si>
  <si>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日経225オプション</t>
  </si>
  <si>
    <t>Nikkei 225 Options</t>
  </si>
  <si>
    <t>◎</t>
  </si>
  <si>
    <t>2</t>
  </si>
  <si>
    <t>3</t>
  </si>
  <si>
    <t>4</t>
  </si>
  <si>
    <t>5</t>
  </si>
  <si>
    <t>6</t>
  </si>
  <si>
    <t>7</t>
  </si>
  <si>
    <t>8</t>
  </si>
  <si>
    <t>9</t>
  </si>
  <si>
    <t>●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</si>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</sst>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91175</f>
        <v>91175.0</v>
      </c>
      <c r="F10" s="23"/>
      <c r="G10" s="25" t="n">
        <f>58003</f>
        <v>58003.0</v>
      </c>
      <c r="H10" s="23"/>
      <c r="I10" s="26" t="n">
        <f>149178</f>
        <v>149178.0</v>
      </c>
      <c r="J10" s="24"/>
      <c r="K10" s="25" t="n">
        <f>31538909388</f>
        <v>3.1538909388E10</v>
      </c>
      <c r="L10" s="23"/>
      <c r="M10" s="25" t="n">
        <f>16895972012</f>
        <v>1.6895972012E10</v>
      </c>
      <c r="N10" s="23"/>
      <c r="O10" s="26" t="n">
        <f>48434881400</f>
        <v>4.84348814E10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16620</f>
        <v>16620.0</v>
      </c>
      <c r="U10" s="23" t="s">
        <v>29</v>
      </c>
      <c r="V10" s="25" t="n">
        <f>13050</f>
        <v>13050.0</v>
      </c>
      <c r="W10" s="23"/>
      <c r="X10" s="26" t="n">
        <f>29670</f>
        <v>29670.0</v>
      </c>
      <c r="Y10" s="24"/>
      <c r="Z10" s="25" t="n">
        <f>1027190</f>
        <v>1027190.0</v>
      </c>
      <c r="AA10" s="23"/>
      <c r="AB10" s="25" t="n">
        <f>547469</f>
        <v>547469.0</v>
      </c>
      <c r="AC10" s="23"/>
      <c r="AD10" s="26" t="n">
        <f>1574659</f>
        <v>1574659.0</v>
      </c>
    </row>
    <row r="11">
      <c r="A11" s="30" t="s">
        <v>30</v>
      </c>
      <c r="B11" s="22" t="s">
        <v>27</v>
      </c>
      <c r="C11" s="22" t="s">
        <v>28</v>
      </c>
      <c r="D11" s="24"/>
      <c r="E11" s="25" t="n">
        <f>72861</f>
        <v>72861.0</v>
      </c>
      <c r="F11" s="23"/>
      <c r="G11" s="25" t="n">
        <f>47695</f>
        <v>47695.0</v>
      </c>
      <c r="H11" s="23"/>
      <c r="I11" s="26" t="n">
        <f>120556</f>
        <v>120556.0</v>
      </c>
      <c r="J11" s="24"/>
      <c r="K11" s="25" t="n">
        <f>22920406282</f>
        <v>2.2920406282E10</v>
      </c>
      <c r="L11" s="23"/>
      <c r="M11" s="25" t="n">
        <f>7261819860</f>
        <v>7.26181986E9</v>
      </c>
      <c r="N11" s="23"/>
      <c r="O11" s="26" t="n">
        <f>30182226142</f>
        <v>3.0182226142E10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6334</f>
        <v>6334.0</v>
      </c>
      <c r="U11" s="23"/>
      <c r="V11" s="25" t="n">
        <f>8070</f>
        <v>8070.0</v>
      </c>
      <c r="W11" s="23"/>
      <c r="X11" s="26" t="n">
        <f>14404</f>
        <v>14404.0</v>
      </c>
      <c r="Y11" s="24"/>
      <c r="Z11" s="25" t="n">
        <f>1038392</f>
        <v>1038392.0</v>
      </c>
      <c r="AA11" s="23"/>
      <c r="AB11" s="25" t="n">
        <f>553385</f>
        <v>553385.0</v>
      </c>
      <c r="AC11" s="23"/>
      <c r="AD11" s="26" t="n">
        <f>1591777</f>
        <v>1591777.0</v>
      </c>
    </row>
    <row r="12">
      <c r="A12" s="30" t="s">
        <v>31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32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33</v>
      </c>
      <c r="B14" s="22" t="s">
        <v>27</v>
      </c>
      <c r="C14" s="22" t="s">
        <v>28</v>
      </c>
      <c r="D14" s="24"/>
      <c r="E14" s="25" t="n">
        <f>84697</f>
        <v>84697.0</v>
      </c>
      <c r="F14" s="23"/>
      <c r="G14" s="25" t="n">
        <f>54923</f>
        <v>54923.0</v>
      </c>
      <c r="H14" s="23"/>
      <c r="I14" s="26" t="n">
        <f>139620</f>
        <v>139620.0</v>
      </c>
      <c r="J14" s="24"/>
      <c r="K14" s="25" t="n">
        <f>24336496970</f>
        <v>2.433649697E10</v>
      </c>
      <c r="L14" s="23"/>
      <c r="M14" s="25" t="n">
        <f>9741056030</f>
        <v>9.74105603E9</v>
      </c>
      <c r="N14" s="23"/>
      <c r="O14" s="26" t="n">
        <f>34077553000</f>
        <v>3.4077553E10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18636</f>
        <v>18636.0</v>
      </c>
      <c r="U14" s="23"/>
      <c r="V14" s="25" t="n">
        <f>10388</f>
        <v>10388.0</v>
      </c>
      <c r="W14" s="23"/>
      <c r="X14" s="26" t="n">
        <f>29024</f>
        <v>29024.0</v>
      </c>
      <c r="Y14" s="24"/>
      <c r="Z14" s="25" t="n">
        <f>1062289</f>
        <v>1062289.0</v>
      </c>
      <c r="AA14" s="23"/>
      <c r="AB14" s="25" t="n">
        <f>563811</f>
        <v>563811.0</v>
      </c>
      <c r="AC14" s="23"/>
      <c r="AD14" s="26" t="n">
        <f>1626100</f>
        <v>1626100.0</v>
      </c>
    </row>
    <row r="15">
      <c r="A15" s="30" t="s">
        <v>34</v>
      </c>
      <c r="B15" s="22" t="s">
        <v>27</v>
      </c>
      <c r="C15" s="22" t="s">
        <v>28</v>
      </c>
      <c r="D15" s="24"/>
      <c r="E15" s="25" t="n">
        <f>58936</f>
        <v>58936.0</v>
      </c>
      <c r="F15" s="23"/>
      <c r="G15" s="25" t="n">
        <f>38475</f>
        <v>38475.0</v>
      </c>
      <c r="H15" s="23"/>
      <c r="I15" s="26" t="n">
        <f>97411</f>
        <v>97411.0</v>
      </c>
      <c r="J15" s="24"/>
      <c r="K15" s="25" t="n">
        <f>18463323521</f>
        <v>1.8463323521E10</v>
      </c>
      <c r="L15" s="23"/>
      <c r="M15" s="25" t="n">
        <f>12808497141</f>
        <v>1.2808497141E10</v>
      </c>
      <c r="N15" s="23"/>
      <c r="O15" s="26" t="n">
        <f>31271820662</f>
        <v>3.1271820662E10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12174</f>
        <v>12174.0</v>
      </c>
      <c r="U15" s="23"/>
      <c r="V15" s="25" t="n">
        <f>5691</f>
        <v>5691.0</v>
      </c>
      <c r="W15" s="23"/>
      <c r="X15" s="26" t="n">
        <f>17865</f>
        <v>17865.0</v>
      </c>
      <c r="Y15" s="24"/>
      <c r="Z15" s="25" t="n">
        <f>1083740</f>
        <v>1083740.0</v>
      </c>
      <c r="AA15" s="23"/>
      <c r="AB15" s="25" t="n">
        <f>580209</f>
        <v>580209.0</v>
      </c>
      <c r="AC15" s="23"/>
      <c r="AD15" s="26" t="n">
        <f>1663949</f>
        <v>1663949.0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94942</f>
        <v>94942.0</v>
      </c>
      <c r="F16" s="23"/>
      <c r="G16" s="25" t="n">
        <f>59596</f>
        <v>59596.0</v>
      </c>
      <c r="H16" s="23"/>
      <c r="I16" s="26" t="n">
        <f>154538</f>
        <v>154538.0</v>
      </c>
      <c r="J16" s="24"/>
      <c r="K16" s="25" t="n">
        <f>30479273427</f>
        <v>3.0479273427E10</v>
      </c>
      <c r="L16" s="23"/>
      <c r="M16" s="25" t="n">
        <f>11330846160</f>
        <v>1.133084616E10</v>
      </c>
      <c r="N16" s="23"/>
      <c r="O16" s="26" t="n">
        <f>41810119587</f>
        <v>4.1810119587E10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16091</f>
        <v>16091.0</v>
      </c>
      <c r="U16" s="23"/>
      <c r="V16" s="25" t="n">
        <f>7281</f>
        <v>7281.0</v>
      </c>
      <c r="W16" s="23"/>
      <c r="X16" s="26" t="n">
        <f>23372</f>
        <v>23372.0</v>
      </c>
      <c r="Y16" s="24"/>
      <c r="Z16" s="25" t="n">
        <f>1087163</f>
        <v>1087163.0</v>
      </c>
      <c r="AA16" s="23"/>
      <c r="AB16" s="25" t="n">
        <f>586041</f>
        <v>586041.0</v>
      </c>
      <c r="AC16" s="23"/>
      <c r="AD16" s="26" t="n">
        <f>1673204</f>
        <v>1673204.0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93150</f>
        <v>93150.0</v>
      </c>
      <c r="F17" s="23" t="s">
        <v>29</v>
      </c>
      <c r="G17" s="25" t="n">
        <f>65781</f>
        <v>65781.0</v>
      </c>
      <c r="H17" s="23"/>
      <c r="I17" s="26" t="n">
        <f>158931</f>
        <v>158931.0</v>
      </c>
      <c r="J17" s="24"/>
      <c r="K17" s="25" t="n">
        <f>24156984100</f>
        <v>2.41569841E10</v>
      </c>
      <c r="L17" s="23"/>
      <c r="M17" s="25" t="n">
        <f>14493022490</f>
        <v>1.449302249E10</v>
      </c>
      <c r="N17" s="23"/>
      <c r="O17" s="26" t="n">
        <f>38650006590</f>
        <v>3.865000659E10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18299</f>
        <v>18299.0</v>
      </c>
      <c r="U17" s="23"/>
      <c r="V17" s="25" t="n">
        <f>5397</f>
        <v>5397.0</v>
      </c>
      <c r="W17" s="23"/>
      <c r="X17" s="26" t="n">
        <f>23696</f>
        <v>23696.0</v>
      </c>
      <c r="Y17" s="24" t="s">
        <v>29</v>
      </c>
      <c r="Z17" s="25" t="n">
        <f>1113048</f>
        <v>1113048.0</v>
      </c>
      <c r="AA17" s="23" t="s">
        <v>29</v>
      </c>
      <c r="AB17" s="25" t="n">
        <f>605492</f>
        <v>605492.0</v>
      </c>
      <c r="AC17" s="23" t="s">
        <v>29</v>
      </c>
      <c r="AD17" s="26" t="n">
        <f>1718540</f>
        <v>1718540.0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40505</f>
        <v>40505.0</v>
      </c>
      <c r="F18" s="23" t="s">
        <v>38</v>
      </c>
      <c r="G18" s="25" t="n">
        <f>22539</f>
        <v>22539.0</v>
      </c>
      <c r="H18" s="23"/>
      <c r="I18" s="26" t="n">
        <f>63044</f>
        <v>63044.0</v>
      </c>
      <c r="J18" s="24"/>
      <c r="K18" s="25" t="n">
        <f>12869354432</f>
        <v>1.2869354432E10</v>
      </c>
      <c r="L18" s="23" t="s">
        <v>38</v>
      </c>
      <c r="M18" s="25" t="n">
        <f>5423192755</f>
        <v>5.423192755E9</v>
      </c>
      <c r="N18" s="23"/>
      <c r="O18" s="26" t="n">
        <f>18292547187</f>
        <v>1.8292547187E10</v>
      </c>
      <c r="P18" s="27" t="n">
        <f>12964</f>
        <v>12964.0</v>
      </c>
      <c r="Q18" s="28" t="n">
        <f>42188</f>
        <v>42188.0</v>
      </c>
      <c r="R18" s="29" t="n">
        <f>55152</f>
        <v>55152.0</v>
      </c>
      <c r="S18" s="24"/>
      <c r="T18" s="25" t="n">
        <f>9921</f>
        <v>9921.0</v>
      </c>
      <c r="U18" s="23" t="s">
        <v>38</v>
      </c>
      <c r="V18" s="25" t="n">
        <f>4627</f>
        <v>4627.0</v>
      </c>
      <c r="W18" s="23"/>
      <c r="X18" s="26" t="n">
        <f>14548</f>
        <v>14548.0</v>
      </c>
      <c r="Y18" s="24" t="s">
        <v>38</v>
      </c>
      <c r="Z18" s="25" t="n">
        <f>901860</f>
        <v>901860.0</v>
      </c>
      <c r="AA18" s="23" t="s">
        <v>38</v>
      </c>
      <c r="AB18" s="25" t="n">
        <f>467320</f>
        <v>467320.0</v>
      </c>
      <c r="AC18" s="23" t="s">
        <v>38</v>
      </c>
      <c r="AD18" s="26" t="n">
        <f>1369180</f>
        <v>1369180.0</v>
      </c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 t="n">
        <f>73027</f>
        <v>73027.0</v>
      </c>
      <c r="F21" s="23"/>
      <c r="G21" s="25" t="n">
        <f>28441</f>
        <v>28441.0</v>
      </c>
      <c r="H21" s="23"/>
      <c r="I21" s="26" t="n">
        <f>101468</f>
        <v>101468.0</v>
      </c>
      <c r="J21" s="24"/>
      <c r="K21" s="25" t="n">
        <f>18194657670</f>
        <v>1.819465767E10</v>
      </c>
      <c r="L21" s="23"/>
      <c r="M21" s="25" t="n">
        <f>7564622059</f>
        <v>7.564622059E9</v>
      </c>
      <c r="N21" s="23"/>
      <c r="O21" s="26" t="n">
        <f>25759279729</f>
        <v>2.5759279729E10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13087</f>
        <v>13087.0</v>
      </c>
      <c r="U21" s="23"/>
      <c r="V21" s="25" t="n">
        <f>6586</f>
        <v>6586.0</v>
      </c>
      <c r="W21" s="23"/>
      <c r="X21" s="26" t="n">
        <f>19673</f>
        <v>19673.0</v>
      </c>
      <c r="Y21" s="24"/>
      <c r="Z21" s="25" t="n">
        <f>929969</f>
        <v>929969.0</v>
      </c>
      <c r="AA21" s="23"/>
      <c r="AB21" s="25" t="n">
        <f>476152</f>
        <v>476152.0</v>
      </c>
      <c r="AC21" s="23"/>
      <c r="AD21" s="26" t="n">
        <f>1406121</f>
        <v>1406121.0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68944</f>
        <v>68944.0</v>
      </c>
      <c r="F22" s="23"/>
      <c r="G22" s="25" t="n">
        <f>36691</f>
        <v>36691.0</v>
      </c>
      <c r="H22" s="23"/>
      <c r="I22" s="26" t="n">
        <f>105635</f>
        <v>105635.0</v>
      </c>
      <c r="J22" s="24"/>
      <c r="K22" s="25" t="n">
        <f>21333277300</f>
        <v>2.13332773E10</v>
      </c>
      <c r="L22" s="23"/>
      <c r="M22" s="25" t="n">
        <f>9820841610</f>
        <v>9.82084161E9</v>
      </c>
      <c r="N22" s="23"/>
      <c r="O22" s="26" t="n">
        <f>31154118910</f>
        <v>3.115411891E10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24239</f>
        <v>24239.0</v>
      </c>
      <c r="U22" s="23"/>
      <c r="V22" s="25" t="n">
        <f>9865</f>
        <v>9865.0</v>
      </c>
      <c r="W22" s="23"/>
      <c r="X22" s="26" t="n">
        <f>34104</f>
        <v>34104.0</v>
      </c>
      <c r="Y22" s="24"/>
      <c r="Z22" s="25" t="n">
        <f>937601</f>
        <v>937601.0</v>
      </c>
      <c r="AA22" s="23"/>
      <c r="AB22" s="25" t="n">
        <f>481139</f>
        <v>481139.0</v>
      </c>
      <c r="AC22" s="23"/>
      <c r="AD22" s="26" t="n">
        <f>1418740</f>
        <v>1418740.0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80602</f>
        <v>80602.0</v>
      </c>
      <c r="F23" s="23"/>
      <c r="G23" s="25" t="n">
        <f>44650</f>
        <v>44650.0</v>
      </c>
      <c r="H23" s="23"/>
      <c r="I23" s="26" t="n">
        <f>125252</f>
        <v>125252.0</v>
      </c>
      <c r="J23" s="24"/>
      <c r="K23" s="25" t="n">
        <f>25365397290</f>
        <v>2.536539729E10</v>
      </c>
      <c r="L23" s="23"/>
      <c r="M23" s="25" t="n">
        <f>7915919270</f>
        <v>7.91591927E9</v>
      </c>
      <c r="N23" s="23"/>
      <c r="O23" s="26" t="n">
        <f>33281316560</f>
        <v>3.328131656E10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7214</f>
        <v>7214.0</v>
      </c>
      <c r="U23" s="23"/>
      <c r="V23" s="25" t="n">
        <f>5613</f>
        <v>5613.0</v>
      </c>
      <c r="W23" s="23"/>
      <c r="X23" s="26" t="n">
        <f>12827</f>
        <v>12827.0</v>
      </c>
      <c r="Y23" s="24"/>
      <c r="Z23" s="25" t="n">
        <f>959490</f>
        <v>959490.0</v>
      </c>
      <c r="AA23" s="23"/>
      <c r="AB23" s="25" t="n">
        <f>488025</f>
        <v>488025.0</v>
      </c>
      <c r="AC23" s="23"/>
      <c r="AD23" s="26" t="n">
        <f>1447515</f>
        <v>1447515.0</v>
      </c>
    </row>
    <row r="24">
      <c r="A24" s="30" t="s">
        <v>44</v>
      </c>
      <c r="B24" s="22" t="s">
        <v>27</v>
      </c>
      <c r="C24" s="22" t="s">
        <v>28</v>
      </c>
      <c r="D24" s="24" t="s">
        <v>38</v>
      </c>
      <c r="E24" s="25" t="n">
        <f>29680</f>
        <v>29680.0</v>
      </c>
      <c r="F24" s="23"/>
      <c r="G24" s="25" t="n">
        <f>23926</f>
        <v>23926.0</v>
      </c>
      <c r="H24" s="23" t="s">
        <v>38</v>
      </c>
      <c r="I24" s="26" t="n">
        <f>53606</f>
        <v>53606.0</v>
      </c>
      <c r="J24" s="24" t="s">
        <v>38</v>
      </c>
      <c r="K24" s="25" t="n">
        <f>10121283960</f>
        <v>1.012128396E10</v>
      </c>
      <c r="L24" s="23"/>
      <c r="M24" s="25" t="n">
        <f>7165636090</f>
        <v>7.16563609E9</v>
      </c>
      <c r="N24" s="23" t="s">
        <v>38</v>
      </c>
      <c r="O24" s="26" t="n">
        <f>17286920050</f>
        <v>1.728692005E10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 t="s">
        <v>38</v>
      </c>
      <c r="T24" s="25" t="n">
        <f>5429</f>
        <v>5429.0</v>
      </c>
      <c r="U24" s="23"/>
      <c r="V24" s="25" t="n">
        <f>5321</f>
        <v>5321.0</v>
      </c>
      <c r="W24" s="23" t="s">
        <v>38</v>
      </c>
      <c r="X24" s="26" t="n">
        <f>10750</f>
        <v>10750.0</v>
      </c>
      <c r="Y24" s="24"/>
      <c r="Z24" s="25" t="n">
        <f>968974</f>
        <v>968974.0</v>
      </c>
      <c r="AA24" s="23"/>
      <c r="AB24" s="25" t="n">
        <f>492201</f>
        <v>492201.0</v>
      </c>
      <c r="AC24" s="23"/>
      <c r="AD24" s="26" t="n">
        <f>1461175</f>
        <v>1461175.0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59744</f>
        <v>59744.0</v>
      </c>
      <c r="F25" s="23"/>
      <c r="G25" s="25" t="n">
        <f>42017</f>
        <v>42017.0</v>
      </c>
      <c r="H25" s="23"/>
      <c r="I25" s="26" t="n">
        <f>101761</f>
        <v>101761.0</v>
      </c>
      <c r="J25" s="24"/>
      <c r="K25" s="25" t="n">
        <f>29459116150</f>
        <v>2.945911615E10</v>
      </c>
      <c r="L25" s="23"/>
      <c r="M25" s="25" t="n">
        <f>9974117900</f>
        <v>9.9741179E9</v>
      </c>
      <c r="N25" s="23"/>
      <c r="O25" s="26" t="n">
        <f>39433234050</f>
        <v>3.943323405E10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10542</f>
        <v>10542.0</v>
      </c>
      <c r="U25" s="23"/>
      <c r="V25" s="25" t="n">
        <f>5592</f>
        <v>5592.0</v>
      </c>
      <c r="W25" s="23"/>
      <c r="X25" s="26" t="n">
        <f>16134</f>
        <v>16134.0</v>
      </c>
      <c r="Y25" s="24"/>
      <c r="Z25" s="25" t="n">
        <f>982184</f>
        <v>982184.0</v>
      </c>
      <c r="AA25" s="23"/>
      <c r="AB25" s="25" t="n">
        <f>499306</f>
        <v>499306.0</v>
      </c>
      <c r="AC25" s="23"/>
      <c r="AD25" s="26" t="n">
        <f>1481490</f>
        <v>1481490.0</v>
      </c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 t="n">
        <f>46292</f>
        <v>46292.0</v>
      </c>
      <c r="F29" s="23"/>
      <c r="G29" s="25" t="n">
        <f>31347</f>
        <v>31347.0</v>
      </c>
      <c r="H29" s="23"/>
      <c r="I29" s="26" t="n">
        <f>77639</f>
        <v>77639.0</v>
      </c>
      <c r="J29" s="24"/>
      <c r="K29" s="25" t="n">
        <f>11992175767</f>
        <v>1.1992175767E10</v>
      </c>
      <c r="L29" s="23"/>
      <c r="M29" s="25" t="n">
        <f>12894420390</f>
        <v>1.289442039E10</v>
      </c>
      <c r="N29" s="23"/>
      <c r="O29" s="26" t="n">
        <f>24886596157</f>
        <v>2.4886596157E10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9029</f>
        <v>9029.0</v>
      </c>
      <c r="U29" s="23"/>
      <c r="V29" s="25" t="n">
        <f>6772</f>
        <v>6772.0</v>
      </c>
      <c r="W29" s="23"/>
      <c r="X29" s="26" t="n">
        <f>15801</f>
        <v>15801.0</v>
      </c>
      <c r="Y29" s="24"/>
      <c r="Z29" s="25" t="n">
        <f>995217</f>
        <v>995217.0</v>
      </c>
      <c r="AA29" s="23"/>
      <c r="AB29" s="25" t="n">
        <f>506216</f>
        <v>506216.0</v>
      </c>
      <c r="AC29" s="23"/>
      <c r="AD29" s="26" t="n">
        <f>1501433</f>
        <v>1501433.0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79128</f>
        <v>79128.0</v>
      </c>
      <c r="F30" s="23"/>
      <c r="G30" s="25" t="n">
        <f>47279</f>
        <v>47279.0</v>
      </c>
      <c r="H30" s="23"/>
      <c r="I30" s="26" t="n">
        <f>126407</f>
        <v>126407.0</v>
      </c>
      <c r="J30" s="24" t="s">
        <v>29</v>
      </c>
      <c r="K30" s="25" t="n">
        <f>33807868372</f>
        <v>3.3807868372E10</v>
      </c>
      <c r="L30" s="23"/>
      <c r="M30" s="25" t="n">
        <f>16883702720</f>
        <v>1.688370272E10</v>
      </c>
      <c r="N30" s="23"/>
      <c r="O30" s="26" t="n">
        <f>50691571092</f>
        <v>5.0691571092E10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20047</f>
        <v>20047.0</v>
      </c>
      <c r="U30" s="23"/>
      <c r="V30" s="25" t="n">
        <f>8013</f>
        <v>8013.0</v>
      </c>
      <c r="W30" s="23"/>
      <c r="X30" s="26" t="n">
        <f>28060</f>
        <v>28060.0</v>
      </c>
      <c r="Y30" s="24"/>
      <c r="Z30" s="25" t="n">
        <f>1017315</f>
        <v>1017315.0</v>
      </c>
      <c r="AA30" s="23"/>
      <c r="AB30" s="25" t="n">
        <f>524254</f>
        <v>524254.0</v>
      </c>
      <c r="AC30" s="23"/>
      <c r="AD30" s="26" t="n">
        <f>1541569</f>
        <v>1541569.0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63689</f>
        <v>63689.0</v>
      </c>
      <c r="F31" s="23"/>
      <c r="G31" s="25" t="n">
        <f>64480</f>
        <v>64480.0</v>
      </c>
      <c r="H31" s="23"/>
      <c r="I31" s="26" t="n">
        <f>128169</f>
        <v>128169.0</v>
      </c>
      <c r="J31" s="24"/>
      <c r="K31" s="25" t="n">
        <f>23631353955</f>
        <v>2.3631353955E10</v>
      </c>
      <c r="L31" s="23" t="s">
        <v>29</v>
      </c>
      <c r="M31" s="25" t="n">
        <f>27858253622</f>
        <v>2.7858253622E10</v>
      </c>
      <c r="N31" s="23" t="s">
        <v>29</v>
      </c>
      <c r="O31" s="26" t="n">
        <f>51489607577</f>
        <v>5.1489607577E10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8479</f>
        <v>8479.0</v>
      </c>
      <c r="U31" s="23"/>
      <c r="V31" s="25" t="n">
        <f>8589</f>
        <v>8589.0</v>
      </c>
      <c r="W31" s="23"/>
      <c r="X31" s="26" t="n">
        <f>17068</f>
        <v>17068.0</v>
      </c>
      <c r="Y31" s="24"/>
      <c r="Z31" s="25" t="n">
        <f>1021224</f>
        <v>1021224.0</v>
      </c>
      <c r="AA31" s="23"/>
      <c r="AB31" s="25" t="n">
        <f>533740</f>
        <v>533740.0</v>
      </c>
      <c r="AC31" s="23"/>
      <c r="AD31" s="26" t="n">
        <f>1554964</f>
        <v>1554964.0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 t="s">
        <v>29</v>
      </c>
      <c r="E35" s="25" t="n">
        <f>109660</f>
        <v>109660.0</v>
      </c>
      <c r="F35" s="23"/>
      <c r="G35" s="25" t="n">
        <f>55920</f>
        <v>55920.0</v>
      </c>
      <c r="H35" s="23" t="s">
        <v>29</v>
      </c>
      <c r="I35" s="26" t="n">
        <f>165580</f>
        <v>165580.0</v>
      </c>
      <c r="J35" s="24"/>
      <c r="K35" s="25" t="n">
        <f>32993966825</f>
        <v>3.2993966825E10</v>
      </c>
      <c r="L35" s="23"/>
      <c r="M35" s="25" t="n">
        <f>15205479820</f>
        <v>1.520547982E10</v>
      </c>
      <c r="N35" s="23"/>
      <c r="O35" s="26" t="n">
        <f>48199446645</f>
        <v>4.8199446645E10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 t="s">
        <v>29</v>
      </c>
      <c r="T35" s="25" t="n">
        <f>26174</f>
        <v>26174.0</v>
      </c>
      <c r="U35" s="23"/>
      <c r="V35" s="25" t="n">
        <f>12052</f>
        <v>12052.0</v>
      </c>
      <c r="W35" s="23" t="s">
        <v>29</v>
      </c>
      <c r="X35" s="26" t="n">
        <f>38226</f>
        <v>38226.0</v>
      </c>
      <c r="Y35" s="24"/>
      <c r="Z35" s="25" t="n">
        <f>1039356</f>
        <v>1039356.0</v>
      </c>
      <c r="AA35" s="23"/>
      <c r="AB35" s="25" t="n">
        <f>540473</f>
        <v>540473.0</v>
      </c>
      <c r="AC35" s="23"/>
      <c r="AD35" s="26" t="n">
        <f>1579829</f>
        <v>1579829.0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46957</f>
        <v>46957.0</v>
      </c>
      <c r="F36" s="23"/>
      <c r="G36" s="25" t="n">
        <f>28845</f>
        <v>28845.0</v>
      </c>
      <c r="H36" s="23"/>
      <c r="I36" s="26" t="n">
        <f>75802</f>
        <v>75802.0</v>
      </c>
      <c r="J36" s="24"/>
      <c r="K36" s="25" t="n">
        <f>20580374168</f>
        <v>2.0580374168E10</v>
      </c>
      <c r="L36" s="23"/>
      <c r="M36" s="25" t="n">
        <f>11589913150</f>
        <v>1.158991315E10</v>
      </c>
      <c r="N36" s="23"/>
      <c r="O36" s="26" t="n">
        <f>32170287318</f>
        <v>3.2170287318E10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9383</f>
        <v>9383.0</v>
      </c>
      <c r="U36" s="23"/>
      <c r="V36" s="25" t="n">
        <f>6840</f>
        <v>6840.0</v>
      </c>
      <c r="W36" s="23"/>
      <c r="X36" s="26" t="n">
        <f>16223</f>
        <v>16223.0</v>
      </c>
      <c r="Y36" s="24"/>
      <c r="Z36" s="25" t="n">
        <f>1051059</f>
        <v>1051059.0</v>
      </c>
      <c r="AA36" s="23"/>
      <c r="AB36" s="25" t="n">
        <f>546428</f>
        <v>546428.0</v>
      </c>
      <c r="AC36" s="23"/>
      <c r="AD36" s="26" t="n">
        <f>1597487</f>
        <v>1597487.0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71090</f>
        <v>71090.0</v>
      </c>
      <c r="F37" s="23"/>
      <c r="G37" s="25" t="n">
        <f>58315</f>
        <v>58315.0</v>
      </c>
      <c r="H37" s="23"/>
      <c r="I37" s="26" t="n">
        <f>129405</f>
        <v>129405.0</v>
      </c>
      <c r="J37" s="24"/>
      <c r="K37" s="25" t="n">
        <f>24151917718</f>
        <v>2.4151917718E10</v>
      </c>
      <c r="L37" s="23"/>
      <c r="M37" s="25" t="n">
        <f>15596992460</f>
        <v>1.559699246E10</v>
      </c>
      <c r="N37" s="23"/>
      <c r="O37" s="26" t="n">
        <f>39748910178</f>
        <v>3.9748910178E10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14578</f>
        <v>14578.0</v>
      </c>
      <c r="U37" s="23"/>
      <c r="V37" s="25" t="n">
        <f>8076</f>
        <v>8076.0</v>
      </c>
      <c r="W37" s="23"/>
      <c r="X37" s="26" t="n">
        <f>22654</f>
        <v>22654.0</v>
      </c>
      <c r="Y37" s="24"/>
      <c r="Z37" s="25" t="n">
        <f>1059781</f>
        <v>1059781.0</v>
      </c>
      <c r="AA37" s="23"/>
      <c r="AB37" s="25" t="n">
        <f>559764</f>
        <v>559764.0</v>
      </c>
      <c r="AC37" s="23"/>
      <c r="AD37" s="26" t="n">
        <f>1619545</f>
        <v>1619545.0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64224</f>
        <v>64224.0</v>
      </c>
      <c r="F38" s="23"/>
      <c r="G38" s="25" t="n">
        <f>55351</f>
        <v>55351.0</v>
      </c>
      <c r="H38" s="23"/>
      <c r="I38" s="26" t="n">
        <f>119575</f>
        <v>119575.0</v>
      </c>
      <c r="J38" s="24"/>
      <c r="K38" s="25" t="n">
        <f>20249997660</f>
        <v>2.024999766E10</v>
      </c>
      <c r="L38" s="23"/>
      <c r="M38" s="25" t="n">
        <f>24694665760</f>
        <v>2.469466576E10</v>
      </c>
      <c r="N38" s="23"/>
      <c r="O38" s="26" t="n">
        <f>44944663420</f>
        <v>4.494466342E10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7985</f>
        <v>7985.0</v>
      </c>
      <c r="U38" s="23"/>
      <c r="V38" s="25" t="n">
        <f>8824</f>
        <v>8824.0</v>
      </c>
      <c r="W38" s="23"/>
      <c r="X38" s="26" t="n">
        <f>16809</f>
        <v>16809.0</v>
      </c>
      <c r="Y38" s="24"/>
      <c r="Z38" s="25" t="n">
        <f>1070038</f>
        <v>1070038.0</v>
      </c>
      <c r="AA38" s="23"/>
      <c r="AB38" s="25" t="n">
        <f>572031</f>
        <v>572031.0</v>
      </c>
      <c r="AC38" s="23"/>
      <c r="AD38" s="26" t="n">
        <f>1642069</f>
        <v>1642069.0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65129</f>
        <v>65129.0</v>
      </c>
      <c r="F39" s="23"/>
      <c r="G39" s="25" t="n">
        <f>41384</f>
        <v>41384.0</v>
      </c>
      <c r="H39" s="23"/>
      <c r="I39" s="26" t="n">
        <f>106513</f>
        <v>106513.0</v>
      </c>
      <c r="J39" s="24"/>
      <c r="K39" s="25" t="n">
        <f>19638652157</f>
        <v>1.9638652157E10</v>
      </c>
      <c r="L39" s="23"/>
      <c r="M39" s="25" t="n">
        <f>12246248950</f>
        <v>1.224624895E10</v>
      </c>
      <c r="N39" s="23"/>
      <c r="O39" s="26" t="n">
        <f>31884901107</f>
        <v>3.1884901107E10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12537</f>
        <v>12537.0</v>
      </c>
      <c r="U39" s="23"/>
      <c r="V39" s="25" t="n">
        <f>8950</f>
        <v>8950.0</v>
      </c>
      <c r="W39" s="23"/>
      <c r="X39" s="26" t="n">
        <f>21487</f>
        <v>21487.0</v>
      </c>
      <c r="Y39" s="24"/>
      <c r="Z39" s="25" t="n">
        <f>1077854</f>
        <v>1077854.0</v>
      </c>
      <c r="AA39" s="23"/>
      <c r="AB39" s="25" t="n">
        <f>575813</f>
        <v>575813.0</v>
      </c>
      <c r="AC39" s="23"/>
      <c r="AD39" s="26" t="n">
        <f>1653667</f>
        <v>1653667.0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3261</f>
        <v>3261.0</v>
      </c>
      <c r="F40" s="23"/>
      <c r="G40" s="25" t="n">
        <f>2609</f>
        <v>2609.0</v>
      </c>
      <c r="H40" s="23"/>
      <c r="I40" s="26" t="n">
        <f>5870</f>
        <v>5870.0</v>
      </c>
      <c r="J40" s="24"/>
      <c r="K40" s="25" t="n">
        <f>83276000</f>
        <v>8.3276E7</v>
      </c>
      <c r="L40" s="23"/>
      <c r="M40" s="25" t="n">
        <f>72895000</f>
        <v>7.2895E7</v>
      </c>
      <c r="N40" s="23"/>
      <c r="O40" s="26" t="n">
        <f>156171000</f>
        <v>1.56171E8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194</f>
        <v>194.0</v>
      </c>
      <c r="U40" s="23"/>
      <c r="V40" s="25" t="n">
        <f>195</f>
        <v>195.0</v>
      </c>
      <c r="W40" s="23"/>
      <c r="X40" s="26" t="n">
        <f>389</f>
        <v>389.0</v>
      </c>
      <c r="Y40" s="24"/>
      <c r="Z40" s="25" t="n">
        <f>6680</f>
        <v>6680.0</v>
      </c>
      <c r="AA40" s="23"/>
      <c r="AB40" s="25" t="n">
        <f>5621</f>
        <v>5621.0</v>
      </c>
      <c r="AC40" s="23"/>
      <c r="AD40" s="26" t="n">
        <f>12301</f>
        <v>12301.0</v>
      </c>
    </row>
    <row r="41">
      <c r="A41" s="30" t="s">
        <v>30</v>
      </c>
      <c r="B41" s="22" t="s">
        <v>60</v>
      </c>
      <c r="C41" s="22" t="s">
        <v>61</v>
      </c>
      <c r="D41" s="24" t="s">
        <v>38</v>
      </c>
      <c r="E41" s="25" t="n">
        <f>137</f>
        <v>137.0</v>
      </c>
      <c r="F41" s="23"/>
      <c r="G41" s="25" t="n">
        <f>416</f>
        <v>416.0</v>
      </c>
      <c r="H41" s="23"/>
      <c r="I41" s="26" t="n">
        <f>553</f>
        <v>553.0</v>
      </c>
      <c r="J41" s="24"/>
      <c r="K41" s="25" t="n">
        <f>39927000</f>
        <v>3.9927E7</v>
      </c>
      <c r="L41" s="23"/>
      <c r="M41" s="25" t="n">
        <f>69818000</f>
        <v>6.9818E7</v>
      </c>
      <c r="N41" s="23"/>
      <c r="O41" s="26" t="n">
        <f>109745000</f>
        <v>1.09745E8</v>
      </c>
      <c r="P41" s="27" t="n">
        <f>555</f>
        <v>555.0</v>
      </c>
      <c r="Q41" s="28" t="n">
        <f>86</f>
        <v>86.0</v>
      </c>
      <c r="R41" s="29" t="n">
        <f>641</f>
        <v>641.0</v>
      </c>
      <c r="S41" s="24" t="s">
        <v>38</v>
      </c>
      <c r="T41" s="25" t="str">
        <f>"－"</f>
        <v>－</v>
      </c>
      <c r="U41" s="23"/>
      <c r="V41" s="25" t="n">
        <f>290</f>
        <v>290.0</v>
      </c>
      <c r="W41" s="23"/>
      <c r="X41" s="26" t="n">
        <f>290</f>
        <v>290.0</v>
      </c>
      <c r="Y41" s="24" t="s">
        <v>38</v>
      </c>
      <c r="Z41" s="25" t="n">
        <f>209</f>
        <v>209.0</v>
      </c>
      <c r="AA41" s="23" t="s">
        <v>38</v>
      </c>
      <c r="AB41" s="25" t="n">
        <f>1059</f>
        <v>1059.0</v>
      </c>
      <c r="AC41" s="23" t="s">
        <v>38</v>
      </c>
      <c r="AD41" s="26" t="n">
        <f>1268</f>
        <v>1268.0</v>
      </c>
    </row>
    <row r="42">
      <c r="A42" s="30" t="s">
        <v>31</v>
      </c>
      <c r="B42" s="22" t="s">
        <v>60</v>
      </c>
      <c r="C42" s="22" t="s">
        <v>61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32</v>
      </c>
      <c r="B43" s="22" t="s">
        <v>60</v>
      </c>
      <c r="C43" s="22" t="s">
        <v>61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33</v>
      </c>
      <c r="B44" s="22" t="s">
        <v>60</v>
      </c>
      <c r="C44" s="22" t="s">
        <v>61</v>
      </c>
      <c r="D44" s="24"/>
      <c r="E44" s="25" t="n">
        <f>161</f>
        <v>161.0</v>
      </c>
      <c r="F44" s="23" t="s">
        <v>38</v>
      </c>
      <c r="G44" s="25" t="n">
        <f>156</f>
        <v>156.0</v>
      </c>
      <c r="H44" s="23" t="s">
        <v>38</v>
      </c>
      <c r="I44" s="26" t="n">
        <f>317</f>
        <v>317.0</v>
      </c>
      <c r="J44" s="24" t="s">
        <v>38</v>
      </c>
      <c r="K44" s="25" t="n">
        <f>19100000</f>
        <v>1.91E7</v>
      </c>
      <c r="L44" s="23" t="s">
        <v>38</v>
      </c>
      <c r="M44" s="25" t="n">
        <f>11897000</f>
        <v>1.1897E7</v>
      </c>
      <c r="N44" s="23" t="s">
        <v>38</v>
      </c>
      <c r="O44" s="26" t="n">
        <f>30997000</f>
        <v>3.0997E7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14</f>
        <v>14.0</v>
      </c>
      <c r="U44" s="23" t="s">
        <v>38</v>
      </c>
      <c r="V44" s="25" t="n">
        <f>4</f>
        <v>4.0</v>
      </c>
      <c r="W44" s="23" t="s">
        <v>38</v>
      </c>
      <c r="X44" s="26" t="n">
        <f>18</f>
        <v>18.0</v>
      </c>
      <c r="Y44" s="24"/>
      <c r="Z44" s="25" t="n">
        <f>340</f>
        <v>340.0</v>
      </c>
      <c r="AA44" s="23"/>
      <c r="AB44" s="25" t="n">
        <f>1171</f>
        <v>1171.0</v>
      </c>
      <c r="AC44" s="23"/>
      <c r="AD44" s="26" t="n">
        <f>1511</f>
        <v>1511.0</v>
      </c>
    </row>
    <row r="45">
      <c r="A45" s="30" t="s">
        <v>34</v>
      </c>
      <c r="B45" s="22" t="s">
        <v>60</v>
      </c>
      <c r="C45" s="22" t="s">
        <v>61</v>
      </c>
      <c r="D45" s="24"/>
      <c r="E45" s="25" t="n">
        <f>405</f>
        <v>405.0</v>
      </c>
      <c r="F45" s="23"/>
      <c r="G45" s="25" t="n">
        <f>197</f>
        <v>197.0</v>
      </c>
      <c r="H45" s="23"/>
      <c r="I45" s="26" t="n">
        <f>602</f>
        <v>602.0</v>
      </c>
      <c r="J45" s="24"/>
      <c r="K45" s="25" t="n">
        <f>38446000</f>
        <v>3.8446E7</v>
      </c>
      <c r="L45" s="23"/>
      <c r="M45" s="25" t="n">
        <f>17141000</f>
        <v>1.7141E7</v>
      </c>
      <c r="N45" s="23"/>
      <c r="O45" s="26" t="n">
        <f>55587000</f>
        <v>5.5587E7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20</f>
        <v>20.0</v>
      </c>
      <c r="U45" s="23"/>
      <c r="V45" s="25" t="n">
        <f>10</f>
        <v>10.0</v>
      </c>
      <c r="W45" s="23"/>
      <c r="X45" s="26" t="n">
        <f>30</f>
        <v>30.0</v>
      </c>
      <c r="Y45" s="24"/>
      <c r="Z45" s="25" t="n">
        <f>684</f>
        <v>684.0</v>
      </c>
      <c r="AA45" s="23"/>
      <c r="AB45" s="25" t="n">
        <f>1308</f>
        <v>1308.0</v>
      </c>
      <c r="AC45" s="23"/>
      <c r="AD45" s="26" t="n">
        <f>1992</f>
        <v>1992.0</v>
      </c>
    </row>
    <row r="46">
      <c r="A46" s="30" t="s">
        <v>35</v>
      </c>
      <c r="B46" s="22" t="s">
        <v>60</v>
      </c>
      <c r="C46" s="22" t="s">
        <v>61</v>
      </c>
      <c r="D46" s="24"/>
      <c r="E46" s="25" t="n">
        <f>873</f>
        <v>873.0</v>
      </c>
      <c r="F46" s="23"/>
      <c r="G46" s="25" t="n">
        <f>571</f>
        <v>571.0</v>
      </c>
      <c r="H46" s="23"/>
      <c r="I46" s="26" t="n">
        <f>1444</f>
        <v>1444.0</v>
      </c>
      <c r="J46" s="24"/>
      <c r="K46" s="25" t="n">
        <f>158074000</f>
        <v>1.58074E8</v>
      </c>
      <c r="L46" s="23"/>
      <c r="M46" s="25" t="n">
        <f>51792000</f>
        <v>5.1792E7</v>
      </c>
      <c r="N46" s="23"/>
      <c r="O46" s="26" t="n">
        <f>209866000</f>
        <v>2.09866E8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58</f>
        <v>58.0</v>
      </c>
      <c r="U46" s="23"/>
      <c r="V46" s="25" t="n">
        <f>19</f>
        <v>19.0</v>
      </c>
      <c r="W46" s="23"/>
      <c r="X46" s="26" t="n">
        <f>77</f>
        <v>77.0</v>
      </c>
      <c r="Y46" s="24"/>
      <c r="Z46" s="25" t="n">
        <f>1173</f>
        <v>1173.0</v>
      </c>
      <c r="AA46" s="23"/>
      <c r="AB46" s="25" t="n">
        <f>1668</f>
        <v>1668.0</v>
      </c>
      <c r="AC46" s="23"/>
      <c r="AD46" s="26" t="n">
        <f>2841</f>
        <v>2841.0</v>
      </c>
    </row>
    <row r="47">
      <c r="A47" s="30" t="s">
        <v>36</v>
      </c>
      <c r="B47" s="22" t="s">
        <v>60</v>
      </c>
      <c r="C47" s="22" t="s">
        <v>61</v>
      </c>
      <c r="D47" s="24"/>
      <c r="E47" s="25" t="n">
        <f>1690</f>
        <v>1690.0</v>
      </c>
      <c r="F47" s="23"/>
      <c r="G47" s="25" t="n">
        <f>912</f>
        <v>912.0</v>
      </c>
      <c r="H47" s="23"/>
      <c r="I47" s="26" t="n">
        <f>2602</f>
        <v>2602.0</v>
      </c>
      <c r="J47" s="24"/>
      <c r="K47" s="25" t="n">
        <f>209315440</f>
        <v>2.0931544E8</v>
      </c>
      <c r="L47" s="23"/>
      <c r="M47" s="25" t="n">
        <f>97542000</f>
        <v>9.7542E7</v>
      </c>
      <c r="N47" s="23"/>
      <c r="O47" s="26" t="n">
        <f>306857440</f>
        <v>3.0685744E8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399</f>
        <v>399.0</v>
      </c>
      <c r="U47" s="23"/>
      <c r="V47" s="25" t="n">
        <f>64</f>
        <v>64.0</v>
      </c>
      <c r="W47" s="23"/>
      <c r="X47" s="26" t="n">
        <f>463</f>
        <v>463.0</v>
      </c>
      <c r="Y47" s="24"/>
      <c r="Z47" s="25" t="n">
        <f>2405</f>
        <v>2405.0</v>
      </c>
      <c r="AA47" s="23"/>
      <c r="AB47" s="25" t="n">
        <f>2303</f>
        <v>2303.0</v>
      </c>
      <c r="AC47" s="23"/>
      <c r="AD47" s="26" t="n">
        <f>4708</f>
        <v>4708.0</v>
      </c>
    </row>
    <row r="48">
      <c r="A48" s="30" t="s">
        <v>37</v>
      </c>
      <c r="B48" s="22" t="s">
        <v>60</v>
      </c>
      <c r="C48" s="22" t="s">
        <v>61</v>
      </c>
      <c r="D48" s="24"/>
      <c r="E48" s="25" t="n">
        <f>1855</f>
        <v>1855.0</v>
      </c>
      <c r="F48" s="23"/>
      <c r="G48" s="25" t="n">
        <f>2082</f>
        <v>2082.0</v>
      </c>
      <c r="H48" s="23"/>
      <c r="I48" s="26" t="n">
        <f>3937</f>
        <v>3937.0</v>
      </c>
      <c r="J48" s="24"/>
      <c r="K48" s="25" t="n">
        <f>124853000</f>
        <v>1.24853E8</v>
      </c>
      <c r="L48" s="23" t="s">
        <v>29</v>
      </c>
      <c r="M48" s="25" t="n">
        <f>232770000</f>
        <v>2.3277E8</v>
      </c>
      <c r="N48" s="23"/>
      <c r="O48" s="26" t="n">
        <f>357623000</f>
        <v>3.57623E8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90</f>
        <v>90.0</v>
      </c>
      <c r="U48" s="23"/>
      <c r="V48" s="25" t="n">
        <f>359</f>
        <v>359.0</v>
      </c>
      <c r="W48" s="23"/>
      <c r="X48" s="26" t="n">
        <f>449</f>
        <v>449.0</v>
      </c>
      <c r="Y48" s="24"/>
      <c r="Z48" s="25" t="n">
        <f>3134</f>
        <v>3134.0</v>
      </c>
      <c r="AA48" s="23"/>
      <c r="AB48" s="25" t="n">
        <f>3446</f>
        <v>3446.0</v>
      </c>
      <c r="AC48" s="23"/>
      <c r="AD48" s="26" t="n">
        <f>6580</f>
        <v>6580.0</v>
      </c>
    </row>
    <row r="49">
      <c r="A49" s="30" t="s">
        <v>39</v>
      </c>
      <c r="B49" s="22" t="s">
        <v>60</v>
      </c>
      <c r="C49" s="22" t="s">
        <v>61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40</v>
      </c>
      <c r="B50" s="22" t="s">
        <v>60</v>
      </c>
      <c r="C50" s="22" t="s">
        <v>61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41</v>
      </c>
      <c r="B51" s="22" t="s">
        <v>60</v>
      </c>
      <c r="C51" s="22" t="s">
        <v>61</v>
      </c>
      <c r="D51" s="24"/>
      <c r="E51" s="25" t="n">
        <f>4588</f>
        <v>4588.0</v>
      </c>
      <c r="F51" s="23"/>
      <c r="G51" s="25" t="n">
        <f>1753</f>
        <v>1753.0</v>
      </c>
      <c r="H51" s="23"/>
      <c r="I51" s="26" t="n">
        <f>6341</f>
        <v>6341.0</v>
      </c>
      <c r="J51" s="24"/>
      <c r="K51" s="25" t="n">
        <f>116151000</f>
        <v>1.16151E8</v>
      </c>
      <c r="L51" s="23"/>
      <c r="M51" s="25" t="n">
        <f>130201000</f>
        <v>1.30201E8</v>
      </c>
      <c r="N51" s="23"/>
      <c r="O51" s="26" t="n">
        <f>246352000</f>
        <v>2.46352E8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 t="s">
        <v>29</v>
      </c>
      <c r="T51" s="25" t="n">
        <f>950</f>
        <v>950.0</v>
      </c>
      <c r="U51" s="23"/>
      <c r="V51" s="25" t="n">
        <f>115</f>
        <v>115.0</v>
      </c>
      <c r="W51" s="23"/>
      <c r="X51" s="26" t="n">
        <f>1065</f>
        <v>1065.0</v>
      </c>
      <c r="Y51" s="24"/>
      <c r="Z51" s="25" t="n">
        <f>5815</f>
        <v>5815.0</v>
      </c>
      <c r="AA51" s="23"/>
      <c r="AB51" s="25" t="n">
        <f>4041</f>
        <v>4041.0</v>
      </c>
      <c r="AC51" s="23"/>
      <c r="AD51" s="26" t="n">
        <f>9856</f>
        <v>9856.0</v>
      </c>
    </row>
    <row r="52">
      <c r="A52" s="30" t="s">
        <v>42</v>
      </c>
      <c r="B52" s="22" t="s">
        <v>60</v>
      </c>
      <c r="C52" s="22" t="s">
        <v>61</v>
      </c>
      <c r="D52" s="24"/>
      <c r="E52" s="25" t="n">
        <f>2282</f>
        <v>2282.0</v>
      </c>
      <c r="F52" s="23"/>
      <c r="G52" s="25" t="n">
        <f>2055</f>
        <v>2055.0</v>
      </c>
      <c r="H52" s="23"/>
      <c r="I52" s="26" t="n">
        <f>4337</f>
        <v>4337.0</v>
      </c>
      <c r="J52" s="24"/>
      <c r="K52" s="25" t="n">
        <f>69466000</f>
        <v>6.9466E7</v>
      </c>
      <c r="L52" s="23"/>
      <c r="M52" s="25" t="n">
        <f>108867000</f>
        <v>1.08867E8</v>
      </c>
      <c r="N52" s="23"/>
      <c r="O52" s="26" t="n">
        <f>178333000</f>
        <v>1.78333E8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283</f>
        <v>283.0</v>
      </c>
      <c r="U52" s="23"/>
      <c r="V52" s="25" t="n">
        <f>76</f>
        <v>76.0</v>
      </c>
      <c r="W52" s="23"/>
      <c r="X52" s="26" t="n">
        <f>359</f>
        <v>359.0</v>
      </c>
      <c r="Y52" s="24"/>
      <c r="Z52" s="25" t="n">
        <f>6211</f>
        <v>6211.0</v>
      </c>
      <c r="AA52" s="23"/>
      <c r="AB52" s="25" t="n">
        <f>4988</f>
        <v>4988.0</v>
      </c>
      <c r="AC52" s="23"/>
      <c r="AD52" s="26" t="n">
        <f>11199</f>
        <v>11199.0</v>
      </c>
    </row>
    <row r="53">
      <c r="A53" s="30" t="s">
        <v>43</v>
      </c>
      <c r="B53" s="22" t="s">
        <v>60</v>
      </c>
      <c r="C53" s="22" t="s">
        <v>61</v>
      </c>
      <c r="D53" s="24"/>
      <c r="E53" s="25" t="n">
        <f>5903</f>
        <v>5903.0</v>
      </c>
      <c r="F53" s="23"/>
      <c r="G53" s="25" t="n">
        <f>4364</f>
        <v>4364.0</v>
      </c>
      <c r="H53" s="23" t="s">
        <v>29</v>
      </c>
      <c r="I53" s="26" t="n">
        <f>10267</f>
        <v>10267.0</v>
      </c>
      <c r="J53" s="24" t="s">
        <v>29</v>
      </c>
      <c r="K53" s="25" t="n">
        <f>287085000</f>
        <v>2.87085E8</v>
      </c>
      <c r="L53" s="23"/>
      <c r="M53" s="25" t="n">
        <f>135812000</f>
        <v>1.35812E8</v>
      </c>
      <c r="N53" s="23"/>
      <c r="O53" s="26" t="n">
        <f>422897000</f>
        <v>4.22897E8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546</f>
        <v>546.0</v>
      </c>
      <c r="U53" s="23"/>
      <c r="V53" s="25" t="n">
        <f>299</f>
        <v>299.0</v>
      </c>
      <c r="W53" s="23"/>
      <c r="X53" s="26" t="n">
        <f>845</f>
        <v>845.0</v>
      </c>
      <c r="Y53" s="24"/>
      <c r="Z53" s="25" t="n">
        <f>8211</f>
        <v>8211.0</v>
      </c>
      <c r="AA53" s="23"/>
      <c r="AB53" s="25" t="n">
        <f>5536</f>
        <v>5536.0</v>
      </c>
      <c r="AC53" s="23"/>
      <c r="AD53" s="26" t="n">
        <f>13747</f>
        <v>13747.0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4876</f>
        <v>4876.0</v>
      </c>
      <c r="F54" s="23"/>
      <c r="G54" s="25" t="n">
        <f>3270</f>
        <v>3270.0</v>
      </c>
      <c r="H54" s="23"/>
      <c r="I54" s="26" t="n">
        <f>8146</f>
        <v>8146.0</v>
      </c>
      <c r="J54" s="24"/>
      <c r="K54" s="25" t="n">
        <f>143311000</f>
        <v>1.43311E8</v>
      </c>
      <c r="L54" s="23"/>
      <c r="M54" s="25" t="n">
        <f>88419000</f>
        <v>8.8419E7</v>
      </c>
      <c r="N54" s="23"/>
      <c r="O54" s="26" t="n">
        <f>231730000</f>
        <v>2.3173E8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533</f>
        <v>533.0</v>
      </c>
      <c r="U54" s="23"/>
      <c r="V54" s="25" t="n">
        <f>316</f>
        <v>316.0</v>
      </c>
      <c r="W54" s="23"/>
      <c r="X54" s="26" t="n">
        <f>849</f>
        <v>849.0</v>
      </c>
      <c r="Y54" s="24" t="s">
        <v>29</v>
      </c>
      <c r="Z54" s="25" t="n">
        <f>9963</f>
        <v>9963.0</v>
      </c>
      <c r="AA54" s="23"/>
      <c r="AB54" s="25" t="n">
        <f>7015</f>
        <v>7015.0</v>
      </c>
      <c r="AC54" s="23" t="s">
        <v>29</v>
      </c>
      <c r="AD54" s="26" t="n">
        <f>16978</f>
        <v>16978.0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2121</f>
        <v>2121.0</v>
      </c>
      <c r="F55" s="23"/>
      <c r="G55" s="25" t="n">
        <f>2353</f>
        <v>2353.0</v>
      </c>
      <c r="H55" s="23"/>
      <c r="I55" s="26" t="n">
        <f>4474</f>
        <v>4474.0</v>
      </c>
      <c r="J55" s="24"/>
      <c r="K55" s="25" t="n">
        <f>148125000</f>
        <v>1.48125E8</v>
      </c>
      <c r="L55" s="23"/>
      <c r="M55" s="25" t="n">
        <f>169885000</f>
        <v>1.69885E8</v>
      </c>
      <c r="N55" s="23"/>
      <c r="O55" s="26" t="n">
        <f>318010000</f>
        <v>3.1801E8</v>
      </c>
      <c r="P55" s="27" t="n">
        <f>305</f>
        <v>305.0</v>
      </c>
      <c r="Q55" s="28" t="n">
        <f>5</f>
        <v>5.0</v>
      </c>
      <c r="R55" s="29" t="n">
        <f>310</f>
        <v>310.0</v>
      </c>
      <c r="S55" s="24"/>
      <c r="T55" s="25" t="n">
        <f>277</f>
        <v>277.0</v>
      </c>
      <c r="U55" s="23"/>
      <c r="V55" s="25" t="n">
        <f>273</f>
        <v>273.0</v>
      </c>
      <c r="W55" s="23"/>
      <c r="X55" s="26" t="n">
        <f>550</f>
        <v>550.0</v>
      </c>
      <c r="Y55" s="24"/>
      <c r="Z55" s="25" t="n">
        <f>2742</f>
        <v>2742.0</v>
      </c>
      <c r="AA55" s="23"/>
      <c r="AB55" s="25" t="n">
        <f>4024</f>
        <v>4024.0</v>
      </c>
      <c r="AC55" s="23"/>
      <c r="AD55" s="26" t="n">
        <f>6766</f>
        <v>6766.0</v>
      </c>
    </row>
    <row r="56">
      <c r="A56" s="30" t="s">
        <v>46</v>
      </c>
      <c r="B56" s="22" t="s">
        <v>60</v>
      </c>
      <c r="C56" s="22" t="s">
        <v>61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47</v>
      </c>
      <c r="B57" s="22" t="s">
        <v>60</v>
      </c>
      <c r="C57" s="22" t="s">
        <v>61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48</v>
      </c>
      <c r="B58" s="22" t="s">
        <v>60</v>
      </c>
      <c r="C58" s="22" t="s">
        <v>61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49</v>
      </c>
      <c r="B59" s="22" t="s">
        <v>60</v>
      </c>
      <c r="C59" s="22" t="s">
        <v>61</v>
      </c>
      <c r="D59" s="24"/>
      <c r="E59" s="25" t="n">
        <f>4108</f>
        <v>4108.0</v>
      </c>
      <c r="F59" s="23"/>
      <c r="G59" s="25" t="n">
        <f>2232</f>
        <v>2232.0</v>
      </c>
      <c r="H59" s="23"/>
      <c r="I59" s="26" t="n">
        <f>6340</f>
        <v>6340.0</v>
      </c>
      <c r="J59" s="24"/>
      <c r="K59" s="25" t="n">
        <f>178904000</f>
        <v>1.78904E8</v>
      </c>
      <c r="L59" s="23"/>
      <c r="M59" s="25" t="n">
        <f>95720000</f>
        <v>9.572E7</v>
      </c>
      <c r="N59" s="23"/>
      <c r="O59" s="26" t="n">
        <f>274624000</f>
        <v>2.74624E8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525</f>
        <v>525.0</v>
      </c>
      <c r="U59" s="23"/>
      <c r="V59" s="25" t="n">
        <f>172</f>
        <v>172.0</v>
      </c>
      <c r="W59" s="23"/>
      <c r="X59" s="26" t="n">
        <f>697</f>
        <v>697.0</v>
      </c>
      <c r="Y59" s="24"/>
      <c r="Z59" s="25" t="n">
        <f>4205</f>
        <v>4205.0</v>
      </c>
      <c r="AA59" s="23"/>
      <c r="AB59" s="25" t="n">
        <f>4747</f>
        <v>4747.0</v>
      </c>
      <c r="AC59" s="23"/>
      <c r="AD59" s="26" t="n">
        <f>8952</f>
        <v>8952.0</v>
      </c>
    </row>
    <row r="60">
      <c r="A60" s="30" t="s">
        <v>50</v>
      </c>
      <c r="B60" s="22" t="s">
        <v>60</v>
      </c>
      <c r="C60" s="22" t="s">
        <v>61</v>
      </c>
      <c r="D60" s="24"/>
      <c r="E60" s="25" t="n">
        <f>4105</f>
        <v>4105.0</v>
      </c>
      <c r="F60" s="23"/>
      <c r="G60" s="25" t="n">
        <f>4212</f>
        <v>4212.0</v>
      </c>
      <c r="H60" s="23"/>
      <c r="I60" s="26" t="n">
        <f>8317</f>
        <v>8317.0</v>
      </c>
      <c r="J60" s="24"/>
      <c r="K60" s="25" t="n">
        <f>183370000</f>
        <v>1.8337E8</v>
      </c>
      <c r="L60" s="23"/>
      <c r="M60" s="25" t="n">
        <f>149036000</f>
        <v>1.49036E8</v>
      </c>
      <c r="N60" s="23"/>
      <c r="O60" s="26" t="n">
        <f>332406000</f>
        <v>3.32406E8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588</f>
        <v>588.0</v>
      </c>
      <c r="U60" s="23" t="s">
        <v>29</v>
      </c>
      <c r="V60" s="25" t="n">
        <f>581</f>
        <v>581.0</v>
      </c>
      <c r="W60" s="23" t="s">
        <v>29</v>
      </c>
      <c r="X60" s="26" t="n">
        <f>1169</f>
        <v>1169.0</v>
      </c>
      <c r="Y60" s="24"/>
      <c r="Z60" s="25" t="n">
        <f>5494</f>
        <v>5494.0</v>
      </c>
      <c r="AA60" s="23"/>
      <c r="AB60" s="25" t="n">
        <f>5890</f>
        <v>5890.0</v>
      </c>
      <c r="AC60" s="23"/>
      <c r="AD60" s="26" t="n">
        <f>11384</f>
        <v>11384.0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1488</f>
        <v>1488.0</v>
      </c>
      <c r="F61" s="23"/>
      <c r="G61" s="25" t="n">
        <f>2439</f>
        <v>2439.0</v>
      </c>
      <c r="H61" s="23"/>
      <c r="I61" s="26" t="n">
        <f>3927</f>
        <v>3927.0</v>
      </c>
      <c r="J61" s="24"/>
      <c r="K61" s="25" t="n">
        <f>116542000</f>
        <v>1.16542E8</v>
      </c>
      <c r="L61" s="23"/>
      <c r="M61" s="25" t="n">
        <f>144585000</f>
        <v>1.44585E8</v>
      </c>
      <c r="N61" s="23"/>
      <c r="O61" s="26" t="n">
        <f>261127000</f>
        <v>2.61127E8</v>
      </c>
      <c r="P61" s="27" t="n">
        <f>377</f>
        <v>377.0</v>
      </c>
      <c r="Q61" s="28" t="str">
        <f>"－"</f>
        <v>－</v>
      </c>
      <c r="R61" s="29" t="n">
        <f>377</f>
        <v>377.0</v>
      </c>
      <c r="S61" s="24"/>
      <c r="T61" s="25" t="n">
        <f>184</f>
        <v>184.0</v>
      </c>
      <c r="U61" s="23"/>
      <c r="V61" s="25" t="n">
        <f>473</f>
        <v>473.0</v>
      </c>
      <c r="W61" s="23"/>
      <c r="X61" s="26" t="n">
        <f>657</f>
        <v>657.0</v>
      </c>
      <c r="Y61" s="24"/>
      <c r="Z61" s="25" t="n">
        <f>1941</f>
        <v>1941.0</v>
      </c>
      <c r="AA61" s="23"/>
      <c r="AB61" s="25" t="n">
        <f>2465</f>
        <v>2465.0</v>
      </c>
      <c r="AC61" s="23"/>
      <c r="AD61" s="26" t="n">
        <f>4406</f>
        <v>4406.0</v>
      </c>
    </row>
    <row r="62">
      <c r="A62" s="30" t="s">
        <v>52</v>
      </c>
      <c r="B62" s="22" t="s">
        <v>60</v>
      </c>
      <c r="C62" s="22" t="s">
        <v>61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53</v>
      </c>
      <c r="B63" s="22" t="s">
        <v>60</v>
      </c>
      <c r="C63" s="22" t="s">
        <v>61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54</v>
      </c>
      <c r="B64" s="22" t="s">
        <v>60</v>
      </c>
      <c r="C64" s="22" t="s">
        <v>61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55</v>
      </c>
      <c r="B65" s="22" t="s">
        <v>60</v>
      </c>
      <c r="C65" s="22" t="s">
        <v>61</v>
      </c>
      <c r="D65" s="24"/>
      <c r="E65" s="25" t="n">
        <f>3217</f>
        <v>3217.0</v>
      </c>
      <c r="F65" s="23"/>
      <c r="G65" s="25" t="n">
        <f>4971</f>
        <v>4971.0</v>
      </c>
      <c r="H65" s="23"/>
      <c r="I65" s="26" t="n">
        <f>8188</f>
        <v>8188.0</v>
      </c>
      <c r="J65" s="24"/>
      <c r="K65" s="25" t="n">
        <f>224340000</f>
        <v>2.2434E8</v>
      </c>
      <c r="L65" s="23"/>
      <c r="M65" s="25" t="n">
        <f>200396000</f>
        <v>2.00396E8</v>
      </c>
      <c r="N65" s="23" t="s">
        <v>29</v>
      </c>
      <c r="O65" s="26" t="n">
        <f>424736000</f>
        <v>4.24736E8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325</f>
        <v>325.0</v>
      </c>
      <c r="U65" s="23"/>
      <c r="V65" s="25" t="n">
        <f>459</f>
        <v>459.0</v>
      </c>
      <c r="W65" s="23"/>
      <c r="X65" s="26" t="n">
        <f>784</f>
        <v>784.0</v>
      </c>
      <c r="Y65" s="24"/>
      <c r="Z65" s="25" t="n">
        <f>2954</f>
        <v>2954.0</v>
      </c>
      <c r="AA65" s="23"/>
      <c r="AB65" s="25" t="n">
        <f>5012</f>
        <v>5012.0</v>
      </c>
      <c r="AC65" s="23"/>
      <c r="AD65" s="26" t="n">
        <f>7966</f>
        <v>7966.0</v>
      </c>
    </row>
    <row r="66">
      <c r="A66" s="30" t="s">
        <v>56</v>
      </c>
      <c r="B66" s="22" t="s">
        <v>60</v>
      </c>
      <c r="C66" s="22" t="s">
        <v>61</v>
      </c>
      <c r="D66" s="24"/>
      <c r="E66" s="25" t="n">
        <f>1458</f>
        <v>1458.0</v>
      </c>
      <c r="F66" s="23"/>
      <c r="G66" s="25" t="n">
        <f>1873</f>
        <v>1873.0</v>
      </c>
      <c r="H66" s="23"/>
      <c r="I66" s="26" t="n">
        <f>3331</f>
        <v>3331.0</v>
      </c>
      <c r="J66" s="24"/>
      <c r="K66" s="25" t="n">
        <f>90928000</f>
        <v>9.0928E7</v>
      </c>
      <c r="L66" s="23"/>
      <c r="M66" s="25" t="n">
        <f>37754000</f>
        <v>3.7754E7</v>
      </c>
      <c r="N66" s="23"/>
      <c r="O66" s="26" t="n">
        <f>128682000</f>
        <v>1.28682E8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128</f>
        <v>128.0</v>
      </c>
      <c r="U66" s="23"/>
      <c r="V66" s="25" t="n">
        <f>164</f>
        <v>164.0</v>
      </c>
      <c r="W66" s="23"/>
      <c r="X66" s="26" t="n">
        <f>292</f>
        <v>292.0</v>
      </c>
      <c r="Y66" s="24"/>
      <c r="Z66" s="25" t="n">
        <f>3298</f>
        <v>3298.0</v>
      </c>
      <c r="AA66" s="23"/>
      <c r="AB66" s="25" t="n">
        <f>5934</f>
        <v>5934.0</v>
      </c>
      <c r="AC66" s="23"/>
      <c r="AD66" s="26" t="n">
        <f>9232</f>
        <v>9232.0</v>
      </c>
    </row>
    <row r="67">
      <c r="A67" s="30" t="s">
        <v>57</v>
      </c>
      <c r="B67" s="22" t="s">
        <v>60</v>
      </c>
      <c r="C67" s="22" t="s">
        <v>61</v>
      </c>
      <c r="D67" s="24"/>
      <c r="E67" s="25" t="n">
        <f>3145</f>
        <v>3145.0</v>
      </c>
      <c r="F67" s="23" t="s">
        <v>29</v>
      </c>
      <c r="G67" s="25" t="n">
        <f>5026</f>
        <v>5026.0</v>
      </c>
      <c r="H67" s="23"/>
      <c r="I67" s="26" t="n">
        <f>8171</f>
        <v>8171.0</v>
      </c>
      <c r="J67" s="24"/>
      <c r="K67" s="25" t="n">
        <f>206728000</f>
        <v>2.06728E8</v>
      </c>
      <c r="L67" s="23"/>
      <c r="M67" s="25" t="n">
        <f>108633000</f>
        <v>1.08633E8</v>
      </c>
      <c r="N67" s="23"/>
      <c r="O67" s="26" t="n">
        <f>315361000</f>
        <v>3.15361E8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264</f>
        <v>264.0</v>
      </c>
      <c r="U67" s="23"/>
      <c r="V67" s="25" t="n">
        <f>444</f>
        <v>444.0</v>
      </c>
      <c r="W67" s="23"/>
      <c r="X67" s="26" t="n">
        <f>708</f>
        <v>708.0</v>
      </c>
      <c r="Y67" s="24"/>
      <c r="Z67" s="25" t="n">
        <f>4329</f>
        <v>4329.0</v>
      </c>
      <c r="AA67" s="23"/>
      <c r="AB67" s="25" t="n">
        <f>7153</f>
        <v>7153.0</v>
      </c>
      <c r="AC67" s="23"/>
      <c r="AD67" s="26" t="n">
        <f>11482</f>
        <v>11482.0</v>
      </c>
    </row>
    <row r="68">
      <c r="A68" s="30" t="s">
        <v>58</v>
      </c>
      <c r="B68" s="22" t="s">
        <v>60</v>
      </c>
      <c r="C68" s="22" t="s">
        <v>61</v>
      </c>
      <c r="D68" s="24" t="s">
        <v>29</v>
      </c>
      <c r="E68" s="25" t="n">
        <f>6071</f>
        <v>6071.0</v>
      </c>
      <c r="F68" s="23"/>
      <c r="G68" s="25" t="n">
        <f>4040</f>
        <v>4040.0</v>
      </c>
      <c r="H68" s="23"/>
      <c r="I68" s="26" t="n">
        <f>10111</f>
        <v>10111.0</v>
      </c>
      <c r="J68" s="24"/>
      <c r="K68" s="25" t="n">
        <f>214063000</f>
        <v>2.14063E8</v>
      </c>
      <c r="L68" s="23"/>
      <c r="M68" s="25" t="n">
        <f>149083760</f>
        <v>1.4908376E8</v>
      </c>
      <c r="N68" s="23"/>
      <c r="O68" s="26" t="n">
        <f>363146760</f>
        <v>3.6314676E8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785</f>
        <v>785.0</v>
      </c>
      <c r="U68" s="23"/>
      <c r="V68" s="25" t="n">
        <f>287</f>
        <v>287.0</v>
      </c>
      <c r="W68" s="23"/>
      <c r="X68" s="26" t="n">
        <f>1072</f>
        <v>1072.0</v>
      </c>
      <c r="Y68" s="24"/>
      <c r="Z68" s="25" t="n">
        <f>6086</f>
        <v>6086.0</v>
      </c>
      <c r="AA68" s="23" t="s">
        <v>29</v>
      </c>
      <c r="AB68" s="25" t="n">
        <f>8036</f>
        <v>8036.0</v>
      </c>
      <c r="AC68" s="23"/>
      <c r="AD68" s="26" t="n">
        <f>14122</f>
        <v>14122.0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1106</f>
        <v>1106.0</v>
      </c>
      <c r="F69" s="23"/>
      <c r="G69" s="25" t="n">
        <f>1771</f>
        <v>1771.0</v>
      </c>
      <c r="H69" s="23"/>
      <c r="I69" s="26" t="n">
        <f>2877</f>
        <v>2877.0</v>
      </c>
      <c r="J69" s="24"/>
      <c r="K69" s="25" t="n">
        <f>149007170</f>
        <v>1.4900717E8</v>
      </c>
      <c r="L69" s="23"/>
      <c r="M69" s="25" t="n">
        <f>178987150</f>
        <v>1.7898715E8</v>
      </c>
      <c r="N69" s="23"/>
      <c r="O69" s="26" t="n">
        <f>327994320</f>
        <v>3.2799432E8</v>
      </c>
      <c r="P69" s="27" t="n">
        <f>528</f>
        <v>528.0</v>
      </c>
      <c r="Q69" s="28" t="n">
        <f>65</f>
        <v>65.0</v>
      </c>
      <c r="R69" s="29" t="n">
        <f>593</f>
        <v>593.0</v>
      </c>
      <c r="S69" s="24"/>
      <c r="T69" s="25" t="n">
        <f>57</f>
        <v>57.0</v>
      </c>
      <c r="U69" s="23"/>
      <c r="V69" s="25" t="n">
        <f>372</f>
        <v>372.0</v>
      </c>
      <c r="W69" s="23"/>
      <c r="X69" s="26" t="n">
        <f>429</f>
        <v>429.0</v>
      </c>
      <c r="Y69" s="24"/>
      <c r="Z69" s="25" t="n">
        <f>1345</f>
        <v>1345.0</v>
      </c>
      <c r="AA69" s="23"/>
      <c r="AB69" s="25" t="n">
        <f>1869</f>
        <v>1869.0</v>
      </c>
      <c r="AC69" s="23"/>
      <c r="AD69" s="26" t="n">
        <f>3214</f>
        <v>3214.0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183</f>
        <v>183.0</v>
      </c>
      <c r="F70" s="23" t="s">
        <v>38</v>
      </c>
      <c r="G70" s="25" t="str">
        <f>"－"</f>
        <v>－</v>
      </c>
      <c r="H70" s="23"/>
      <c r="I70" s="26" t="n">
        <f>183</f>
        <v>183.0</v>
      </c>
      <c r="J70" s="24"/>
      <c r="K70" s="25" t="n">
        <f>119203458</f>
        <v>1.19203458E8</v>
      </c>
      <c r="L70" s="23" t="s">
        <v>38</v>
      </c>
      <c r="M70" s="25" t="str">
        <f>"－"</f>
        <v>－</v>
      </c>
      <c r="N70" s="23"/>
      <c r="O70" s="26" t="n">
        <f>119203458</f>
        <v>1.19203458E8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41</f>
        <v>41.0</v>
      </c>
      <c r="U70" s="23" t="s">
        <v>38</v>
      </c>
      <c r="V70" s="25" t="str">
        <f>"－"</f>
        <v>－</v>
      </c>
      <c r="W70" s="23"/>
      <c r="X70" s="26" t="n">
        <f>41</f>
        <v>41.0</v>
      </c>
      <c r="Y70" s="24"/>
      <c r="Z70" s="25" t="n">
        <f>90983</f>
        <v>90983.0</v>
      </c>
      <c r="AA70" s="23"/>
      <c r="AB70" s="25" t="n">
        <f>11703</f>
        <v>11703.0</v>
      </c>
      <c r="AC70" s="23"/>
      <c r="AD70" s="26" t="n">
        <f>102686</f>
        <v>102686.0</v>
      </c>
    </row>
    <row r="71">
      <c r="A71" s="30" t="s">
        <v>30</v>
      </c>
      <c r="B71" s="22" t="s">
        <v>62</v>
      </c>
      <c r="C71" s="22" t="s">
        <v>63</v>
      </c>
      <c r="D71" s="24" t="s">
        <v>38</v>
      </c>
      <c r="E71" s="25" t="str">
        <f>"－"</f>
        <v>－</v>
      </c>
      <c r="F71" s="23"/>
      <c r="G71" s="25" t="n">
        <f>286</f>
        <v>286.0</v>
      </c>
      <c r="H71" s="23"/>
      <c r="I71" s="26" t="n">
        <f>286</f>
        <v>286.0</v>
      </c>
      <c r="J71" s="24" t="s">
        <v>38</v>
      </c>
      <c r="K71" s="25" t="str">
        <f>"－"</f>
        <v>－</v>
      </c>
      <c r="L71" s="23"/>
      <c r="M71" s="25" t="n">
        <f>36465000</f>
        <v>3.6465E7</v>
      </c>
      <c r="N71" s="23" t="s">
        <v>38</v>
      </c>
      <c r="O71" s="26" t="n">
        <f>36465000</f>
        <v>3.6465E7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 t="s">
        <v>38</v>
      </c>
      <c r="T71" s="25" t="str">
        <f>"－"</f>
        <v>－</v>
      </c>
      <c r="U71" s="23"/>
      <c r="V71" s="25" t="str">
        <f>"－"</f>
        <v>－</v>
      </c>
      <c r="W71" s="23" t="s">
        <v>38</v>
      </c>
      <c r="X71" s="26" t="str">
        <f>"－"</f>
        <v>－</v>
      </c>
      <c r="Y71" s="24"/>
      <c r="Z71" s="25" t="n">
        <f>90983</f>
        <v>90983.0</v>
      </c>
      <c r="AA71" s="23"/>
      <c r="AB71" s="25" t="n">
        <f>11703</f>
        <v>11703.0</v>
      </c>
      <c r="AC71" s="23"/>
      <c r="AD71" s="26" t="n">
        <f>102686</f>
        <v>102686.0</v>
      </c>
    </row>
    <row r="72">
      <c r="A72" s="30" t="s">
        <v>31</v>
      </c>
      <c r="B72" s="22" t="s">
        <v>62</v>
      </c>
      <c r="C72" s="22" t="s">
        <v>63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32</v>
      </c>
      <c r="B73" s="22" t="s">
        <v>62</v>
      </c>
      <c r="C73" s="22" t="s">
        <v>63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33</v>
      </c>
      <c r="B74" s="22" t="s">
        <v>62</v>
      </c>
      <c r="C74" s="22" t="s">
        <v>63</v>
      </c>
      <c r="D74" s="24"/>
      <c r="E74" s="25" t="n">
        <f>100</f>
        <v>100.0</v>
      </c>
      <c r="F74" s="23"/>
      <c r="G74" s="25" t="n">
        <f>100</f>
        <v>100.0</v>
      </c>
      <c r="H74" s="23"/>
      <c r="I74" s="26" t="n">
        <f>200</f>
        <v>200.0</v>
      </c>
      <c r="J74" s="24"/>
      <c r="K74" s="25" t="n">
        <f>99000000</f>
        <v>9.9E7</v>
      </c>
      <c r="L74" s="23"/>
      <c r="M74" s="25" t="n">
        <f>104200000</f>
        <v>1.042E8</v>
      </c>
      <c r="N74" s="23"/>
      <c r="O74" s="26" t="n">
        <f>203200000</f>
        <v>2.032E8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n">
        <f>100</f>
        <v>100.0</v>
      </c>
      <c r="U74" s="23"/>
      <c r="V74" s="25" t="n">
        <f>100</f>
        <v>100.0</v>
      </c>
      <c r="W74" s="23"/>
      <c r="X74" s="26" t="n">
        <f>200</f>
        <v>200.0</v>
      </c>
      <c r="Y74" s="24"/>
      <c r="Z74" s="25" t="n">
        <f>91083</f>
        <v>91083.0</v>
      </c>
      <c r="AA74" s="23"/>
      <c r="AB74" s="25" t="n">
        <f>11803</f>
        <v>11803.0</v>
      </c>
      <c r="AC74" s="23"/>
      <c r="AD74" s="26" t="n">
        <f>102886</f>
        <v>102886.0</v>
      </c>
    </row>
    <row r="75">
      <c r="A75" s="30" t="s">
        <v>34</v>
      </c>
      <c r="B75" s="22" t="s">
        <v>62</v>
      </c>
      <c r="C75" s="22" t="s">
        <v>63</v>
      </c>
      <c r="D75" s="24"/>
      <c r="E75" s="25" t="n">
        <f>300</f>
        <v>300.0</v>
      </c>
      <c r="F75" s="23"/>
      <c r="G75" s="25" t="n">
        <f>300</f>
        <v>300.0</v>
      </c>
      <c r="H75" s="23"/>
      <c r="I75" s="26" t="n">
        <f>600</f>
        <v>600.0</v>
      </c>
      <c r="J75" s="24"/>
      <c r="K75" s="25" t="n">
        <f>300000</f>
        <v>300000.0</v>
      </c>
      <c r="L75" s="23"/>
      <c r="M75" s="25" t="n">
        <f>1538350000</f>
        <v>1.53835E9</v>
      </c>
      <c r="N75" s="23"/>
      <c r="O75" s="26" t="n">
        <f>1538650000</f>
        <v>1.53865E9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str">
        <f>"－"</f>
        <v>－</v>
      </c>
      <c r="W75" s="23"/>
      <c r="X75" s="26" t="str">
        <f>"－"</f>
        <v>－</v>
      </c>
      <c r="Y75" s="24"/>
      <c r="Z75" s="25" t="n">
        <f>91073</f>
        <v>91073.0</v>
      </c>
      <c r="AA75" s="23"/>
      <c r="AB75" s="25" t="n">
        <f>11793</f>
        <v>11793.0</v>
      </c>
      <c r="AC75" s="23"/>
      <c r="AD75" s="26" t="n">
        <f>102866</f>
        <v>102866.0</v>
      </c>
    </row>
    <row r="76">
      <c r="A76" s="30" t="s">
        <v>35</v>
      </c>
      <c r="B76" s="22" t="s">
        <v>62</v>
      </c>
      <c r="C76" s="22" t="s">
        <v>63</v>
      </c>
      <c r="D76" s="24"/>
      <c r="E76" s="25" t="n">
        <f>6773</f>
        <v>6773.0</v>
      </c>
      <c r="F76" s="23"/>
      <c r="G76" s="25" t="str">
        <f>"－"</f>
        <v>－</v>
      </c>
      <c r="H76" s="23"/>
      <c r="I76" s="26" t="n">
        <f>6773</f>
        <v>6773.0</v>
      </c>
      <c r="J76" s="24" t="s">
        <v>29</v>
      </c>
      <c r="K76" s="25" t="n">
        <f>2610887825</f>
        <v>2.610887825E9</v>
      </c>
      <c r="L76" s="23"/>
      <c r="M76" s="25" t="str">
        <f>"－"</f>
        <v>－</v>
      </c>
      <c r="N76" s="23" t="s">
        <v>29</v>
      </c>
      <c r="O76" s="26" t="n">
        <f>2610887825</f>
        <v>2.610887825E9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6773</f>
        <v>6773.0</v>
      </c>
      <c r="U76" s="23"/>
      <c r="V76" s="25" t="str">
        <f>"－"</f>
        <v>－</v>
      </c>
      <c r="W76" s="23"/>
      <c r="X76" s="26" t="n">
        <f>6773</f>
        <v>6773.0</v>
      </c>
      <c r="Y76" s="24"/>
      <c r="Z76" s="25" t="n">
        <f>92958</f>
        <v>92958.0</v>
      </c>
      <c r="AA76" s="23"/>
      <c r="AB76" s="25" t="n">
        <f>11793</f>
        <v>11793.0</v>
      </c>
      <c r="AC76" s="23"/>
      <c r="AD76" s="26" t="n">
        <f>104751</f>
        <v>104751.0</v>
      </c>
    </row>
    <row r="77">
      <c r="A77" s="30" t="s">
        <v>36</v>
      </c>
      <c r="B77" s="22" t="s">
        <v>62</v>
      </c>
      <c r="C77" s="22" t="s">
        <v>63</v>
      </c>
      <c r="D77" s="24"/>
      <c r="E77" s="25" t="n">
        <f>3248</f>
        <v>3248.0</v>
      </c>
      <c r="F77" s="23"/>
      <c r="G77" s="25" t="str">
        <f>"－"</f>
        <v>－</v>
      </c>
      <c r="H77" s="23"/>
      <c r="I77" s="26" t="n">
        <f>3248</f>
        <v>3248.0</v>
      </c>
      <c r="J77" s="24"/>
      <c r="K77" s="25" t="n">
        <f>933034000</f>
        <v>9.33034E8</v>
      </c>
      <c r="L77" s="23"/>
      <c r="M77" s="25" t="str">
        <f>"－"</f>
        <v>－</v>
      </c>
      <c r="N77" s="23"/>
      <c r="O77" s="26" t="n">
        <f>933034000</f>
        <v>9.33034E8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2248</f>
        <v>2248.0</v>
      </c>
      <c r="U77" s="23"/>
      <c r="V77" s="25" t="str">
        <f>"－"</f>
        <v>－</v>
      </c>
      <c r="W77" s="23"/>
      <c r="X77" s="26" t="n">
        <f>2248</f>
        <v>2248.0</v>
      </c>
      <c r="Y77" s="24" t="s">
        <v>29</v>
      </c>
      <c r="Z77" s="25" t="n">
        <f>95358</f>
        <v>95358.0</v>
      </c>
      <c r="AA77" s="23"/>
      <c r="AB77" s="25" t="n">
        <f>11793</f>
        <v>11793.0</v>
      </c>
      <c r="AC77" s="23" t="s">
        <v>29</v>
      </c>
      <c r="AD77" s="26" t="n">
        <f>107151</f>
        <v>107151.0</v>
      </c>
    </row>
    <row r="78">
      <c r="A78" s="30" t="s">
        <v>37</v>
      </c>
      <c r="B78" s="22" t="s">
        <v>62</v>
      </c>
      <c r="C78" s="22" t="s">
        <v>63</v>
      </c>
      <c r="D78" s="24"/>
      <c r="E78" s="25" t="n">
        <f>150</f>
        <v>150.0</v>
      </c>
      <c r="F78" s="23"/>
      <c r="G78" s="25" t="str">
        <f>"－"</f>
        <v>－</v>
      </c>
      <c r="H78" s="23" t="s">
        <v>38</v>
      </c>
      <c r="I78" s="26" t="n">
        <f>150</f>
        <v>150.0</v>
      </c>
      <c r="J78" s="24"/>
      <c r="K78" s="25" t="n">
        <f>55500000</f>
        <v>5.55E7</v>
      </c>
      <c r="L78" s="23"/>
      <c r="M78" s="25" t="str">
        <f>"－"</f>
        <v>－</v>
      </c>
      <c r="N78" s="23"/>
      <c r="O78" s="26" t="n">
        <f>55500000</f>
        <v>5.55E7</v>
      </c>
      <c r="P78" s="27" t="str">
        <f>"－"</f>
        <v>－</v>
      </c>
      <c r="Q78" s="28" t="n">
        <f>2314</f>
        <v>2314.0</v>
      </c>
      <c r="R78" s="29" t="n">
        <f>2314</f>
        <v>2314.0</v>
      </c>
      <c r="S78" s="24"/>
      <c r="T78" s="25" t="n">
        <f>150</f>
        <v>150.0</v>
      </c>
      <c r="U78" s="23"/>
      <c r="V78" s="25" t="str">
        <f>"－"</f>
        <v>－</v>
      </c>
      <c r="W78" s="23"/>
      <c r="X78" s="26" t="n">
        <f>150</f>
        <v>150.0</v>
      </c>
      <c r="Y78" s="24"/>
      <c r="Z78" s="25" t="n">
        <f>78816</f>
        <v>78816.0</v>
      </c>
      <c r="AA78" s="23" t="s">
        <v>38</v>
      </c>
      <c r="AB78" s="25" t="n">
        <f>7960</f>
        <v>7960.0</v>
      </c>
      <c r="AC78" s="23" t="s">
        <v>38</v>
      </c>
      <c r="AD78" s="26" t="n">
        <f>86776</f>
        <v>86776.0</v>
      </c>
    </row>
    <row r="79">
      <c r="A79" s="30" t="s">
        <v>39</v>
      </c>
      <c r="B79" s="22" t="s">
        <v>62</v>
      </c>
      <c r="C79" s="22" t="s">
        <v>63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40</v>
      </c>
      <c r="B80" s="22" t="s">
        <v>62</v>
      </c>
      <c r="C80" s="22" t="s">
        <v>63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41</v>
      </c>
      <c r="B81" s="22" t="s">
        <v>62</v>
      </c>
      <c r="C81" s="22" t="s">
        <v>63</v>
      </c>
      <c r="D81" s="24" t="s">
        <v>29</v>
      </c>
      <c r="E81" s="25" t="n">
        <f>7332</f>
        <v>7332.0</v>
      </c>
      <c r="F81" s="23"/>
      <c r="G81" s="25" t="n">
        <f>700</f>
        <v>700.0</v>
      </c>
      <c r="H81" s="23" t="s">
        <v>29</v>
      </c>
      <c r="I81" s="26" t="n">
        <f>8032</f>
        <v>8032.0</v>
      </c>
      <c r="J81" s="24"/>
      <c r="K81" s="25" t="n">
        <f>1072121700</f>
        <v>1.0721217E9</v>
      </c>
      <c r="L81" s="23"/>
      <c r="M81" s="25" t="n">
        <f>169750000</f>
        <v>1.6975E8</v>
      </c>
      <c r="N81" s="23"/>
      <c r="O81" s="26" t="n">
        <f>1241871700</f>
        <v>1.2418717E9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 t="s">
        <v>29</v>
      </c>
      <c r="T81" s="25" t="n">
        <f>7332</f>
        <v>7332.0</v>
      </c>
      <c r="U81" s="23"/>
      <c r="V81" s="25" t="str">
        <f>"－"</f>
        <v>－</v>
      </c>
      <c r="W81" s="23" t="s">
        <v>29</v>
      </c>
      <c r="X81" s="26" t="n">
        <f>7332</f>
        <v>7332.0</v>
      </c>
      <c r="Y81" s="24"/>
      <c r="Z81" s="25" t="n">
        <f>78816</f>
        <v>78816.0</v>
      </c>
      <c r="AA81" s="23"/>
      <c r="AB81" s="25" t="n">
        <f>8660</f>
        <v>8660.0</v>
      </c>
      <c r="AC81" s="23"/>
      <c r="AD81" s="26" t="n">
        <f>87476</f>
        <v>87476.0</v>
      </c>
    </row>
    <row r="82">
      <c r="A82" s="30" t="s">
        <v>42</v>
      </c>
      <c r="B82" s="22" t="s">
        <v>62</v>
      </c>
      <c r="C82" s="22" t="s">
        <v>63</v>
      </c>
      <c r="D82" s="24"/>
      <c r="E82" s="25" t="n">
        <f>200</f>
        <v>200.0</v>
      </c>
      <c r="F82" s="23"/>
      <c r="G82" s="25" t="n">
        <f>2167</f>
        <v>2167.0</v>
      </c>
      <c r="H82" s="23"/>
      <c r="I82" s="26" t="n">
        <f>2367</f>
        <v>2367.0</v>
      </c>
      <c r="J82" s="24"/>
      <c r="K82" s="25" t="n">
        <f>5300000</f>
        <v>5300000.0</v>
      </c>
      <c r="L82" s="23" t="s">
        <v>29</v>
      </c>
      <c r="M82" s="25" t="n">
        <f>1872170982</f>
        <v>1.872170982E9</v>
      </c>
      <c r="N82" s="23"/>
      <c r="O82" s="26" t="n">
        <f>1877470982</f>
        <v>1.877470982E9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/>
      <c r="V82" s="25" t="n">
        <f>2167</f>
        <v>2167.0</v>
      </c>
      <c r="W82" s="23"/>
      <c r="X82" s="26" t="n">
        <f>2167</f>
        <v>2167.0</v>
      </c>
      <c r="Y82" s="24"/>
      <c r="Z82" s="25" t="n">
        <f>79016</f>
        <v>79016.0</v>
      </c>
      <c r="AA82" s="23"/>
      <c r="AB82" s="25" t="n">
        <f>10827</f>
        <v>10827.0</v>
      </c>
      <c r="AC82" s="23"/>
      <c r="AD82" s="26" t="n">
        <f>89843</f>
        <v>89843.0</v>
      </c>
    </row>
    <row r="83">
      <c r="A83" s="30" t="s">
        <v>43</v>
      </c>
      <c r="B83" s="22" t="s">
        <v>62</v>
      </c>
      <c r="C83" s="22" t="s">
        <v>63</v>
      </c>
      <c r="D83" s="24"/>
      <c r="E83" s="25" t="n">
        <f>2183</f>
        <v>2183.0</v>
      </c>
      <c r="F83" s="23"/>
      <c r="G83" s="25" t="n">
        <f>350</f>
        <v>350.0</v>
      </c>
      <c r="H83" s="23"/>
      <c r="I83" s="26" t="n">
        <f>2533</f>
        <v>2533.0</v>
      </c>
      <c r="J83" s="24"/>
      <c r="K83" s="25" t="n">
        <f>494606300</f>
        <v>4.946063E8</v>
      </c>
      <c r="L83" s="23"/>
      <c r="M83" s="25" t="n">
        <f>246750000</f>
        <v>2.4675E8</v>
      </c>
      <c r="N83" s="23"/>
      <c r="O83" s="26" t="n">
        <f>741356300</f>
        <v>7.413563E8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1833</f>
        <v>1833.0</v>
      </c>
      <c r="U83" s="23"/>
      <c r="V83" s="25" t="str">
        <f>"－"</f>
        <v>－</v>
      </c>
      <c r="W83" s="23"/>
      <c r="X83" s="26" t="n">
        <f>1833</f>
        <v>1833.0</v>
      </c>
      <c r="Y83" s="24" t="s">
        <v>38</v>
      </c>
      <c r="Z83" s="25" t="n">
        <f>78449</f>
        <v>78449.0</v>
      </c>
      <c r="AA83" s="23"/>
      <c r="AB83" s="25" t="n">
        <f>11177</f>
        <v>11177.0</v>
      </c>
      <c r="AC83" s="23"/>
      <c r="AD83" s="26" t="n">
        <f>89626</f>
        <v>89626.0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100</f>
        <v>100.0</v>
      </c>
      <c r="F84" s="23" t="s">
        <v>29</v>
      </c>
      <c r="G84" s="25" t="n">
        <f>2266</f>
        <v>2266.0</v>
      </c>
      <c r="H84" s="23"/>
      <c r="I84" s="26" t="n">
        <f>2366</f>
        <v>2366.0</v>
      </c>
      <c r="J84" s="24"/>
      <c r="K84" s="25" t="n">
        <f>88000000</f>
        <v>8.8E7</v>
      </c>
      <c r="L84" s="23"/>
      <c r="M84" s="25" t="n">
        <f>1723164000</f>
        <v>1.723164E9</v>
      </c>
      <c r="N84" s="23"/>
      <c r="O84" s="26" t="n">
        <f>1811164000</f>
        <v>1.811164E9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100</f>
        <v>100.0</v>
      </c>
      <c r="U84" s="23" t="s">
        <v>29</v>
      </c>
      <c r="V84" s="25" t="n">
        <f>2266</f>
        <v>2266.0</v>
      </c>
      <c r="W84" s="23"/>
      <c r="X84" s="26" t="n">
        <f>2366</f>
        <v>2366.0</v>
      </c>
      <c r="Y84" s="24"/>
      <c r="Z84" s="25" t="n">
        <f>78549</f>
        <v>78549.0</v>
      </c>
      <c r="AA84" s="23"/>
      <c r="AB84" s="25" t="n">
        <f>13443</f>
        <v>13443.0</v>
      </c>
      <c r="AC84" s="23"/>
      <c r="AD84" s="26" t="n">
        <f>91992</f>
        <v>91992.0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200</f>
        <v>200.0</v>
      </c>
      <c r="F85" s="23"/>
      <c r="G85" s="25" t="n">
        <f>100</f>
        <v>100.0</v>
      </c>
      <c r="H85" s="23"/>
      <c r="I85" s="26" t="n">
        <f>300</f>
        <v>300.0</v>
      </c>
      <c r="J85" s="24"/>
      <c r="K85" s="25" t="n">
        <f>9350000</f>
        <v>9350000.0</v>
      </c>
      <c r="L85" s="23"/>
      <c r="M85" s="25" t="n">
        <f>109500000</f>
        <v>1.095E8</v>
      </c>
      <c r="N85" s="23"/>
      <c r="O85" s="26" t="n">
        <f>118850000</f>
        <v>1.1885E8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78749</f>
        <v>78749.0</v>
      </c>
      <c r="AA85" s="23"/>
      <c r="AB85" s="25" t="n">
        <f>13543</f>
        <v>13543.0</v>
      </c>
      <c r="AC85" s="23"/>
      <c r="AD85" s="26" t="n">
        <f>92292</f>
        <v>92292.0</v>
      </c>
    </row>
    <row r="86">
      <c r="A86" s="30" t="s">
        <v>46</v>
      </c>
      <c r="B86" s="22" t="s">
        <v>62</v>
      </c>
      <c r="C86" s="22" t="s">
        <v>63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47</v>
      </c>
      <c r="B87" s="22" t="s">
        <v>62</v>
      </c>
      <c r="C87" s="22" t="s">
        <v>63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48</v>
      </c>
      <c r="B88" s="22" t="s">
        <v>62</v>
      </c>
      <c r="C88" s="22" t="s">
        <v>63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49</v>
      </c>
      <c r="B89" s="22" t="s">
        <v>62</v>
      </c>
      <c r="C89" s="22" t="s">
        <v>63</v>
      </c>
      <c r="D89" s="24"/>
      <c r="E89" s="25" t="n">
        <f>523</f>
        <v>523.0</v>
      </c>
      <c r="F89" s="23"/>
      <c r="G89" s="25" t="str">
        <f>"－"</f>
        <v>－</v>
      </c>
      <c r="H89" s="23"/>
      <c r="I89" s="26" t="n">
        <f>523</f>
        <v>523.0</v>
      </c>
      <c r="J89" s="24"/>
      <c r="K89" s="25" t="n">
        <f>37154443</f>
        <v>3.7154443E7</v>
      </c>
      <c r="L89" s="23"/>
      <c r="M89" s="25" t="str">
        <f>"－"</f>
        <v>－</v>
      </c>
      <c r="N89" s="23"/>
      <c r="O89" s="26" t="n">
        <f>37154443</f>
        <v>3.7154443E7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523</f>
        <v>523.0</v>
      </c>
      <c r="U89" s="23"/>
      <c r="V89" s="25" t="str">
        <f>"－"</f>
        <v>－</v>
      </c>
      <c r="W89" s="23"/>
      <c r="X89" s="26" t="n">
        <f>523</f>
        <v>523.0</v>
      </c>
      <c r="Y89" s="24"/>
      <c r="Z89" s="25" t="n">
        <f>79272</f>
        <v>79272.0</v>
      </c>
      <c r="AA89" s="23"/>
      <c r="AB89" s="25" t="n">
        <f>13543</f>
        <v>13543.0</v>
      </c>
      <c r="AC89" s="23"/>
      <c r="AD89" s="26" t="n">
        <f>92815</f>
        <v>92815.0</v>
      </c>
    </row>
    <row r="90">
      <c r="A90" s="30" t="s">
        <v>50</v>
      </c>
      <c r="B90" s="22" t="s">
        <v>62</v>
      </c>
      <c r="C90" s="22" t="s">
        <v>63</v>
      </c>
      <c r="D90" s="24"/>
      <c r="E90" s="25" t="n">
        <f>40</f>
        <v>40.0</v>
      </c>
      <c r="F90" s="23"/>
      <c r="G90" s="25" t="n">
        <f>500</f>
        <v>500.0</v>
      </c>
      <c r="H90" s="23"/>
      <c r="I90" s="26" t="n">
        <f>540</f>
        <v>540.0</v>
      </c>
      <c r="J90" s="24"/>
      <c r="K90" s="25" t="n">
        <f>3504200</f>
        <v>3504200.0</v>
      </c>
      <c r="L90" s="23"/>
      <c r="M90" s="25" t="n">
        <f>76000000</f>
        <v>7.6E7</v>
      </c>
      <c r="N90" s="23"/>
      <c r="O90" s="26" t="n">
        <f>79504200</f>
        <v>7.95042E7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40</f>
        <v>40.0</v>
      </c>
      <c r="U90" s="23"/>
      <c r="V90" s="25" t="str">
        <f>"－"</f>
        <v>－</v>
      </c>
      <c r="W90" s="23"/>
      <c r="X90" s="26" t="n">
        <f>40</f>
        <v>40.0</v>
      </c>
      <c r="Y90" s="24"/>
      <c r="Z90" s="25" t="n">
        <f>79272</f>
        <v>79272.0</v>
      </c>
      <c r="AA90" s="23"/>
      <c r="AB90" s="25" t="n">
        <f>14043</f>
        <v>14043.0</v>
      </c>
      <c r="AC90" s="23"/>
      <c r="AD90" s="26" t="n">
        <f>93315</f>
        <v>93315.0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4116</f>
        <v>4116.0</v>
      </c>
      <c r="F91" s="23"/>
      <c r="G91" s="25" t="str">
        <f>"－"</f>
        <v>－</v>
      </c>
      <c r="H91" s="23"/>
      <c r="I91" s="26" t="n">
        <f>4116</f>
        <v>4116.0</v>
      </c>
      <c r="J91" s="24"/>
      <c r="K91" s="25" t="n">
        <f>2029035900</f>
        <v>2.0290359E9</v>
      </c>
      <c r="L91" s="23"/>
      <c r="M91" s="25" t="str">
        <f>"－"</f>
        <v>－</v>
      </c>
      <c r="N91" s="23"/>
      <c r="O91" s="26" t="n">
        <f>2029035900</f>
        <v>2.0290359E9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4116</f>
        <v>4116.0</v>
      </c>
      <c r="U91" s="23"/>
      <c r="V91" s="25" t="str">
        <f>"－"</f>
        <v>－</v>
      </c>
      <c r="W91" s="23"/>
      <c r="X91" s="26" t="n">
        <f>4116</f>
        <v>4116.0</v>
      </c>
      <c r="Y91" s="24"/>
      <c r="Z91" s="25" t="n">
        <f>79722</f>
        <v>79722.0</v>
      </c>
      <c r="AA91" s="23"/>
      <c r="AB91" s="25" t="n">
        <f>14043</f>
        <v>14043.0</v>
      </c>
      <c r="AC91" s="23"/>
      <c r="AD91" s="26" t="n">
        <f>93765</f>
        <v>93765.0</v>
      </c>
    </row>
    <row r="92">
      <c r="A92" s="30" t="s">
        <v>52</v>
      </c>
      <c r="B92" s="22" t="s">
        <v>62</v>
      </c>
      <c r="C92" s="22" t="s">
        <v>63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53</v>
      </c>
      <c r="B93" s="22" t="s">
        <v>62</v>
      </c>
      <c r="C93" s="22" t="s">
        <v>63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54</v>
      </c>
      <c r="B94" s="22" t="s">
        <v>62</v>
      </c>
      <c r="C94" s="22" t="s">
        <v>63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55</v>
      </c>
      <c r="B95" s="22" t="s">
        <v>62</v>
      </c>
      <c r="C95" s="22" t="s">
        <v>63</v>
      </c>
      <c r="D95" s="24"/>
      <c r="E95" s="25" t="n">
        <f>3667</f>
        <v>3667.0</v>
      </c>
      <c r="F95" s="23"/>
      <c r="G95" s="25" t="str">
        <f>"－"</f>
        <v>－</v>
      </c>
      <c r="H95" s="23"/>
      <c r="I95" s="26" t="n">
        <f>3667</f>
        <v>3667.0</v>
      </c>
      <c r="J95" s="24"/>
      <c r="K95" s="25" t="n">
        <f>2449788368</f>
        <v>2.449788368E9</v>
      </c>
      <c r="L95" s="23"/>
      <c r="M95" s="25" t="str">
        <f>"－"</f>
        <v>－</v>
      </c>
      <c r="N95" s="23"/>
      <c r="O95" s="26" t="n">
        <f>2449788368</f>
        <v>2.449788368E9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3667</f>
        <v>3667.0</v>
      </c>
      <c r="U95" s="23"/>
      <c r="V95" s="25" t="str">
        <f>"－"</f>
        <v>－</v>
      </c>
      <c r="W95" s="23"/>
      <c r="X95" s="26" t="n">
        <f>3667</f>
        <v>3667.0</v>
      </c>
      <c r="Y95" s="24"/>
      <c r="Z95" s="25" t="n">
        <f>79688</f>
        <v>79688.0</v>
      </c>
      <c r="AA95" s="23"/>
      <c r="AB95" s="25" t="n">
        <f>14043</f>
        <v>14043.0</v>
      </c>
      <c r="AC95" s="23"/>
      <c r="AD95" s="26" t="n">
        <f>93731</f>
        <v>93731.0</v>
      </c>
    </row>
    <row r="96">
      <c r="A96" s="30" t="s">
        <v>56</v>
      </c>
      <c r="B96" s="22" t="s">
        <v>62</v>
      </c>
      <c r="C96" s="22" t="s">
        <v>63</v>
      </c>
      <c r="D96" s="24"/>
      <c r="E96" s="25" t="n">
        <f>4823</f>
        <v>4823.0</v>
      </c>
      <c r="F96" s="23"/>
      <c r="G96" s="25" t="n">
        <f>260</f>
        <v>260.0</v>
      </c>
      <c r="H96" s="23"/>
      <c r="I96" s="26" t="n">
        <f>5083</f>
        <v>5083.0</v>
      </c>
      <c r="J96" s="24"/>
      <c r="K96" s="25" t="n">
        <f>1969638384</f>
        <v>1.969638384E9</v>
      </c>
      <c r="L96" s="23"/>
      <c r="M96" s="25" t="n">
        <f>225240000</f>
        <v>2.2524E8</v>
      </c>
      <c r="N96" s="23"/>
      <c r="O96" s="26" t="n">
        <f>2194878384</f>
        <v>2.194878384E9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4723</f>
        <v>4723.0</v>
      </c>
      <c r="U96" s="23"/>
      <c r="V96" s="25" t="n">
        <f>160</f>
        <v>160.0</v>
      </c>
      <c r="W96" s="23"/>
      <c r="X96" s="26" t="n">
        <f>4883</f>
        <v>4883.0</v>
      </c>
      <c r="Y96" s="24"/>
      <c r="Z96" s="25" t="n">
        <f>79380</f>
        <v>79380.0</v>
      </c>
      <c r="AA96" s="23"/>
      <c r="AB96" s="25" t="n">
        <f>14203</f>
        <v>14203.0</v>
      </c>
      <c r="AC96" s="23"/>
      <c r="AD96" s="26" t="n">
        <f>93583</f>
        <v>93583.0</v>
      </c>
    </row>
    <row r="97">
      <c r="A97" s="30" t="s">
        <v>57</v>
      </c>
      <c r="B97" s="22" t="s">
        <v>62</v>
      </c>
      <c r="C97" s="22" t="s">
        <v>63</v>
      </c>
      <c r="D97" s="24"/>
      <c r="E97" s="25" t="n">
        <f>1404</f>
        <v>1404.0</v>
      </c>
      <c r="F97" s="23"/>
      <c r="G97" s="25" t="str">
        <f>"－"</f>
        <v>－</v>
      </c>
      <c r="H97" s="23"/>
      <c r="I97" s="26" t="n">
        <f>1404</f>
        <v>1404.0</v>
      </c>
      <c r="J97" s="24"/>
      <c r="K97" s="25" t="n">
        <f>180602106</f>
        <v>1.80602106E8</v>
      </c>
      <c r="L97" s="23"/>
      <c r="M97" s="25" t="str">
        <f>"－"</f>
        <v>－</v>
      </c>
      <c r="N97" s="23"/>
      <c r="O97" s="26" t="n">
        <f>180602106</f>
        <v>1.80602106E8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1404</f>
        <v>1404.0</v>
      </c>
      <c r="U97" s="23"/>
      <c r="V97" s="25" t="str">
        <f>"－"</f>
        <v>－</v>
      </c>
      <c r="W97" s="23"/>
      <c r="X97" s="26" t="n">
        <f>1404</f>
        <v>1404.0</v>
      </c>
      <c r="Y97" s="24"/>
      <c r="Z97" s="25" t="n">
        <f>80653</f>
        <v>80653.0</v>
      </c>
      <c r="AA97" s="23"/>
      <c r="AB97" s="25" t="n">
        <f>14203</f>
        <v>14203.0</v>
      </c>
      <c r="AC97" s="23"/>
      <c r="AD97" s="26" t="n">
        <f>94856</f>
        <v>94856.0</v>
      </c>
    </row>
    <row r="98">
      <c r="A98" s="30" t="s">
        <v>58</v>
      </c>
      <c r="B98" s="22" t="s">
        <v>62</v>
      </c>
      <c r="C98" s="22" t="s">
        <v>63</v>
      </c>
      <c r="D98" s="24"/>
      <c r="E98" s="25" t="n">
        <f>1405</f>
        <v>1405.0</v>
      </c>
      <c r="F98" s="23"/>
      <c r="G98" s="25" t="str">
        <f>"－"</f>
        <v>－</v>
      </c>
      <c r="H98" s="23"/>
      <c r="I98" s="26" t="n">
        <f>1405</f>
        <v>1405.0</v>
      </c>
      <c r="J98" s="24"/>
      <c r="K98" s="25" t="n">
        <f>187712000</f>
        <v>1.87712E8</v>
      </c>
      <c r="L98" s="23"/>
      <c r="M98" s="25" t="str">
        <f>"－"</f>
        <v>－</v>
      </c>
      <c r="N98" s="23"/>
      <c r="O98" s="26" t="n">
        <f>187712000</f>
        <v>1.87712E8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455</f>
        <v>455.0</v>
      </c>
      <c r="U98" s="23"/>
      <c r="V98" s="25" t="str">
        <f>"－"</f>
        <v>－</v>
      </c>
      <c r="W98" s="23"/>
      <c r="X98" s="26" t="n">
        <f>455</f>
        <v>455.0</v>
      </c>
      <c r="Y98" s="24"/>
      <c r="Z98" s="25" t="n">
        <f>81603</f>
        <v>81603.0</v>
      </c>
      <c r="AA98" s="23"/>
      <c r="AB98" s="25" t="n">
        <f>14203</f>
        <v>14203.0</v>
      </c>
      <c r="AC98" s="23"/>
      <c r="AD98" s="26" t="n">
        <f>95806</f>
        <v>95806.0</v>
      </c>
    </row>
    <row r="99">
      <c r="A99" s="30" t="s">
        <v>59</v>
      </c>
      <c r="B99" s="22" t="s">
        <v>62</v>
      </c>
      <c r="C99" s="22" t="s">
        <v>63</v>
      </c>
      <c r="D99" s="24"/>
      <c r="E99" s="25" t="n">
        <f>1161</f>
        <v>1161.0</v>
      </c>
      <c r="F99" s="23"/>
      <c r="G99" s="25" t="n">
        <f>290</f>
        <v>290.0</v>
      </c>
      <c r="H99" s="23"/>
      <c r="I99" s="26" t="n">
        <f>1451</f>
        <v>1451.0</v>
      </c>
      <c r="J99" s="24"/>
      <c r="K99" s="25" t="n">
        <f>438600732</f>
        <v>4.38600732E8</v>
      </c>
      <c r="L99" s="23"/>
      <c r="M99" s="25" t="n">
        <f>224900000</f>
        <v>2.249E8</v>
      </c>
      <c r="N99" s="23"/>
      <c r="O99" s="26" t="n">
        <f>663500732</f>
        <v>6.63500732E8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1161</f>
        <v>1161.0</v>
      </c>
      <c r="U99" s="23"/>
      <c r="V99" s="25" t="n">
        <f>290</f>
        <v>290.0</v>
      </c>
      <c r="W99" s="23"/>
      <c r="X99" s="26" t="n">
        <f>1451</f>
        <v>1451.0</v>
      </c>
      <c r="Y99" s="24"/>
      <c r="Z99" s="25" t="n">
        <f>82714</f>
        <v>82714.0</v>
      </c>
      <c r="AA99" s="23" t="s">
        <v>29</v>
      </c>
      <c r="AB99" s="25" t="n">
        <f>14443</f>
        <v>14443.0</v>
      </c>
      <c r="AC99" s="23"/>
      <c r="AD99" s="26" t="n">
        <f>97157</f>
        <v>97157.0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30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31</v>
      </c>
      <c r="B102" s="22" t="s">
        <v>64</v>
      </c>
      <c r="C102" s="22" t="s">
        <v>65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32</v>
      </c>
      <c r="B103" s="22" t="s">
        <v>64</v>
      </c>
      <c r="C103" s="22" t="s">
        <v>65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33</v>
      </c>
      <c r="B104" s="22" t="s">
        <v>64</v>
      </c>
      <c r="C104" s="22" t="s">
        <v>65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34</v>
      </c>
      <c r="B105" s="22" t="s">
        <v>64</v>
      </c>
      <c r="C105" s="22" t="s">
        <v>65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35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36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37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39</v>
      </c>
      <c r="B109" s="22" t="s">
        <v>64</v>
      </c>
      <c r="C109" s="22" t="s">
        <v>65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40</v>
      </c>
      <c r="B110" s="22" t="s">
        <v>64</v>
      </c>
      <c r="C110" s="22" t="s">
        <v>65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41</v>
      </c>
      <c r="B111" s="22" t="s">
        <v>64</v>
      </c>
      <c r="C111" s="22" t="s">
        <v>65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42</v>
      </c>
      <c r="B112" s="22" t="s">
        <v>64</v>
      </c>
      <c r="C112" s="22" t="s">
        <v>65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47</v>
      </c>
      <c r="B117" s="22" t="s">
        <v>64</v>
      </c>
      <c r="C117" s="22" t="s">
        <v>65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48</v>
      </c>
      <c r="B118" s="22" t="s">
        <v>64</v>
      </c>
      <c r="C118" s="22" t="s">
        <v>65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49</v>
      </c>
      <c r="B119" s="22" t="s">
        <v>64</v>
      </c>
      <c r="C119" s="22" t="s">
        <v>65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53</v>
      </c>
      <c r="B123" s="22" t="s">
        <v>64</v>
      </c>
      <c r="C123" s="22" t="s">
        <v>65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54</v>
      </c>
      <c r="B124" s="22" t="s">
        <v>64</v>
      </c>
      <c r="C124" s="22" t="s">
        <v>65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55</v>
      </c>
      <c r="B125" s="22" t="s">
        <v>64</v>
      </c>
      <c r="C125" s="22" t="s">
        <v>65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56</v>
      </c>
      <c r="B126" s="22" t="s">
        <v>64</v>
      </c>
      <c r="C126" s="22" t="s">
        <v>65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30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31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32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33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34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35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36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37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39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40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41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30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31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32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33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34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35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36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37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39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40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41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