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PA\0233_デリバティブ月間統計資料の掲載\作業\CMS\"/>
    </mc:Choice>
  </mc:AlternateContent>
  <xr:revisionPtr revIDLastSave="0" documentId="13_ncr:1_{A6EAFF64-A075-4ED0-A9E3-FD982C573E96}" xr6:coauthVersionLast="36" xr6:coauthVersionMax="45" xr10:uidLastSave="{00000000-0000-0000-0000-000000000000}"/>
  <bookViews>
    <workbookView xWindow="20370" yWindow="-120" windowWidth="29040" windowHeight="15840" activeTab="1" xr2:uid="{00000000-000D-0000-FFFF-FFFF00000000}"/>
  </bookViews>
  <sheets>
    <sheet name="BO_DY0005" sheetId="9" r:id="rId1"/>
    <sheet name="BO_DY0007" sheetId="10" r:id="rId2"/>
  </sheets>
  <definedNames>
    <definedName name="_xlnm._FilterDatabase" localSheetId="0" hidden="1">BO_DY0005!$A$6:$AC$7</definedName>
    <definedName name="_xlnm._FilterDatabase" localSheetId="1" hidden="1">BO_DY0007!#REF!</definedName>
    <definedName name="_xlnm.Print_Titles" localSheetId="0">BO_DY0005!$1:$6</definedName>
    <definedName name="_xlnm.Print_Titles" localSheetId="1">BO_DY0007!$1:$6</definedName>
  </definedNames>
  <calcPr calcId="191029"/>
</workbook>
</file>

<file path=xl/calcChain.xml><?xml version="1.0" encoding="utf-8"?>
<calcChain xmlns="http://schemas.openxmlformats.org/spreadsheetml/2006/main">
  <c r="AD288" i="10" l="1"/>
  <c r="AC288" i="10"/>
  <c r="AB288" i="10"/>
  <c r="X288" i="10"/>
  <c r="U288" i="10"/>
  <c r="T288" i="10"/>
  <c r="AD287" i="10"/>
  <c r="AC287" i="10"/>
  <c r="AB287" i="10"/>
  <c r="X287" i="10"/>
  <c r="U287" i="10"/>
  <c r="T287" i="10"/>
  <c r="AD286" i="10"/>
  <c r="AC286" i="10"/>
  <c r="AB286" i="10"/>
  <c r="X286" i="10"/>
  <c r="U286" i="10"/>
  <c r="T286" i="10"/>
  <c r="AD285" i="10"/>
  <c r="AC285" i="10"/>
  <c r="AB285" i="10"/>
  <c r="X285" i="10"/>
  <c r="U285" i="10"/>
  <c r="T285" i="10"/>
  <c r="AD284" i="10"/>
  <c r="AC284" i="10"/>
  <c r="AB284" i="10"/>
  <c r="X284" i="10"/>
  <c r="U284" i="10"/>
  <c r="T284" i="10"/>
  <c r="AD283" i="10"/>
  <c r="AC283" i="10"/>
  <c r="AB283" i="10"/>
  <c r="X283" i="10"/>
  <c r="U283" i="10"/>
  <c r="T283" i="10"/>
  <c r="AD282" i="10"/>
  <c r="AC282" i="10"/>
  <c r="AB282" i="10"/>
  <c r="X282" i="10"/>
  <c r="U282" i="10"/>
  <c r="T282" i="10"/>
  <c r="AD281" i="10"/>
  <c r="AC281" i="10"/>
  <c r="AB281" i="10"/>
  <c r="X281" i="10"/>
  <c r="U281" i="10"/>
  <c r="T281" i="10"/>
  <c r="AD280" i="10"/>
  <c r="AC280" i="10"/>
  <c r="AB280" i="10"/>
  <c r="X280" i="10"/>
  <c r="U280" i="10"/>
  <c r="T280" i="10"/>
  <c r="AD279" i="10"/>
  <c r="AC279" i="10"/>
  <c r="AB279" i="10"/>
  <c r="X279" i="10"/>
  <c r="U279" i="10"/>
  <c r="T279" i="10"/>
  <c r="AD278" i="10"/>
  <c r="AC278" i="10"/>
  <c r="AB278" i="10"/>
  <c r="X278" i="10"/>
  <c r="U278" i="10"/>
  <c r="T278" i="10"/>
  <c r="AD277" i="10"/>
  <c r="AC277" i="10"/>
  <c r="AB277" i="10"/>
  <c r="X277" i="10"/>
  <c r="U277" i="10"/>
  <c r="T277" i="10"/>
  <c r="AD276" i="10"/>
  <c r="AC276" i="10"/>
  <c r="AB276" i="10"/>
  <c r="X276" i="10"/>
  <c r="U276" i="10"/>
  <c r="T276" i="10"/>
  <c r="AD275" i="10"/>
  <c r="AC275" i="10"/>
  <c r="AB275" i="10"/>
  <c r="X275" i="10"/>
  <c r="U275" i="10"/>
  <c r="T275" i="10"/>
  <c r="AD274" i="10"/>
  <c r="AC274" i="10"/>
  <c r="AB274" i="10"/>
  <c r="X274" i="10"/>
  <c r="U274" i="10"/>
  <c r="T274" i="10"/>
  <c r="AD273" i="10"/>
  <c r="AC273" i="10"/>
  <c r="AB273" i="10"/>
  <c r="X273" i="10"/>
  <c r="U273" i="10"/>
  <c r="T273" i="10"/>
  <c r="AD272" i="10"/>
  <c r="AC272" i="10"/>
  <c r="AB272" i="10"/>
  <c r="X272" i="10"/>
  <c r="U272" i="10"/>
  <c r="T272" i="10"/>
  <c r="AD271" i="10"/>
  <c r="AC271" i="10"/>
  <c r="AB271" i="10"/>
  <c r="X271" i="10"/>
  <c r="U271" i="10"/>
  <c r="T271" i="10"/>
  <c r="AD270" i="10"/>
  <c r="AC270" i="10"/>
  <c r="AB270" i="10"/>
  <c r="X270" i="10"/>
  <c r="U270" i="10"/>
  <c r="T270" i="10"/>
  <c r="AD269" i="10"/>
  <c r="AC269" i="10"/>
  <c r="AB269" i="10"/>
  <c r="X269" i="10"/>
  <c r="U269" i="10"/>
  <c r="T269" i="10"/>
  <c r="AD268" i="10"/>
  <c r="AC268" i="10"/>
  <c r="AB268" i="10"/>
  <c r="X268" i="10"/>
  <c r="U268" i="10"/>
  <c r="T268" i="10"/>
  <c r="AD267" i="10"/>
  <c r="AC267" i="10"/>
  <c r="AB267" i="10"/>
  <c r="X267" i="10"/>
  <c r="U267" i="10"/>
  <c r="T267" i="10"/>
  <c r="AD266" i="10"/>
  <c r="AC266" i="10"/>
  <c r="AB266" i="10"/>
  <c r="X266" i="10"/>
  <c r="U266" i="10"/>
  <c r="T266" i="10"/>
  <c r="AD265" i="10"/>
  <c r="AC265" i="10"/>
  <c r="AB265" i="10"/>
  <c r="X265" i="10"/>
  <c r="U265" i="10"/>
  <c r="T265" i="10"/>
  <c r="AD264" i="10"/>
  <c r="AC264" i="10"/>
  <c r="AB264" i="10"/>
  <c r="X264" i="10"/>
  <c r="U264" i="10"/>
  <c r="T264" i="10"/>
  <c r="AD263" i="10"/>
  <c r="AC263" i="10"/>
  <c r="AB263" i="10"/>
  <c r="X263" i="10"/>
  <c r="U263" i="10"/>
  <c r="T263" i="10"/>
  <c r="AD262" i="10"/>
  <c r="AC262" i="10"/>
  <c r="AB262" i="10"/>
  <c r="X262" i="10"/>
  <c r="U262" i="10"/>
  <c r="T262" i="10"/>
  <c r="AD261" i="10"/>
  <c r="AC261" i="10"/>
  <c r="AB261" i="10"/>
  <c r="X261" i="10"/>
  <c r="U261" i="10"/>
  <c r="T261" i="10"/>
  <c r="AD260" i="10"/>
  <c r="AC260" i="10"/>
  <c r="AB260" i="10"/>
  <c r="X260" i="10"/>
  <c r="U260" i="10"/>
  <c r="T260" i="10"/>
  <c r="AD259" i="10"/>
  <c r="AC259" i="10"/>
  <c r="AB259" i="10"/>
  <c r="X259" i="10"/>
  <c r="U259" i="10"/>
  <c r="T259" i="10"/>
  <c r="AD258" i="10"/>
  <c r="AC258" i="10"/>
  <c r="AB258" i="10"/>
  <c r="X258" i="10"/>
  <c r="U258" i="10"/>
  <c r="T258" i="10"/>
  <c r="AD257" i="10"/>
  <c r="AC257" i="10"/>
  <c r="AB257" i="10"/>
  <c r="X257" i="10"/>
  <c r="U257" i="10"/>
  <c r="T257" i="10"/>
  <c r="AD256" i="10"/>
  <c r="AC256" i="10"/>
  <c r="AB256" i="10"/>
  <c r="X256" i="10"/>
  <c r="U256" i="10"/>
  <c r="T256" i="10"/>
  <c r="AD255" i="10"/>
  <c r="AC255" i="10"/>
  <c r="AB255" i="10"/>
  <c r="X255" i="10"/>
  <c r="U255" i="10"/>
  <c r="T255" i="10"/>
  <c r="AD254" i="10"/>
  <c r="AC254" i="10"/>
  <c r="AB254" i="10"/>
  <c r="X254" i="10"/>
  <c r="U254" i="10"/>
  <c r="T254" i="10"/>
  <c r="AD253" i="10"/>
  <c r="AC253" i="10"/>
  <c r="AB253" i="10"/>
  <c r="X253" i="10"/>
  <c r="U253" i="10"/>
  <c r="T253" i="10"/>
  <c r="AD252" i="10"/>
  <c r="AC252" i="10"/>
  <c r="AB252" i="10"/>
  <c r="X252" i="10"/>
  <c r="U252" i="10"/>
  <c r="T252" i="10"/>
  <c r="AD251" i="10"/>
  <c r="AC251" i="10"/>
  <c r="AB251" i="10"/>
  <c r="X251" i="10"/>
  <c r="U251" i="10"/>
  <c r="T251" i="10"/>
  <c r="AD250" i="10"/>
  <c r="AC250" i="10"/>
  <c r="AB250" i="10"/>
  <c r="X250" i="10"/>
  <c r="U250" i="10"/>
  <c r="T250" i="10"/>
  <c r="AD249" i="10"/>
  <c r="AC249" i="10"/>
  <c r="AB249" i="10"/>
  <c r="X249" i="10"/>
  <c r="U249" i="10"/>
  <c r="T249" i="10"/>
  <c r="AD248" i="10"/>
  <c r="AC248" i="10"/>
  <c r="AB248" i="10"/>
  <c r="X248" i="10"/>
  <c r="U248" i="10"/>
  <c r="T248" i="10"/>
  <c r="AD247" i="10"/>
  <c r="AC247" i="10"/>
  <c r="AB247" i="10"/>
  <c r="X247" i="10"/>
  <c r="U247" i="10"/>
  <c r="T247" i="10"/>
  <c r="AD246" i="10"/>
  <c r="AC246" i="10"/>
  <c r="AB246" i="10"/>
  <c r="X246" i="10"/>
  <c r="U246" i="10"/>
  <c r="T246" i="10"/>
  <c r="AD245" i="10"/>
  <c r="AC245" i="10"/>
  <c r="AB245" i="10"/>
  <c r="X245" i="10"/>
  <c r="U245" i="10"/>
  <c r="T245" i="10"/>
  <c r="AD244" i="10"/>
  <c r="AC244" i="10"/>
  <c r="AB244" i="10"/>
  <c r="X244" i="10"/>
  <c r="U244" i="10"/>
  <c r="T244" i="10"/>
  <c r="AD243" i="10"/>
  <c r="AC243" i="10"/>
  <c r="AB243" i="10"/>
  <c r="X243" i="10"/>
  <c r="U243" i="10"/>
  <c r="T243" i="10"/>
  <c r="AD242" i="10"/>
  <c r="AC242" i="10"/>
  <c r="AB242" i="10"/>
  <c r="X242" i="10"/>
  <c r="U242" i="10"/>
  <c r="T242" i="10"/>
  <c r="AD241" i="10"/>
  <c r="AC241" i="10"/>
  <c r="AB241" i="10"/>
  <c r="X241" i="10"/>
  <c r="U241" i="10"/>
  <c r="T241" i="10"/>
  <c r="AD240" i="10"/>
  <c r="AC240" i="10"/>
  <c r="AB240" i="10"/>
  <c r="X240" i="10"/>
  <c r="U240" i="10"/>
  <c r="T240" i="10"/>
  <c r="AD239" i="10"/>
  <c r="AC239" i="10"/>
  <c r="AB239" i="10"/>
  <c r="X239" i="10"/>
  <c r="U239" i="10"/>
  <c r="T239" i="10"/>
  <c r="AD238" i="10"/>
  <c r="AC238" i="10"/>
  <c r="AB238" i="10"/>
  <c r="X238" i="10"/>
  <c r="U238" i="10"/>
  <c r="T238" i="10"/>
  <c r="AD237" i="10"/>
  <c r="AC237" i="10"/>
  <c r="AB237" i="10"/>
  <c r="X237" i="10"/>
  <c r="U237" i="10"/>
  <c r="T237" i="10"/>
  <c r="AD236" i="10"/>
  <c r="AC236" i="10"/>
  <c r="AB236" i="10"/>
  <c r="X236" i="10"/>
  <c r="U236" i="10"/>
  <c r="T236" i="10"/>
  <c r="AD235" i="10"/>
  <c r="AC235" i="10"/>
  <c r="AB235" i="10"/>
  <c r="X235" i="10"/>
  <c r="U235" i="10"/>
  <c r="T235" i="10"/>
  <c r="AD234" i="10"/>
  <c r="AC234" i="10"/>
  <c r="AB234" i="10"/>
  <c r="X234" i="10"/>
  <c r="U234" i="10"/>
  <c r="T234" i="10"/>
  <c r="AD233" i="10"/>
  <c r="AC233" i="10"/>
  <c r="AB233" i="10"/>
  <c r="X233" i="10"/>
  <c r="U233" i="10"/>
  <c r="T233" i="10"/>
  <c r="AD232" i="10"/>
  <c r="AC232" i="10"/>
  <c r="AB232" i="10"/>
  <c r="X232" i="10"/>
  <c r="U232" i="10"/>
  <c r="T232" i="10"/>
  <c r="AD231" i="10"/>
  <c r="AC231" i="10"/>
  <c r="AB231" i="10"/>
  <c r="X231" i="10"/>
  <c r="U231" i="10"/>
  <c r="T231" i="10"/>
  <c r="AD230" i="10"/>
  <c r="AC230" i="10"/>
  <c r="AB230" i="10"/>
  <c r="X230" i="10"/>
  <c r="U230" i="10"/>
  <c r="T230" i="10"/>
  <c r="AD229" i="10"/>
  <c r="AC229" i="10"/>
  <c r="AB229" i="10"/>
  <c r="X229" i="10"/>
  <c r="U229" i="10"/>
  <c r="T229" i="10"/>
  <c r="AD228" i="10"/>
  <c r="AC228" i="10"/>
  <c r="AB228" i="10"/>
  <c r="X228" i="10"/>
  <c r="U228" i="10"/>
  <c r="T228" i="10"/>
  <c r="AD227" i="10"/>
  <c r="AC227" i="10"/>
  <c r="AB227" i="10"/>
  <c r="X227" i="10"/>
  <c r="U227" i="10"/>
  <c r="T227" i="10"/>
  <c r="AD226" i="10"/>
  <c r="AC226" i="10"/>
  <c r="AB226" i="10"/>
  <c r="X226" i="10"/>
  <c r="U226" i="10"/>
  <c r="T226" i="10"/>
  <c r="AD225" i="10"/>
  <c r="AC225" i="10"/>
  <c r="AB225" i="10"/>
  <c r="X225" i="10"/>
  <c r="U225" i="10"/>
  <c r="T225" i="10"/>
  <c r="AD224" i="10"/>
  <c r="AC224" i="10"/>
  <c r="AB224" i="10"/>
  <c r="X224" i="10"/>
  <c r="U224" i="10"/>
  <c r="T224" i="10"/>
  <c r="AD223" i="10"/>
  <c r="AC223" i="10"/>
  <c r="AB223" i="10"/>
  <c r="X223" i="10"/>
  <c r="U223" i="10"/>
  <c r="T223" i="10"/>
  <c r="AD222" i="10"/>
  <c r="AC222" i="10"/>
  <c r="AB222" i="10"/>
  <c r="X222" i="10"/>
  <c r="U222" i="10"/>
  <c r="T222" i="10"/>
  <c r="AD221" i="10"/>
  <c r="AC221" i="10"/>
  <c r="AB221" i="10"/>
  <c r="X221" i="10"/>
  <c r="U221" i="10"/>
  <c r="T221" i="10"/>
  <c r="AD220" i="10"/>
  <c r="AC220" i="10"/>
  <c r="AB220" i="10"/>
  <c r="X220" i="10"/>
  <c r="U220" i="10"/>
  <c r="T220" i="10"/>
  <c r="AD219" i="10"/>
  <c r="AC219" i="10"/>
  <c r="AB219" i="10"/>
  <c r="X219" i="10"/>
  <c r="U219" i="10"/>
  <c r="T219" i="10"/>
  <c r="AD218" i="10"/>
  <c r="AC218" i="10"/>
  <c r="AB218" i="10"/>
  <c r="X218" i="10"/>
  <c r="U218" i="10"/>
  <c r="T218" i="10"/>
  <c r="AD217" i="10"/>
  <c r="AC217" i="10"/>
  <c r="AB217" i="10"/>
  <c r="X217" i="10"/>
  <c r="U217" i="10"/>
  <c r="T217" i="10"/>
  <c r="AD216" i="10"/>
  <c r="AC216" i="10"/>
  <c r="AB216" i="10"/>
  <c r="X216" i="10"/>
  <c r="U216" i="10"/>
  <c r="T216" i="10"/>
  <c r="AD215" i="10"/>
  <c r="AC215" i="10"/>
  <c r="AB215" i="10"/>
  <c r="X215" i="10"/>
  <c r="U215" i="10"/>
  <c r="T215" i="10"/>
  <c r="AD214" i="10"/>
  <c r="AC214" i="10"/>
  <c r="AB214" i="10"/>
  <c r="X214" i="10"/>
  <c r="U214" i="10"/>
  <c r="T214" i="10"/>
  <c r="AD213" i="10"/>
  <c r="AC213" i="10"/>
  <c r="AB213" i="10"/>
  <c r="X213" i="10"/>
  <c r="U213" i="10"/>
  <c r="T213" i="10"/>
  <c r="AD212" i="10"/>
  <c r="AC212" i="10"/>
  <c r="AB212" i="10"/>
  <c r="X212" i="10"/>
  <c r="U212" i="10"/>
  <c r="T212" i="10"/>
  <c r="AD211" i="10"/>
  <c r="AC211" i="10"/>
  <c r="AB211" i="10"/>
  <c r="X211" i="10"/>
  <c r="U211" i="10"/>
  <c r="T211" i="10"/>
  <c r="AD210" i="10"/>
  <c r="AC210" i="10"/>
  <c r="AB210" i="10"/>
  <c r="X210" i="10"/>
  <c r="U210" i="10"/>
  <c r="T210" i="10"/>
  <c r="AD209" i="10"/>
  <c r="AC209" i="10"/>
  <c r="AB209" i="10"/>
  <c r="X209" i="10"/>
  <c r="U209" i="10"/>
  <c r="T209" i="10"/>
  <c r="AD208" i="10"/>
  <c r="AC208" i="10"/>
  <c r="AB208" i="10"/>
  <c r="X208" i="10"/>
  <c r="U208" i="10"/>
  <c r="T208" i="10"/>
  <c r="AD207" i="10"/>
  <c r="AC207" i="10"/>
  <c r="AB207" i="10"/>
  <c r="X207" i="10"/>
  <c r="U207" i="10"/>
  <c r="T207" i="10"/>
  <c r="AD206" i="10"/>
  <c r="AC206" i="10"/>
  <c r="AB206" i="10"/>
  <c r="X206" i="10"/>
  <c r="U206" i="10"/>
  <c r="T206" i="10"/>
  <c r="AD205" i="10"/>
  <c r="AC205" i="10"/>
  <c r="AB205" i="10"/>
  <c r="X205" i="10"/>
  <c r="U205" i="10"/>
  <c r="T205" i="10"/>
  <c r="AD204" i="10"/>
  <c r="AC204" i="10"/>
  <c r="AB204" i="10"/>
  <c r="X204" i="10"/>
  <c r="U204" i="10"/>
  <c r="T204" i="10"/>
  <c r="AD203" i="10"/>
  <c r="AC203" i="10"/>
  <c r="AB203" i="10"/>
  <c r="X203" i="10"/>
  <c r="U203" i="10"/>
  <c r="T203" i="10"/>
  <c r="AD202" i="10"/>
  <c r="AC202" i="10"/>
  <c r="AB202" i="10"/>
  <c r="X202" i="10"/>
  <c r="U202" i="10"/>
  <c r="T202" i="10"/>
  <c r="AD201" i="10"/>
  <c r="AC201" i="10"/>
  <c r="AB201" i="10"/>
  <c r="X201" i="10"/>
  <c r="U201" i="10"/>
  <c r="T201" i="10"/>
  <c r="AD200" i="10"/>
  <c r="AC200" i="10"/>
  <c r="AB200" i="10"/>
  <c r="X200" i="10"/>
  <c r="U200" i="10"/>
  <c r="T200" i="10"/>
  <c r="AD199" i="10"/>
  <c r="AC199" i="10"/>
  <c r="AB199" i="10"/>
  <c r="X199" i="10"/>
  <c r="U199" i="10"/>
  <c r="T199" i="10"/>
  <c r="AD198" i="10"/>
  <c r="AC198" i="10"/>
  <c r="AB198" i="10"/>
  <c r="X198" i="10"/>
  <c r="U198" i="10"/>
  <c r="T198" i="10"/>
  <c r="AD197" i="10"/>
  <c r="AC197" i="10"/>
  <c r="AB197" i="10"/>
  <c r="X197" i="10"/>
  <c r="U197" i="10"/>
  <c r="T197" i="10"/>
  <c r="AD196" i="10"/>
  <c r="AC196" i="10"/>
  <c r="AB196" i="10"/>
  <c r="X196" i="10"/>
  <c r="U196" i="10"/>
  <c r="T196" i="10"/>
  <c r="AD195" i="10"/>
  <c r="AC195" i="10"/>
  <c r="AB195" i="10"/>
  <c r="X195" i="10"/>
  <c r="U195" i="10"/>
  <c r="T195" i="10"/>
  <c r="AD194" i="10"/>
  <c r="AC194" i="10"/>
  <c r="AB194" i="10"/>
  <c r="X194" i="10"/>
  <c r="U194" i="10"/>
  <c r="T194" i="10"/>
  <c r="AD193" i="10"/>
  <c r="AC193" i="10"/>
  <c r="AB193" i="10"/>
  <c r="X193" i="10"/>
  <c r="U193" i="10"/>
  <c r="T193" i="10"/>
  <c r="AD192" i="10"/>
  <c r="AC192" i="10"/>
  <c r="AB192" i="10"/>
  <c r="X192" i="10"/>
  <c r="U192" i="10"/>
  <c r="T192" i="10"/>
  <c r="AD191" i="10"/>
  <c r="AC191" i="10"/>
  <c r="AB191" i="10"/>
  <c r="X191" i="10"/>
  <c r="U191" i="10"/>
  <c r="T191" i="10"/>
  <c r="AD190" i="10"/>
  <c r="AC190" i="10"/>
  <c r="AB190" i="10"/>
  <c r="X190" i="10"/>
  <c r="U190" i="10"/>
  <c r="T190" i="10"/>
  <c r="AD189" i="10"/>
  <c r="AC189" i="10"/>
  <c r="AB189" i="10"/>
  <c r="X189" i="10"/>
  <c r="U189" i="10"/>
  <c r="T189" i="10"/>
  <c r="AD188" i="10"/>
  <c r="AC188" i="10"/>
  <c r="AB188" i="10"/>
  <c r="X188" i="10"/>
  <c r="U188" i="10"/>
  <c r="T188" i="10"/>
  <c r="AD187" i="10"/>
  <c r="AC187" i="10"/>
  <c r="AB187" i="10"/>
  <c r="X187" i="10"/>
  <c r="U187" i="10"/>
  <c r="T187" i="10"/>
  <c r="AD186" i="10"/>
  <c r="AC186" i="10"/>
  <c r="AB186" i="10"/>
  <c r="X186" i="10"/>
  <c r="U186" i="10"/>
  <c r="T186" i="10"/>
  <c r="AD185" i="10"/>
  <c r="AC185" i="10"/>
  <c r="AB185" i="10"/>
  <c r="X185" i="10"/>
  <c r="U185" i="10"/>
  <c r="T185" i="10"/>
  <c r="AD184" i="10"/>
  <c r="AC184" i="10"/>
  <c r="AB184" i="10"/>
  <c r="X184" i="10"/>
  <c r="U184" i="10"/>
  <c r="T184" i="10"/>
  <c r="AD183" i="10"/>
  <c r="AC183" i="10"/>
  <c r="AB183" i="10"/>
  <c r="X183" i="10"/>
  <c r="U183" i="10"/>
  <c r="T183" i="10"/>
  <c r="AD182" i="10"/>
  <c r="AC182" i="10"/>
  <c r="AB182" i="10"/>
  <c r="X182" i="10"/>
  <c r="U182" i="10"/>
  <c r="T182" i="10"/>
  <c r="AD181" i="10"/>
  <c r="AC181" i="10"/>
  <c r="AB181" i="10"/>
  <c r="X181" i="10"/>
  <c r="U181" i="10"/>
  <c r="T181" i="10"/>
  <c r="AD180" i="10"/>
  <c r="AC180" i="10"/>
  <c r="AB180" i="10"/>
  <c r="X180" i="10"/>
  <c r="U180" i="10"/>
  <c r="T180" i="10"/>
  <c r="AD179" i="10"/>
  <c r="AC179" i="10"/>
  <c r="AB179" i="10"/>
  <c r="X179" i="10"/>
  <c r="U179" i="10"/>
  <c r="T179" i="10"/>
  <c r="AD178" i="10"/>
  <c r="AC178" i="10"/>
  <c r="AB178" i="10"/>
  <c r="X178" i="10"/>
  <c r="U178" i="10"/>
  <c r="T178" i="10"/>
  <c r="AD177" i="10"/>
  <c r="AC177" i="10"/>
  <c r="AB177" i="10"/>
  <c r="X177" i="10"/>
  <c r="U177" i="10"/>
  <c r="T177" i="10"/>
  <c r="AD176" i="10"/>
  <c r="AC176" i="10"/>
  <c r="AB176" i="10"/>
  <c r="X176" i="10"/>
  <c r="U176" i="10"/>
  <c r="T176" i="10"/>
  <c r="AD175" i="10"/>
  <c r="AC175" i="10"/>
  <c r="AB175" i="10"/>
  <c r="X175" i="10"/>
  <c r="U175" i="10"/>
  <c r="T175" i="10"/>
  <c r="AD174" i="10"/>
  <c r="AC174" i="10"/>
  <c r="AB174" i="10"/>
  <c r="X174" i="10"/>
  <c r="U174" i="10"/>
  <c r="T174" i="10"/>
  <c r="AD173" i="10"/>
  <c r="AC173" i="10"/>
  <c r="AB173" i="10"/>
  <c r="X173" i="10"/>
  <c r="U173" i="10"/>
  <c r="T173" i="10"/>
  <c r="AD172" i="10"/>
  <c r="AC172" i="10"/>
  <c r="AB172" i="10"/>
  <c r="X172" i="10"/>
  <c r="U172" i="10"/>
  <c r="T172" i="10"/>
  <c r="AD171" i="10"/>
  <c r="AC171" i="10"/>
  <c r="AB171" i="10"/>
  <c r="X171" i="10"/>
  <c r="U171" i="10"/>
  <c r="T171" i="10"/>
  <c r="AD170" i="10"/>
  <c r="AC170" i="10"/>
  <c r="AB170" i="10"/>
  <c r="X170" i="10"/>
  <c r="U170" i="10"/>
  <c r="T170" i="10"/>
  <c r="AD169" i="10"/>
  <c r="AC169" i="10"/>
  <c r="AB169" i="10"/>
  <c r="X169" i="10"/>
  <c r="U169" i="10"/>
  <c r="T169" i="10"/>
  <c r="AD168" i="10"/>
  <c r="AC168" i="10"/>
  <c r="AB168" i="10"/>
  <c r="X168" i="10"/>
  <c r="U168" i="10"/>
  <c r="T168" i="10"/>
  <c r="AD167" i="10"/>
  <c r="AC167" i="10"/>
  <c r="AB167" i="10"/>
  <c r="X167" i="10"/>
  <c r="U167" i="10"/>
  <c r="T167" i="10"/>
  <c r="AD166" i="10"/>
  <c r="AC166" i="10"/>
  <c r="AB166" i="10"/>
  <c r="X166" i="10"/>
  <c r="U166" i="10"/>
  <c r="T166" i="10"/>
  <c r="AD165" i="10"/>
  <c r="AC165" i="10"/>
  <c r="AB165" i="10"/>
  <c r="X165" i="10"/>
  <c r="U165" i="10"/>
  <c r="T165" i="10"/>
  <c r="AD164" i="10"/>
  <c r="AC164" i="10"/>
  <c r="AB164" i="10"/>
  <c r="X164" i="10"/>
  <c r="U164" i="10"/>
  <c r="T164" i="10"/>
  <c r="AD163" i="10"/>
  <c r="AC163" i="10"/>
  <c r="AB163" i="10"/>
  <c r="X163" i="10"/>
  <c r="U163" i="10"/>
  <c r="T163" i="10"/>
  <c r="AD162" i="10"/>
  <c r="AC162" i="10"/>
  <c r="AB162" i="10"/>
  <c r="X162" i="10"/>
  <c r="U162" i="10"/>
  <c r="T162" i="10"/>
  <c r="AD161" i="10"/>
  <c r="AC161" i="10"/>
  <c r="AB161" i="10"/>
  <c r="X161" i="10"/>
  <c r="U161" i="10"/>
  <c r="T161" i="10"/>
  <c r="AD160" i="10"/>
  <c r="AC160" i="10"/>
  <c r="AB160" i="10"/>
  <c r="X160" i="10"/>
  <c r="U160" i="10"/>
  <c r="T160" i="10"/>
  <c r="AD159" i="10"/>
  <c r="AC159" i="10"/>
  <c r="AB159" i="10"/>
  <c r="X159" i="10"/>
  <c r="U159" i="10"/>
  <c r="T159" i="10"/>
  <c r="AD158" i="10"/>
  <c r="AC158" i="10"/>
  <c r="AB158" i="10"/>
  <c r="X158" i="10"/>
  <c r="U158" i="10"/>
  <c r="T158" i="10"/>
  <c r="AD157" i="10"/>
  <c r="AC157" i="10"/>
  <c r="AB157" i="10"/>
  <c r="X157" i="10"/>
  <c r="U157" i="10"/>
  <c r="T157" i="10"/>
  <c r="AD156" i="10"/>
  <c r="AC156" i="10"/>
  <c r="AB156" i="10"/>
  <c r="X156" i="10"/>
  <c r="U156" i="10"/>
  <c r="T156" i="10"/>
  <c r="AD155" i="10"/>
  <c r="AC155" i="10"/>
  <c r="AB155" i="10"/>
  <c r="X155" i="10"/>
  <c r="U155" i="10"/>
  <c r="T155" i="10"/>
  <c r="AD154" i="10"/>
  <c r="AC154" i="10"/>
  <c r="AB154" i="10"/>
  <c r="X154" i="10"/>
  <c r="U154" i="10"/>
  <c r="T154" i="10"/>
  <c r="AD153" i="10"/>
  <c r="AC153" i="10"/>
  <c r="AB153" i="10"/>
  <c r="X153" i="10"/>
  <c r="U153" i="10"/>
  <c r="T153" i="10"/>
  <c r="AD152" i="10"/>
  <c r="AC152" i="10"/>
  <c r="AB152" i="10"/>
  <c r="X152" i="10"/>
  <c r="U152" i="10"/>
  <c r="T152" i="10"/>
  <c r="AD151" i="10"/>
  <c r="AC151" i="10"/>
  <c r="AB151" i="10"/>
  <c r="X151" i="10"/>
  <c r="U151" i="10"/>
  <c r="T151" i="10"/>
  <c r="AD150" i="10"/>
  <c r="AC150" i="10"/>
  <c r="AB150" i="10"/>
  <c r="X150" i="10"/>
  <c r="U150" i="10"/>
  <c r="T150" i="10"/>
  <c r="AD149" i="10"/>
  <c r="AC149" i="10"/>
  <c r="AB149" i="10"/>
  <c r="X149" i="10"/>
  <c r="U149" i="10"/>
  <c r="T149" i="10"/>
  <c r="AD148" i="10"/>
  <c r="AC148" i="10"/>
  <c r="AB148" i="10"/>
  <c r="X148" i="10"/>
  <c r="U148" i="10"/>
  <c r="T148" i="10"/>
  <c r="AD147" i="10"/>
  <c r="AC147" i="10"/>
  <c r="AB147" i="10"/>
  <c r="X147" i="10"/>
  <c r="U147" i="10"/>
  <c r="T147" i="10"/>
  <c r="AD146" i="10"/>
  <c r="AC146" i="10"/>
  <c r="AB146" i="10"/>
  <c r="X146" i="10"/>
  <c r="U146" i="10"/>
  <c r="T146" i="10"/>
  <c r="AD145" i="10"/>
  <c r="AC145" i="10"/>
  <c r="AB145" i="10"/>
  <c r="X145" i="10"/>
  <c r="U145" i="10"/>
  <c r="T145" i="10"/>
  <c r="AD144" i="10"/>
  <c r="AC144" i="10"/>
  <c r="AB144" i="10"/>
  <c r="X144" i="10"/>
  <c r="U144" i="10"/>
  <c r="T144" i="10"/>
  <c r="AD143" i="10"/>
  <c r="AC143" i="10"/>
  <c r="AB143" i="10"/>
  <c r="X143" i="10"/>
  <c r="U143" i="10"/>
  <c r="T143" i="10"/>
  <c r="AD142" i="10"/>
  <c r="AC142" i="10"/>
  <c r="AB142" i="10"/>
  <c r="X142" i="10"/>
  <c r="U142" i="10"/>
  <c r="T142" i="10"/>
  <c r="AD141" i="10"/>
  <c r="AC141" i="10"/>
  <c r="AB141" i="10"/>
  <c r="X141" i="10"/>
  <c r="U141" i="10"/>
  <c r="T141" i="10"/>
  <c r="AD140" i="10"/>
  <c r="AC140" i="10"/>
  <c r="AB140" i="10"/>
  <c r="X140" i="10"/>
  <c r="U140" i="10"/>
  <c r="T140" i="10"/>
  <c r="AD139" i="10"/>
  <c r="AC139" i="10"/>
  <c r="AB139" i="10"/>
  <c r="X139" i="10"/>
  <c r="U139" i="10"/>
  <c r="T139" i="10"/>
  <c r="AD138" i="10"/>
  <c r="AC138" i="10"/>
  <c r="AB138" i="10"/>
  <c r="X138" i="10"/>
  <c r="U138" i="10"/>
  <c r="T138" i="10"/>
  <c r="AD137" i="10"/>
  <c r="AC137" i="10"/>
  <c r="AB137" i="10"/>
  <c r="X137" i="10"/>
  <c r="U137" i="10"/>
  <c r="T137" i="10"/>
  <c r="AD136" i="10"/>
  <c r="AC136" i="10"/>
  <c r="AB136" i="10"/>
  <c r="X136" i="10"/>
  <c r="U136" i="10"/>
  <c r="T136" i="10"/>
  <c r="AD135" i="10"/>
  <c r="AC135" i="10"/>
  <c r="AB135" i="10"/>
  <c r="X135" i="10"/>
  <c r="U135" i="10"/>
  <c r="T135" i="10"/>
  <c r="AD134" i="10"/>
  <c r="AC134" i="10"/>
  <c r="AB134" i="10"/>
  <c r="X134" i="10"/>
  <c r="U134" i="10"/>
  <c r="T134" i="10"/>
  <c r="AD133" i="10"/>
  <c r="AC133" i="10"/>
  <c r="AB133" i="10"/>
  <c r="X133" i="10"/>
  <c r="U133" i="10"/>
  <c r="T133" i="10"/>
  <c r="AD132" i="10"/>
  <c r="AC132" i="10"/>
  <c r="AB132" i="10"/>
  <c r="X132" i="10"/>
  <c r="U132" i="10"/>
  <c r="T132" i="10"/>
  <c r="AD131" i="10"/>
  <c r="AC131" i="10"/>
  <c r="AB131" i="10"/>
  <c r="X131" i="10"/>
  <c r="U131" i="10"/>
  <c r="T131" i="10"/>
  <c r="AD130" i="10"/>
  <c r="AC130" i="10"/>
  <c r="AB130" i="10"/>
  <c r="X130" i="10"/>
  <c r="U130" i="10"/>
  <c r="T130" i="10"/>
  <c r="AD129" i="10"/>
  <c r="AC129" i="10"/>
  <c r="AB129" i="10"/>
  <c r="X129" i="10"/>
  <c r="U129" i="10"/>
  <c r="T129" i="10"/>
  <c r="AD128" i="10"/>
  <c r="AC128" i="10"/>
  <c r="AB128" i="10"/>
  <c r="X128" i="10"/>
  <c r="U128" i="10"/>
  <c r="T128" i="10"/>
  <c r="AD127" i="10"/>
  <c r="AC127" i="10"/>
  <c r="AB127" i="10"/>
  <c r="X127" i="10"/>
  <c r="U127" i="10"/>
  <c r="T127" i="10"/>
  <c r="AD126" i="10"/>
  <c r="AC126" i="10"/>
  <c r="AB126" i="10"/>
  <c r="X126" i="10"/>
  <c r="U126" i="10"/>
  <c r="T126" i="10"/>
  <c r="AD125" i="10"/>
  <c r="AC125" i="10"/>
  <c r="AB125" i="10"/>
  <c r="X125" i="10"/>
  <c r="U125" i="10"/>
  <c r="T125" i="10"/>
  <c r="AD124" i="10"/>
  <c r="AC124" i="10"/>
  <c r="AB124" i="10"/>
  <c r="X124" i="10"/>
  <c r="U124" i="10"/>
  <c r="T124" i="10"/>
  <c r="AD123" i="10"/>
  <c r="AC123" i="10"/>
  <c r="AB123" i="10"/>
  <c r="X123" i="10"/>
  <c r="U123" i="10"/>
  <c r="T123" i="10"/>
  <c r="AD122" i="10"/>
  <c r="AC122" i="10"/>
  <c r="AB122" i="10"/>
  <c r="X122" i="10"/>
  <c r="U122" i="10"/>
  <c r="T122" i="10"/>
  <c r="AD121" i="10"/>
  <c r="AC121" i="10"/>
  <c r="AB121" i="10"/>
  <c r="X121" i="10"/>
  <c r="U121" i="10"/>
  <c r="T121" i="10"/>
  <c r="AD120" i="10"/>
  <c r="AC120" i="10"/>
  <c r="AB120" i="10"/>
  <c r="X120" i="10"/>
  <c r="U120" i="10"/>
  <c r="T120" i="10"/>
  <c r="AD119" i="10"/>
  <c r="AC119" i="10"/>
  <c r="AB119" i="10"/>
  <c r="X119" i="10"/>
  <c r="U119" i="10"/>
  <c r="T119" i="10"/>
  <c r="AD118" i="10"/>
  <c r="AC118" i="10"/>
  <c r="AB118" i="10"/>
  <c r="X118" i="10"/>
  <c r="U118" i="10"/>
  <c r="T118" i="10"/>
  <c r="AD117" i="10"/>
  <c r="AC117" i="10"/>
  <c r="AB117" i="10"/>
  <c r="X117" i="10"/>
  <c r="U117" i="10"/>
  <c r="T117" i="10"/>
  <c r="AD116" i="10"/>
  <c r="AC116" i="10"/>
  <c r="AB116" i="10"/>
  <c r="X116" i="10"/>
  <c r="U116" i="10"/>
  <c r="T116" i="10"/>
  <c r="AD115" i="10"/>
  <c r="AC115" i="10"/>
  <c r="AB115" i="10"/>
  <c r="X115" i="10"/>
  <c r="U115" i="10"/>
  <c r="T115" i="10"/>
  <c r="AD114" i="10"/>
  <c r="AC114" i="10"/>
  <c r="AB114" i="10"/>
  <c r="X114" i="10"/>
  <c r="U114" i="10"/>
  <c r="T114" i="10"/>
  <c r="AD113" i="10"/>
  <c r="AC113" i="10"/>
  <c r="AB113" i="10"/>
  <c r="X113" i="10"/>
  <c r="U113" i="10"/>
  <c r="T113" i="10"/>
  <c r="AD112" i="10"/>
  <c r="AC112" i="10"/>
  <c r="AB112" i="10"/>
  <c r="X112" i="10"/>
  <c r="U112" i="10"/>
  <c r="T112" i="10"/>
  <c r="AD111" i="10"/>
  <c r="AC111" i="10"/>
  <c r="AB111" i="10"/>
  <c r="X111" i="10"/>
  <c r="U111" i="10"/>
  <c r="T111" i="10"/>
  <c r="AD110" i="10"/>
  <c r="AC110" i="10"/>
  <c r="AB110" i="10"/>
  <c r="X110" i="10"/>
  <c r="U110" i="10"/>
  <c r="T110" i="10"/>
  <c r="AD109" i="10"/>
  <c r="AC109" i="10"/>
  <c r="AB109" i="10"/>
  <c r="X109" i="10"/>
  <c r="U109" i="10"/>
  <c r="T109" i="10"/>
  <c r="AD108" i="10"/>
  <c r="AC108" i="10"/>
  <c r="AB108" i="10"/>
  <c r="X108" i="10"/>
  <c r="U108" i="10"/>
  <c r="T108" i="10"/>
  <c r="AD107" i="10"/>
  <c r="AC107" i="10"/>
  <c r="AB107" i="10"/>
  <c r="X107" i="10"/>
  <c r="U107" i="10"/>
  <c r="T107" i="10"/>
  <c r="AD106" i="10"/>
  <c r="AC106" i="10"/>
  <c r="AB106" i="10"/>
  <c r="X106" i="10"/>
  <c r="U106" i="10"/>
  <c r="T106" i="10"/>
  <c r="AD105" i="10"/>
  <c r="AC105" i="10"/>
  <c r="AB105" i="10"/>
  <c r="X105" i="10"/>
  <c r="U105" i="10"/>
  <c r="T105" i="10"/>
  <c r="AD104" i="10"/>
  <c r="AC104" i="10"/>
  <c r="AB104" i="10"/>
  <c r="X104" i="10"/>
  <c r="U104" i="10"/>
  <c r="T104" i="10"/>
  <c r="AD103" i="10"/>
  <c r="AC103" i="10"/>
  <c r="AB103" i="10"/>
  <c r="X103" i="10"/>
  <c r="U103" i="10"/>
  <c r="T103" i="10"/>
  <c r="AD102" i="10"/>
  <c r="AC102" i="10"/>
  <c r="AB102" i="10"/>
  <c r="X102" i="10"/>
  <c r="U102" i="10"/>
  <c r="T102" i="10"/>
  <c r="AD101" i="10"/>
  <c r="AC101" i="10"/>
  <c r="AB101" i="10"/>
  <c r="X101" i="10"/>
  <c r="U101" i="10"/>
  <c r="T101" i="10"/>
  <c r="AD100" i="10"/>
  <c r="AC100" i="10"/>
  <c r="AB100" i="10"/>
  <c r="X100" i="10"/>
  <c r="U100" i="10"/>
  <c r="T100" i="10"/>
  <c r="AD99" i="10"/>
  <c r="AC99" i="10"/>
  <c r="AB99" i="10"/>
  <c r="X99" i="10"/>
  <c r="U99" i="10"/>
  <c r="T99" i="10"/>
  <c r="AD98" i="10"/>
  <c r="AC98" i="10"/>
  <c r="AB98" i="10"/>
  <c r="X98" i="10"/>
  <c r="U98" i="10"/>
  <c r="T98" i="10"/>
  <c r="AD97" i="10"/>
  <c r="AC97" i="10"/>
  <c r="AB97" i="10"/>
  <c r="X97" i="10"/>
  <c r="U97" i="10"/>
  <c r="T97" i="10"/>
  <c r="AD96" i="10"/>
  <c r="AC96" i="10"/>
  <c r="AB96" i="10"/>
  <c r="X96" i="10"/>
  <c r="U96" i="10"/>
  <c r="T96" i="10"/>
  <c r="AD95" i="10"/>
  <c r="AC95" i="10"/>
  <c r="AB95" i="10"/>
  <c r="X95" i="10"/>
  <c r="U95" i="10"/>
  <c r="T95" i="10"/>
  <c r="AD94" i="10"/>
  <c r="AC94" i="10"/>
  <c r="AB94" i="10"/>
  <c r="X94" i="10"/>
  <c r="U94" i="10"/>
  <c r="T94" i="10"/>
  <c r="AD93" i="10"/>
  <c r="AC93" i="10"/>
  <c r="AB93" i="10"/>
  <c r="X93" i="10"/>
  <c r="U93" i="10"/>
  <c r="T93" i="10"/>
  <c r="AD92" i="10"/>
  <c r="AC92" i="10"/>
  <c r="AB92" i="10"/>
  <c r="X92" i="10"/>
  <c r="U92" i="10"/>
  <c r="T92" i="10"/>
  <c r="AD91" i="10"/>
  <c r="AC91" i="10"/>
  <c r="AB91" i="10"/>
  <c r="X91" i="10"/>
  <c r="U91" i="10"/>
  <c r="T91" i="10"/>
  <c r="AD90" i="10"/>
  <c r="AC90" i="10"/>
  <c r="AB90" i="10"/>
  <c r="X90" i="10"/>
  <c r="U90" i="10"/>
  <c r="T90" i="10"/>
  <c r="AD89" i="10"/>
  <c r="AC89" i="10"/>
  <c r="AB89" i="10"/>
  <c r="X89" i="10"/>
  <c r="U89" i="10"/>
  <c r="T89" i="10"/>
  <c r="AD88" i="10"/>
  <c r="AC88" i="10"/>
  <c r="AB88" i="10"/>
  <c r="X88" i="10"/>
  <c r="U88" i="10"/>
  <c r="T88" i="10"/>
  <c r="AD87" i="10"/>
  <c r="AC87" i="10"/>
  <c r="AB87" i="10"/>
  <c r="X87" i="10"/>
  <c r="U87" i="10"/>
  <c r="T87" i="10"/>
  <c r="AD86" i="10"/>
  <c r="AC86" i="10"/>
  <c r="AB86" i="10"/>
  <c r="X86" i="10"/>
  <c r="U86" i="10"/>
  <c r="T86" i="10"/>
  <c r="AD85" i="10"/>
  <c r="AC85" i="10"/>
  <c r="AB85" i="10"/>
  <c r="X85" i="10"/>
  <c r="U85" i="10"/>
  <c r="T85" i="10"/>
  <c r="AD84" i="10"/>
  <c r="AC84" i="10"/>
  <c r="AB84" i="10"/>
  <c r="X84" i="10"/>
  <c r="U84" i="10"/>
  <c r="T84" i="10"/>
  <c r="AD83" i="10"/>
  <c r="AC83" i="10"/>
  <c r="AB83" i="10"/>
  <c r="X83" i="10"/>
  <c r="U83" i="10"/>
  <c r="T83" i="10"/>
  <c r="AD82" i="10"/>
  <c r="AC82" i="10"/>
  <c r="AB82" i="10"/>
  <c r="X82" i="10"/>
  <c r="U82" i="10"/>
  <c r="T82" i="10"/>
  <c r="AD81" i="10"/>
  <c r="AC81" i="10"/>
  <c r="AB81" i="10"/>
  <c r="X81" i="10"/>
  <c r="U81" i="10"/>
  <c r="T81" i="10"/>
  <c r="AD80" i="10"/>
  <c r="AC80" i="10"/>
  <c r="AB80" i="10"/>
  <c r="X80" i="10"/>
  <c r="U80" i="10"/>
  <c r="T80" i="10"/>
  <c r="AD79" i="10"/>
  <c r="AC79" i="10"/>
  <c r="AB79" i="10"/>
  <c r="X79" i="10"/>
  <c r="U79" i="10"/>
  <c r="T79" i="10"/>
  <c r="AD78" i="10"/>
  <c r="AC78" i="10"/>
  <c r="AB78" i="10"/>
  <c r="X78" i="10"/>
  <c r="U78" i="10"/>
  <c r="T78" i="10"/>
  <c r="AD77" i="10"/>
  <c r="AC77" i="10"/>
  <c r="AB77" i="10"/>
  <c r="X77" i="10"/>
  <c r="U77" i="10"/>
  <c r="T77" i="10"/>
  <c r="AD76" i="10"/>
  <c r="AC76" i="10"/>
  <c r="AB76" i="10"/>
  <c r="X76" i="10"/>
  <c r="U76" i="10"/>
  <c r="T76" i="10"/>
  <c r="AD75" i="10"/>
  <c r="AC75" i="10"/>
  <c r="AB75" i="10"/>
  <c r="X75" i="10"/>
  <c r="U75" i="10"/>
  <c r="T75" i="10"/>
  <c r="AD74" i="10"/>
  <c r="AC74" i="10"/>
  <c r="AB74" i="10"/>
  <c r="X74" i="10"/>
  <c r="U74" i="10"/>
  <c r="T74" i="10"/>
  <c r="AD73" i="10"/>
  <c r="AC73" i="10"/>
  <c r="AB73" i="10"/>
  <c r="X73" i="10"/>
  <c r="U73" i="10"/>
  <c r="T73" i="10"/>
  <c r="AD72" i="10"/>
  <c r="AC72" i="10"/>
  <c r="AB72" i="10"/>
  <c r="X72" i="10"/>
  <c r="U72" i="10"/>
  <c r="T72" i="10"/>
  <c r="AD71" i="10"/>
  <c r="AC71" i="10"/>
  <c r="AB71" i="10"/>
  <c r="X71" i="10"/>
  <c r="U71" i="10"/>
  <c r="T71" i="10"/>
  <c r="AD70" i="10"/>
  <c r="AC70" i="10"/>
  <c r="AB70" i="10"/>
  <c r="X70" i="10"/>
  <c r="U70" i="10"/>
  <c r="T70" i="10"/>
  <c r="AD69" i="10"/>
  <c r="AC69" i="10"/>
  <c r="AB69" i="10"/>
  <c r="X69" i="10"/>
  <c r="U69" i="10"/>
  <c r="T69" i="10"/>
  <c r="AD68" i="10"/>
  <c r="AC68" i="10"/>
  <c r="AB68" i="10"/>
  <c r="X68" i="10"/>
  <c r="U68" i="10"/>
  <c r="T68" i="10"/>
  <c r="AD67" i="10"/>
  <c r="AC67" i="10"/>
  <c r="AB67" i="10"/>
  <c r="X67" i="10"/>
  <c r="U67" i="10"/>
  <c r="T67" i="10"/>
  <c r="AD66" i="10"/>
  <c r="AC66" i="10"/>
  <c r="AB66" i="10"/>
  <c r="X66" i="10"/>
  <c r="U66" i="10"/>
  <c r="T66" i="10"/>
  <c r="AD65" i="10"/>
  <c r="AC65" i="10"/>
  <c r="AB65" i="10"/>
  <c r="X65" i="10"/>
  <c r="U65" i="10"/>
  <c r="T65" i="10"/>
  <c r="AD64" i="10"/>
  <c r="AC64" i="10"/>
  <c r="AB64" i="10"/>
  <c r="X64" i="10"/>
  <c r="U64" i="10"/>
  <c r="T64" i="10"/>
  <c r="AD63" i="10"/>
  <c r="AC63" i="10"/>
  <c r="AB63" i="10"/>
  <c r="X63" i="10"/>
  <c r="U63" i="10"/>
  <c r="T63" i="10"/>
  <c r="AD62" i="10"/>
  <c r="AC62" i="10"/>
  <c r="AB62" i="10"/>
  <c r="X62" i="10"/>
  <c r="U62" i="10"/>
  <c r="T62" i="10"/>
  <c r="AD61" i="10"/>
  <c r="AC61" i="10"/>
  <c r="AB61" i="10"/>
  <c r="X61" i="10"/>
  <c r="U61" i="10"/>
  <c r="T61" i="10"/>
  <c r="AD60" i="10"/>
  <c r="AC60" i="10"/>
  <c r="AB60" i="10"/>
  <c r="X60" i="10"/>
  <c r="U60" i="10"/>
  <c r="T60" i="10"/>
  <c r="AD59" i="10"/>
  <c r="AC59" i="10"/>
  <c r="AB59" i="10"/>
  <c r="X59" i="10"/>
  <c r="U59" i="10"/>
  <c r="T59" i="10"/>
  <c r="AD58" i="10"/>
  <c r="AC58" i="10"/>
  <c r="AB58" i="10"/>
  <c r="X58" i="10"/>
  <c r="U58" i="10"/>
  <c r="T58" i="10"/>
  <c r="AD57" i="10"/>
  <c r="AC57" i="10"/>
  <c r="AB57" i="10"/>
  <c r="X57" i="10"/>
  <c r="U57" i="10"/>
  <c r="T57" i="10"/>
  <c r="AD56" i="10"/>
  <c r="AC56" i="10"/>
  <c r="AB56" i="10"/>
  <c r="X56" i="10"/>
  <c r="U56" i="10"/>
  <c r="T56" i="10"/>
  <c r="AD55" i="10"/>
  <c r="AC55" i="10"/>
  <c r="AB55" i="10"/>
  <c r="X55" i="10"/>
  <c r="U55" i="10"/>
  <c r="T55" i="10"/>
  <c r="AD54" i="10"/>
  <c r="AC54" i="10"/>
  <c r="AB54" i="10"/>
  <c r="X54" i="10"/>
  <c r="U54" i="10"/>
  <c r="T54" i="10"/>
  <c r="AD53" i="10"/>
  <c r="AC53" i="10"/>
  <c r="AB53" i="10"/>
  <c r="X53" i="10"/>
  <c r="U53" i="10"/>
  <c r="T53" i="10"/>
  <c r="AD52" i="10"/>
  <c r="AC52" i="10"/>
  <c r="AB52" i="10"/>
  <c r="X52" i="10"/>
  <c r="U52" i="10"/>
  <c r="T52" i="10"/>
  <c r="AD51" i="10"/>
  <c r="AC51" i="10"/>
  <c r="AB51" i="10"/>
  <c r="X51" i="10"/>
  <c r="U51" i="10"/>
  <c r="T51" i="10"/>
  <c r="AD50" i="10"/>
  <c r="AC50" i="10"/>
  <c r="AB50" i="10"/>
  <c r="X50" i="10"/>
  <c r="U50" i="10"/>
  <c r="T50" i="10"/>
  <c r="AD49" i="10"/>
  <c r="AC49" i="10"/>
  <c r="AB49" i="10"/>
  <c r="X49" i="10"/>
  <c r="U49" i="10"/>
  <c r="T49" i="10"/>
  <c r="AD48" i="10"/>
  <c r="AC48" i="10"/>
  <c r="AB48" i="10"/>
  <c r="X48" i="10"/>
  <c r="U48" i="10"/>
  <c r="T48" i="10"/>
  <c r="AD47" i="10"/>
  <c r="AC47" i="10"/>
  <c r="AB47" i="10"/>
  <c r="X47" i="10"/>
  <c r="U47" i="10"/>
  <c r="T47" i="10"/>
  <c r="AD46" i="10"/>
  <c r="AC46" i="10"/>
  <c r="AB46" i="10"/>
  <c r="X46" i="10"/>
  <c r="U46" i="10"/>
  <c r="T46" i="10"/>
  <c r="AD45" i="10"/>
  <c r="AC45" i="10"/>
  <c r="AB45" i="10"/>
  <c r="X45" i="10"/>
  <c r="U45" i="10"/>
  <c r="T45" i="10"/>
  <c r="AD44" i="10"/>
  <c r="AC44" i="10"/>
  <c r="AB44" i="10"/>
  <c r="X44" i="10"/>
  <c r="U44" i="10"/>
  <c r="T44" i="10"/>
  <c r="AD43" i="10"/>
  <c r="AC43" i="10"/>
  <c r="AB43" i="10"/>
  <c r="X43" i="10"/>
  <c r="U43" i="10"/>
  <c r="T43" i="10"/>
  <c r="AD42" i="10"/>
  <c r="AC42" i="10"/>
  <c r="AB42" i="10"/>
  <c r="X42" i="10"/>
  <c r="U42" i="10"/>
  <c r="T42" i="10"/>
  <c r="AD41" i="10"/>
  <c r="AC41" i="10"/>
  <c r="AB41" i="10"/>
  <c r="X41" i="10"/>
  <c r="U41" i="10"/>
  <c r="T41" i="10"/>
  <c r="AD40" i="10"/>
  <c r="AC40" i="10"/>
  <c r="AB40" i="10"/>
  <c r="X40" i="10"/>
  <c r="U40" i="10"/>
  <c r="T40" i="10"/>
  <c r="AD39" i="10"/>
  <c r="AC39" i="10"/>
  <c r="AB39" i="10"/>
  <c r="X39" i="10"/>
  <c r="U39" i="10"/>
  <c r="T39" i="10"/>
  <c r="AD38" i="10"/>
  <c r="AC38" i="10"/>
  <c r="AB38" i="10"/>
  <c r="X38" i="10"/>
  <c r="U38" i="10"/>
  <c r="T38" i="10"/>
  <c r="AD37" i="10"/>
  <c r="AC37" i="10"/>
  <c r="AB37" i="10"/>
  <c r="X37" i="10"/>
  <c r="U37" i="10"/>
  <c r="T37" i="10"/>
  <c r="AD36" i="10"/>
  <c r="AC36" i="10"/>
  <c r="AB36" i="10"/>
  <c r="X36" i="10"/>
  <c r="U36" i="10"/>
  <c r="T36" i="10"/>
  <c r="AD35" i="10"/>
  <c r="AC35" i="10"/>
  <c r="AB35" i="10"/>
  <c r="X35" i="10"/>
  <c r="U35" i="10"/>
  <c r="T35" i="10"/>
  <c r="AD34" i="10"/>
  <c r="AC34" i="10"/>
  <c r="AB34" i="10"/>
  <c r="X34" i="10"/>
  <c r="U34" i="10"/>
  <c r="T34" i="10"/>
  <c r="AD33" i="10"/>
  <c r="AC33" i="10"/>
  <c r="AB33" i="10"/>
  <c r="X33" i="10"/>
  <c r="U33" i="10"/>
  <c r="T33" i="10"/>
  <c r="AD32" i="10"/>
  <c r="AC32" i="10"/>
  <c r="AB32" i="10"/>
  <c r="X32" i="10"/>
  <c r="U32" i="10"/>
  <c r="T32" i="10"/>
  <c r="AD31" i="10"/>
  <c r="AC31" i="10"/>
  <c r="AB31" i="10"/>
  <c r="X31" i="10"/>
  <c r="U31" i="10"/>
  <c r="T31" i="10"/>
  <c r="AD30" i="10"/>
  <c r="AC30" i="10"/>
  <c r="AB30" i="10"/>
  <c r="X30" i="10"/>
  <c r="U30" i="10"/>
  <c r="T30" i="10"/>
  <c r="AD29" i="10"/>
  <c r="AC29" i="10"/>
  <c r="AB29" i="10"/>
  <c r="X29" i="10"/>
  <c r="U29" i="10"/>
  <c r="T29" i="10"/>
  <c r="AD28" i="10"/>
  <c r="AC28" i="10"/>
  <c r="AB28" i="10"/>
  <c r="X28" i="10"/>
  <c r="U28" i="10"/>
  <c r="T28" i="10"/>
  <c r="AD27" i="10"/>
  <c r="AC27" i="10"/>
  <c r="AB27" i="10"/>
  <c r="X27" i="10"/>
  <c r="U27" i="10"/>
  <c r="T27" i="10"/>
  <c r="AD26" i="10"/>
  <c r="AC26" i="10"/>
  <c r="AB26" i="10"/>
  <c r="X26" i="10"/>
  <c r="U26" i="10"/>
  <c r="T26" i="10"/>
  <c r="AD25" i="10"/>
  <c r="AC25" i="10"/>
  <c r="AB25" i="10"/>
  <c r="X25" i="10"/>
  <c r="U25" i="10"/>
  <c r="T25" i="10"/>
  <c r="AD24" i="10"/>
  <c r="AC24" i="10"/>
  <c r="AB24" i="10"/>
  <c r="X24" i="10"/>
  <c r="U24" i="10"/>
  <c r="T24" i="10"/>
  <c r="AD23" i="10"/>
  <c r="AC23" i="10"/>
  <c r="AB23" i="10"/>
  <c r="X23" i="10"/>
  <c r="U23" i="10"/>
  <c r="T23" i="10"/>
  <c r="AD22" i="10"/>
  <c r="AC22" i="10"/>
  <c r="AB22" i="10"/>
  <c r="X22" i="10"/>
  <c r="U22" i="10"/>
  <c r="T22" i="10"/>
  <c r="AD21" i="10"/>
  <c r="AC21" i="10"/>
  <c r="AB21" i="10"/>
  <c r="X21" i="10"/>
  <c r="U21" i="10"/>
  <c r="T21" i="10"/>
  <c r="AD20" i="10"/>
  <c r="AC20" i="10"/>
  <c r="AB20" i="10"/>
  <c r="X20" i="10"/>
  <c r="U20" i="10"/>
  <c r="T20" i="10"/>
  <c r="AD19" i="10"/>
  <c r="AC19" i="10"/>
  <c r="AB19" i="10"/>
  <c r="X19" i="10"/>
  <c r="U19" i="10"/>
  <c r="T19" i="10"/>
  <c r="AD18" i="10"/>
  <c r="AC18" i="10"/>
  <c r="AB18" i="10"/>
  <c r="X18" i="10"/>
  <c r="U18" i="10"/>
  <c r="T18" i="10"/>
  <c r="AD17" i="10"/>
  <c r="AC17" i="10"/>
  <c r="AB17" i="10"/>
  <c r="X17" i="10"/>
  <c r="U17" i="10"/>
  <c r="T17" i="10"/>
  <c r="AD16" i="10"/>
  <c r="AC16" i="10"/>
  <c r="AB16" i="10"/>
  <c r="X16" i="10"/>
  <c r="U16" i="10"/>
  <c r="T16" i="10"/>
  <c r="AD15" i="10"/>
  <c r="AC15" i="10"/>
  <c r="AB15" i="10"/>
  <c r="X15" i="10"/>
  <c r="U15" i="10"/>
  <c r="T15" i="10"/>
  <c r="AD14" i="10"/>
  <c r="AC14" i="10"/>
  <c r="AB14" i="10"/>
  <c r="X14" i="10"/>
  <c r="U14" i="10"/>
  <c r="T14" i="10"/>
  <c r="AD13" i="10"/>
  <c r="AC13" i="10"/>
  <c r="AB13" i="10"/>
  <c r="X13" i="10"/>
  <c r="U13" i="10"/>
  <c r="T13" i="10"/>
  <c r="AD12" i="10"/>
  <c r="AC12" i="10"/>
  <c r="AB12" i="10"/>
  <c r="X12" i="10"/>
  <c r="U12" i="10"/>
  <c r="T12" i="10"/>
  <c r="AD11" i="10"/>
  <c r="AC11" i="10"/>
  <c r="AB11" i="10"/>
  <c r="X11" i="10"/>
  <c r="U11" i="10"/>
  <c r="T11" i="10"/>
  <c r="AD10" i="10"/>
  <c r="AC10" i="10"/>
  <c r="AB10" i="10"/>
  <c r="X10" i="10"/>
  <c r="U10" i="10"/>
  <c r="T10" i="10"/>
  <c r="AD9" i="10"/>
  <c r="AC9" i="10"/>
  <c r="AB9" i="10"/>
  <c r="X9" i="10"/>
  <c r="U9" i="10"/>
  <c r="T9" i="10"/>
  <c r="AD8" i="10"/>
  <c r="AC8" i="10"/>
  <c r="AB8" i="10"/>
  <c r="X8" i="10"/>
  <c r="U8" i="10"/>
  <c r="T8" i="10"/>
  <c r="AD7" i="10"/>
  <c r="AC7" i="10"/>
  <c r="AB7" i="10"/>
  <c r="X7" i="10"/>
  <c r="U7" i="10"/>
  <c r="T7" i="10"/>
  <c r="AA2" i="10"/>
  <c r="AC187" i="9"/>
  <c r="AB187" i="9"/>
  <c r="AA187" i="9"/>
  <c r="W187" i="9"/>
  <c r="T187" i="9"/>
  <c r="S187" i="9"/>
  <c r="AC186" i="9"/>
  <c r="AB186" i="9"/>
  <c r="AA186" i="9"/>
  <c r="W186" i="9"/>
  <c r="T186" i="9"/>
  <c r="S186" i="9"/>
  <c r="AC185" i="9"/>
  <c r="AB185" i="9"/>
  <c r="AA185" i="9"/>
  <c r="W185" i="9"/>
  <c r="T185" i="9"/>
  <c r="S185" i="9"/>
  <c r="AC184" i="9"/>
  <c r="AB184" i="9"/>
  <c r="AA184" i="9"/>
  <c r="W184" i="9"/>
  <c r="T184" i="9"/>
  <c r="S184" i="9"/>
  <c r="AC183" i="9"/>
  <c r="AB183" i="9"/>
  <c r="AA183" i="9"/>
  <c r="W183" i="9"/>
  <c r="T183" i="9"/>
  <c r="S183" i="9"/>
  <c r="AC182" i="9"/>
  <c r="AB182" i="9"/>
  <c r="AA182" i="9"/>
  <c r="W182" i="9"/>
  <c r="T182" i="9"/>
  <c r="S182" i="9"/>
  <c r="AC181" i="9"/>
  <c r="AB181" i="9"/>
  <c r="AA181" i="9"/>
  <c r="W181" i="9"/>
  <c r="T181" i="9"/>
  <c r="S181" i="9"/>
  <c r="AC180" i="9"/>
  <c r="AB180" i="9"/>
  <c r="AA180" i="9"/>
  <c r="W180" i="9"/>
  <c r="T180" i="9"/>
  <c r="S180" i="9"/>
  <c r="AC179" i="9"/>
  <c r="AB179" i="9"/>
  <c r="AA179" i="9"/>
  <c r="W179" i="9"/>
  <c r="T179" i="9"/>
  <c r="S179" i="9"/>
  <c r="AC178" i="9"/>
  <c r="AB178" i="9"/>
  <c r="AA178" i="9"/>
  <c r="W178" i="9"/>
  <c r="T178" i="9"/>
  <c r="S178" i="9"/>
  <c r="AC177" i="9"/>
  <c r="AB177" i="9"/>
  <c r="AA177" i="9"/>
  <c r="W177" i="9"/>
  <c r="T177" i="9"/>
  <c r="S177" i="9"/>
  <c r="AC176" i="9"/>
  <c r="AB176" i="9"/>
  <c r="AA176" i="9"/>
  <c r="W176" i="9"/>
  <c r="T176" i="9"/>
  <c r="S176" i="9"/>
  <c r="AC175" i="9"/>
  <c r="AB175" i="9"/>
  <c r="AA175" i="9"/>
  <c r="W175" i="9"/>
  <c r="T175" i="9"/>
  <c r="S175" i="9"/>
  <c r="AC174" i="9"/>
  <c r="AB174" i="9"/>
  <c r="AA174" i="9"/>
  <c r="W174" i="9"/>
  <c r="T174" i="9"/>
  <c r="S174" i="9"/>
  <c r="AC173" i="9"/>
  <c r="AB173" i="9"/>
  <c r="AA173" i="9"/>
  <c r="W173" i="9"/>
  <c r="T173" i="9"/>
  <c r="S173" i="9"/>
  <c r="AC172" i="9"/>
  <c r="AB172" i="9"/>
  <c r="AA172" i="9"/>
  <c r="W172" i="9"/>
  <c r="T172" i="9"/>
  <c r="S172" i="9"/>
  <c r="AC171" i="9"/>
  <c r="AB171" i="9"/>
  <c r="AA171" i="9"/>
  <c r="W171" i="9"/>
  <c r="T171" i="9"/>
  <c r="S171" i="9"/>
  <c r="AC170" i="9"/>
  <c r="AB170" i="9"/>
  <c r="AA170" i="9"/>
  <c r="W170" i="9"/>
  <c r="T170" i="9"/>
  <c r="S170" i="9"/>
  <c r="AC169" i="9"/>
  <c r="AB169" i="9"/>
  <c r="AA169" i="9"/>
  <c r="W169" i="9"/>
  <c r="T169" i="9"/>
  <c r="S169" i="9"/>
  <c r="AC168" i="9"/>
  <c r="AB168" i="9"/>
  <c r="AA168" i="9"/>
  <c r="W168" i="9"/>
  <c r="T168" i="9"/>
  <c r="S168" i="9"/>
  <c r="AC167" i="9"/>
  <c r="AB167" i="9"/>
  <c r="AA167" i="9"/>
  <c r="W167" i="9"/>
  <c r="T167" i="9"/>
  <c r="S167" i="9"/>
  <c r="AC166" i="9"/>
  <c r="AB166" i="9"/>
  <c r="AA166" i="9"/>
  <c r="W166" i="9"/>
  <c r="T166" i="9"/>
  <c r="S166" i="9"/>
  <c r="AC165" i="9"/>
  <c r="AB165" i="9"/>
  <c r="AA165" i="9"/>
  <c r="W165" i="9"/>
  <c r="T165" i="9"/>
  <c r="S165" i="9"/>
  <c r="AC164" i="9"/>
  <c r="AB164" i="9"/>
  <c r="AA164" i="9"/>
  <c r="W164" i="9"/>
  <c r="T164" i="9"/>
  <c r="S164" i="9"/>
  <c r="AC163" i="9"/>
  <c r="AB163" i="9"/>
  <c r="AA163" i="9"/>
  <c r="W163" i="9"/>
  <c r="T163" i="9"/>
  <c r="S163" i="9"/>
  <c r="AC162" i="9"/>
  <c r="AB162" i="9"/>
  <c r="AA162" i="9"/>
  <c r="W162" i="9"/>
  <c r="T162" i="9"/>
  <c r="S162" i="9"/>
  <c r="AC161" i="9"/>
  <c r="AB161" i="9"/>
  <c r="AA161" i="9"/>
  <c r="W161" i="9"/>
  <c r="T161" i="9"/>
  <c r="S161" i="9"/>
  <c r="AC160" i="9"/>
  <c r="AB160" i="9"/>
  <c r="AA160" i="9"/>
  <c r="W160" i="9"/>
  <c r="T160" i="9"/>
  <c r="S160" i="9"/>
  <c r="AC159" i="9"/>
  <c r="AB159" i="9"/>
  <c r="AA159" i="9"/>
  <c r="W159" i="9"/>
  <c r="T159" i="9"/>
  <c r="S159" i="9"/>
  <c r="AC158" i="9"/>
  <c r="AB158" i="9"/>
  <c r="AA158" i="9"/>
  <c r="W158" i="9"/>
  <c r="T158" i="9"/>
  <c r="S158" i="9"/>
  <c r="AC157" i="9"/>
  <c r="AB157" i="9"/>
  <c r="AA157" i="9"/>
  <c r="W157" i="9"/>
  <c r="T157" i="9"/>
  <c r="S157" i="9"/>
  <c r="AC156" i="9"/>
  <c r="AB156" i="9"/>
  <c r="AA156" i="9"/>
  <c r="W156" i="9"/>
  <c r="T156" i="9"/>
  <c r="S156" i="9"/>
  <c r="AC155" i="9"/>
  <c r="AB155" i="9"/>
  <c r="AA155" i="9"/>
  <c r="W155" i="9"/>
  <c r="T155" i="9"/>
  <c r="S155" i="9"/>
  <c r="AC154" i="9"/>
  <c r="AB154" i="9"/>
  <c r="AA154" i="9"/>
  <c r="W154" i="9"/>
  <c r="T154" i="9"/>
  <c r="S154" i="9"/>
  <c r="AC153" i="9"/>
  <c r="AB153" i="9"/>
  <c r="AA153" i="9"/>
  <c r="W153" i="9"/>
  <c r="T153" i="9"/>
  <c r="S153" i="9"/>
  <c r="AC152" i="9"/>
  <c r="AB152" i="9"/>
  <c r="AA152" i="9"/>
  <c r="W152" i="9"/>
  <c r="T152" i="9"/>
  <c r="S152" i="9"/>
  <c r="AC151" i="9"/>
  <c r="AB151" i="9"/>
  <c r="AA151" i="9"/>
  <c r="W151" i="9"/>
  <c r="T151" i="9"/>
  <c r="S151" i="9"/>
  <c r="AC150" i="9"/>
  <c r="AB150" i="9"/>
  <c r="AA150" i="9"/>
  <c r="W150" i="9"/>
  <c r="T150" i="9"/>
  <c r="S150" i="9"/>
  <c r="AC149" i="9"/>
  <c r="AB149" i="9"/>
  <c r="AA149" i="9"/>
  <c r="W149" i="9"/>
  <c r="T149" i="9"/>
  <c r="S149" i="9"/>
  <c r="AC148" i="9"/>
  <c r="AB148" i="9"/>
  <c r="AA148" i="9"/>
  <c r="W148" i="9"/>
  <c r="T148" i="9"/>
  <c r="S148" i="9"/>
  <c r="AC147" i="9"/>
  <c r="AB147" i="9"/>
  <c r="AA147" i="9"/>
  <c r="W147" i="9"/>
  <c r="T147" i="9"/>
  <c r="S147" i="9"/>
  <c r="AC146" i="9"/>
  <c r="AB146" i="9"/>
  <c r="AA146" i="9"/>
  <c r="W146" i="9"/>
  <c r="T146" i="9"/>
  <c r="S146" i="9"/>
  <c r="AC145" i="9"/>
  <c r="AB145" i="9"/>
  <c r="AA145" i="9"/>
  <c r="W145" i="9"/>
  <c r="T145" i="9"/>
  <c r="S145" i="9"/>
  <c r="AC144" i="9"/>
  <c r="AB144" i="9"/>
  <c r="AA144" i="9"/>
  <c r="W144" i="9"/>
  <c r="T144" i="9"/>
  <c r="S144" i="9"/>
  <c r="AC143" i="9"/>
  <c r="AB143" i="9"/>
  <c r="AA143" i="9"/>
  <c r="W143" i="9"/>
  <c r="T143" i="9"/>
  <c r="S143" i="9"/>
  <c r="AC142" i="9"/>
  <c r="AB142" i="9"/>
  <c r="AA142" i="9"/>
  <c r="W142" i="9"/>
  <c r="T142" i="9"/>
  <c r="S142" i="9"/>
  <c r="AC141" i="9"/>
  <c r="AB141" i="9"/>
  <c r="AA141" i="9"/>
  <c r="W141" i="9"/>
  <c r="T141" i="9"/>
  <c r="S141" i="9"/>
  <c r="AC140" i="9"/>
  <c r="AB140" i="9"/>
  <c r="AA140" i="9"/>
  <c r="W140" i="9"/>
  <c r="T140" i="9"/>
  <c r="S140" i="9"/>
  <c r="AC139" i="9"/>
  <c r="AB139" i="9"/>
  <c r="AA139" i="9"/>
  <c r="W139" i="9"/>
  <c r="T139" i="9"/>
  <c r="S139" i="9"/>
  <c r="AC138" i="9"/>
  <c r="AB138" i="9"/>
  <c r="AA138" i="9"/>
  <c r="W138" i="9"/>
  <c r="T138" i="9"/>
  <c r="S138" i="9"/>
  <c r="AC137" i="9"/>
  <c r="AB137" i="9"/>
  <c r="AA137" i="9"/>
  <c r="W137" i="9"/>
  <c r="T137" i="9"/>
  <c r="S137" i="9"/>
  <c r="AC136" i="9"/>
  <c r="AB136" i="9"/>
  <c r="AA136" i="9"/>
  <c r="W136" i="9"/>
  <c r="T136" i="9"/>
  <c r="S136" i="9"/>
  <c r="AC135" i="9"/>
  <c r="AB135" i="9"/>
  <c r="AA135" i="9"/>
  <c r="W135" i="9"/>
  <c r="T135" i="9"/>
  <c r="S135" i="9"/>
  <c r="AC134" i="9"/>
  <c r="AB134" i="9"/>
  <c r="AA134" i="9"/>
  <c r="W134" i="9"/>
  <c r="T134" i="9"/>
  <c r="S134" i="9"/>
  <c r="AC133" i="9"/>
  <c r="AB133" i="9"/>
  <c r="AA133" i="9"/>
  <c r="W133" i="9"/>
  <c r="T133" i="9"/>
  <c r="S133" i="9"/>
  <c r="AC132" i="9"/>
  <c r="AB132" i="9"/>
  <c r="AA132" i="9"/>
  <c r="W132" i="9"/>
  <c r="T132" i="9"/>
  <c r="S132" i="9"/>
  <c r="AC131" i="9"/>
  <c r="AB131" i="9"/>
  <c r="AA131" i="9"/>
  <c r="W131" i="9"/>
  <c r="T131" i="9"/>
  <c r="S131" i="9"/>
  <c r="AC130" i="9"/>
  <c r="AB130" i="9"/>
  <c r="AA130" i="9"/>
  <c r="W130" i="9"/>
  <c r="T130" i="9"/>
  <c r="S130" i="9"/>
  <c r="AC129" i="9"/>
  <c r="AB129" i="9"/>
  <c r="AA129" i="9"/>
  <c r="W129" i="9"/>
  <c r="T129" i="9"/>
  <c r="S129" i="9"/>
  <c r="AC128" i="9"/>
  <c r="AB128" i="9"/>
  <c r="AA128" i="9"/>
  <c r="W128" i="9"/>
  <c r="T128" i="9"/>
  <c r="S128" i="9"/>
  <c r="AC127" i="9"/>
  <c r="AB127" i="9"/>
  <c r="AA127" i="9"/>
  <c r="W127" i="9"/>
  <c r="T127" i="9"/>
  <c r="S127" i="9"/>
  <c r="AC126" i="9"/>
  <c r="AB126" i="9"/>
  <c r="AA126" i="9"/>
  <c r="W126" i="9"/>
  <c r="T126" i="9"/>
  <c r="S126" i="9"/>
  <c r="AC125" i="9"/>
  <c r="AB125" i="9"/>
  <c r="AA125" i="9"/>
  <c r="W125" i="9"/>
  <c r="T125" i="9"/>
  <c r="S125" i="9"/>
  <c r="AC124" i="9"/>
  <c r="AB124" i="9"/>
  <c r="AA124" i="9"/>
  <c r="W124" i="9"/>
  <c r="T124" i="9"/>
  <c r="S124" i="9"/>
  <c r="AC123" i="9"/>
  <c r="AB123" i="9"/>
  <c r="AA123" i="9"/>
  <c r="W123" i="9"/>
  <c r="T123" i="9"/>
  <c r="S123" i="9"/>
  <c r="AC122" i="9"/>
  <c r="AB122" i="9"/>
  <c r="AA122" i="9"/>
  <c r="W122" i="9"/>
  <c r="T122" i="9"/>
  <c r="S122" i="9"/>
  <c r="AC121" i="9"/>
  <c r="AB121" i="9"/>
  <c r="AA121" i="9"/>
  <c r="W121" i="9"/>
  <c r="T121" i="9"/>
  <c r="S121" i="9"/>
  <c r="AC120" i="9"/>
  <c r="AB120" i="9"/>
  <c r="AA120" i="9"/>
  <c r="W120" i="9"/>
  <c r="T120" i="9"/>
  <c r="S120" i="9"/>
  <c r="AC119" i="9"/>
  <c r="AB119" i="9"/>
  <c r="AA119" i="9"/>
  <c r="W119" i="9"/>
  <c r="T119" i="9"/>
  <c r="S119" i="9"/>
  <c r="AC118" i="9"/>
  <c r="AB118" i="9"/>
  <c r="AA118" i="9"/>
  <c r="W118" i="9"/>
  <c r="T118" i="9"/>
  <c r="S118" i="9"/>
  <c r="AC117" i="9"/>
  <c r="AB117" i="9"/>
  <c r="AA117" i="9"/>
  <c r="W117" i="9"/>
  <c r="T117" i="9"/>
  <c r="S117" i="9"/>
  <c r="AC116" i="9"/>
  <c r="AB116" i="9"/>
  <c r="AA116" i="9"/>
  <c r="W116" i="9"/>
  <c r="T116" i="9"/>
  <c r="S116" i="9"/>
  <c r="AC115" i="9"/>
  <c r="AB115" i="9"/>
  <c r="AA115" i="9"/>
  <c r="W115" i="9"/>
  <c r="T115" i="9"/>
  <c r="S115" i="9"/>
  <c r="AC114" i="9"/>
  <c r="AB114" i="9"/>
  <c r="AA114" i="9"/>
  <c r="W114" i="9"/>
  <c r="T114" i="9"/>
  <c r="S114" i="9"/>
  <c r="AC113" i="9"/>
  <c r="AB113" i="9"/>
  <c r="AA113" i="9"/>
  <c r="W113" i="9"/>
  <c r="T113" i="9"/>
  <c r="S113" i="9"/>
  <c r="AC112" i="9"/>
  <c r="AB112" i="9"/>
  <c r="AA112" i="9"/>
  <c r="W112" i="9"/>
  <c r="T112" i="9"/>
  <c r="S112" i="9"/>
  <c r="AC111" i="9"/>
  <c r="AB111" i="9"/>
  <c r="AA111" i="9"/>
  <c r="W111" i="9"/>
  <c r="T111" i="9"/>
  <c r="S111" i="9"/>
  <c r="AC110" i="9"/>
  <c r="AB110" i="9"/>
  <c r="AA110" i="9"/>
  <c r="W110" i="9"/>
  <c r="T110" i="9"/>
  <c r="S110" i="9"/>
  <c r="AC109" i="9"/>
  <c r="AB109" i="9"/>
  <c r="AA109" i="9"/>
  <c r="W109" i="9"/>
  <c r="T109" i="9"/>
  <c r="S109" i="9"/>
  <c r="AC108" i="9"/>
  <c r="AB108" i="9"/>
  <c r="AA108" i="9"/>
  <c r="W108" i="9"/>
  <c r="T108" i="9"/>
  <c r="S108" i="9"/>
  <c r="AC107" i="9"/>
  <c r="AB107" i="9"/>
  <c r="AA107" i="9"/>
  <c r="W107" i="9"/>
  <c r="T107" i="9"/>
  <c r="S107" i="9"/>
  <c r="AC106" i="9"/>
  <c r="AB106" i="9"/>
  <c r="AA106" i="9"/>
  <c r="W106" i="9"/>
  <c r="T106" i="9"/>
  <c r="S106" i="9"/>
  <c r="AC105" i="9"/>
  <c r="AB105" i="9"/>
  <c r="AA105" i="9"/>
  <c r="W105" i="9"/>
  <c r="T105" i="9"/>
  <c r="S105" i="9"/>
  <c r="AC104" i="9"/>
  <c r="AB104" i="9"/>
  <c r="AA104" i="9"/>
  <c r="W104" i="9"/>
  <c r="T104" i="9"/>
  <c r="S104" i="9"/>
  <c r="AC103" i="9"/>
  <c r="AB103" i="9"/>
  <c r="AA103" i="9"/>
  <c r="W103" i="9"/>
  <c r="T103" i="9"/>
  <c r="S103" i="9"/>
  <c r="AC102" i="9"/>
  <c r="AB102" i="9"/>
  <c r="AA102" i="9"/>
  <c r="W102" i="9"/>
  <c r="T102" i="9"/>
  <c r="S102" i="9"/>
  <c r="AC101" i="9"/>
  <c r="AB101" i="9"/>
  <c r="AA101" i="9"/>
  <c r="W101" i="9"/>
  <c r="T101" i="9"/>
  <c r="S101" i="9"/>
  <c r="AC100" i="9"/>
  <c r="AB100" i="9"/>
  <c r="AA100" i="9"/>
  <c r="W100" i="9"/>
  <c r="T100" i="9"/>
  <c r="S100" i="9"/>
  <c r="AC99" i="9"/>
  <c r="AB99" i="9"/>
  <c r="AA99" i="9"/>
  <c r="W99" i="9"/>
  <c r="T99" i="9"/>
  <c r="S99" i="9"/>
  <c r="AC98" i="9"/>
  <c r="AB98" i="9"/>
  <c r="AA98" i="9"/>
  <c r="W98" i="9"/>
  <c r="T98" i="9"/>
  <c r="S98" i="9"/>
  <c r="AC97" i="9"/>
  <c r="AB97" i="9"/>
  <c r="AA97" i="9"/>
  <c r="W97" i="9"/>
  <c r="T97" i="9"/>
  <c r="S97" i="9"/>
  <c r="AC96" i="9"/>
  <c r="AB96" i="9"/>
  <c r="AA96" i="9"/>
  <c r="W96" i="9"/>
  <c r="T96" i="9"/>
  <c r="S96" i="9"/>
  <c r="AC95" i="9"/>
  <c r="AB95" i="9"/>
  <c r="AA95" i="9"/>
  <c r="W95" i="9"/>
  <c r="T95" i="9"/>
  <c r="S95" i="9"/>
  <c r="AC94" i="9"/>
  <c r="AB94" i="9"/>
  <c r="AA94" i="9"/>
  <c r="W94" i="9"/>
  <c r="T94" i="9"/>
  <c r="S94" i="9"/>
  <c r="AC93" i="9"/>
  <c r="AB93" i="9"/>
  <c r="AA93" i="9"/>
  <c r="W93" i="9"/>
  <c r="T93" i="9"/>
  <c r="S93" i="9"/>
  <c r="AC92" i="9"/>
  <c r="AB92" i="9"/>
  <c r="AA92" i="9"/>
  <c r="W92" i="9"/>
  <c r="T92" i="9"/>
  <c r="S92" i="9"/>
  <c r="AC91" i="9"/>
  <c r="AB91" i="9"/>
  <c r="AA91" i="9"/>
  <c r="W91" i="9"/>
  <c r="T91" i="9"/>
  <c r="S91" i="9"/>
  <c r="AC90" i="9"/>
  <c r="AB90" i="9"/>
  <c r="AA90" i="9"/>
  <c r="W90" i="9"/>
  <c r="T90" i="9"/>
  <c r="S90" i="9"/>
  <c r="AC89" i="9"/>
  <c r="AB89" i="9"/>
  <c r="AA89" i="9"/>
  <c r="W89" i="9"/>
  <c r="T89" i="9"/>
  <c r="S89" i="9"/>
  <c r="AC88" i="9"/>
  <c r="AB88" i="9"/>
  <c r="AA88" i="9"/>
  <c r="W88" i="9"/>
  <c r="T88" i="9"/>
  <c r="S88" i="9"/>
  <c r="AC87" i="9"/>
  <c r="AB87" i="9"/>
  <c r="AA87" i="9"/>
  <c r="W87" i="9"/>
  <c r="T87" i="9"/>
  <c r="S87" i="9"/>
  <c r="AC86" i="9"/>
  <c r="AB86" i="9"/>
  <c r="AA86" i="9"/>
  <c r="W86" i="9"/>
  <c r="T86" i="9"/>
  <c r="S86" i="9"/>
  <c r="AC85" i="9"/>
  <c r="AB85" i="9"/>
  <c r="AA85" i="9"/>
  <c r="W85" i="9"/>
  <c r="T85" i="9"/>
  <c r="S85" i="9"/>
  <c r="AC84" i="9"/>
  <c r="AB84" i="9"/>
  <c r="AA84" i="9"/>
  <c r="W84" i="9"/>
  <c r="T84" i="9"/>
  <c r="S84" i="9"/>
  <c r="AC83" i="9"/>
  <c r="AB83" i="9"/>
  <c r="AA83" i="9"/>
  <c r="W83" i="9"/>
  <c r="T83" i="9"/>
  <c r="S83" i="9"/>
  <c r="AC82" i="9"/>
  <c r="AB82" i="9"/>
  <c r="AA82" i="9"/>
  <c r="W82" i="9"/>
  <c r="T82" i="9"/>
  <c r="S82" i="9"/>
  <c r="AC81" i="9"/>
  <c r="AB81" i="9"/>
  <c r="AA81" i="9"/>
  <c r="W81" i="9"/>
  <c r="T81" i="9"/>
  <c r="S81" i="9"/>
  <c r="AC80" i="9"/>
  <c r="AB80" i="9"/>
  <c r="AA80" i="9"/>
  <c r="W80" i="9"/>
  <c r="T80" i="9"/>
  <c r="S80" i="9"/>
  <c r="AC79" i="9"/>
  <c r="AB79" i="9"/>
  <c r="AA79" i="9"/>
  <c r="W79" i="9"/>
  <c r="T79" i="9"/>
  <c r="S79" i="9"/>
  <c r="AC78" i="9"/>
  <c r="AB78" i="9"/>
  <c r="AA78" i="9"/>
  <c r="W78" i="9"/>
  <c r="T78" i="9"/>
  <c r="S78" i="9"/>
  <c r="AC77" i="9"/>
  <c r="AB77" i="9"/>
  <c r="AA77" i="9"/>
  <c r="W77" i="9"/>
  <c r="T77" i="9"/>
  <c r="S77" i="9"/>
  <c r="AC76" i="9"/>
  <c r="AB76" i="9"/>
  <c r="AA76" i="9"/>
  <c r="W76" i="9"/>
  <c r="T76" i="9"/>
  <c r="S76" i="9"/>
  <c r="AC75" i="9"/>
  <c r="AB75" i="9"/>
  <c r="AA75" i="9"/>
  <c r="W75" i="9"/>
  <c r="T75" i="9"/>
  <c r="S75" i="9"/>
  <c r="AC74" i="9"/>
  <c r="AB74" i="9"/>
  <c r="AA74" i="9"/>
  <c r="W74" i="9"/>
  <c r="T74" i="9"/>
  <c r="S74" i="9"/>
  <c r="AC73" i="9"/>
  <c r="AB73" i="9"/>
  <c r="AA73" i="9"/>
  <c r="W73" i="9"/>
  <c r="T73" i="9"/>
  <c r="S73" i="9"/>
  <c r="AC72" i="9"/>
  <c r="AB72" i="9"/>
  <c r="AA72" i="9"/>
  <c r="W72" i="9"/>
  <c r="T72" i="9"/>
  <c r="S72" i="9"/>
  <c r="AC71" i="9"/>
  <c r="AB71" i="9"/>
  <c r="AA71" i="9"/>
  <c r="W71" i="9"/>
  <c r="T71" i="9"/>
  <c r="S71" i="9"/>
  <c r="AC70" i="9"/>
  <c r="AB70" i="9"/>
  <c r="AA70" i="9"/>
  <c r="W70" i="9"/>
  <c r="T70" i="9"/>
  <c r="S70" i="9"/>
  <c r="AC69" i="9"/>
  <c r="AB69" i="9"/>
  <c r="AA69" i="9"/>
  <c r="W69" i="9"/>
  <c r="T69" i="9"/>
  <c r="S69" i="9"/>
  <c r="AC68" i="9"/>
  <c r="AB68" i="9"/>
  <c r="AA68" i="9"/>
  <c r="W68" i="9"/>
  <c r="T68" i="9"/>
  <c r="S68" i="9"/>
  <c r="AC67" i="9"/>
  <c r="AB67" i="9"/>
  <c r="AA67" i="9"/>
  <c r="W67" i="9"/>
  <c r="T67" i="9"/>
  <c r="S67" i="9"/>
  <c r="AC66" i="9"/>
  <c r="AB66" i="9"/>
  <c r="AA66" i="9"/>
  <c r="W66" i="9"/>
  <c r="T66" i="9"/>
  <c r="S66" i="9"/>
  <c r="AC65" i="9"/>
  <c r="AB65" i="9"/>
  <c r="AA65" i="9"/>
  <c r="W65" i="9"/>
  <c r="T65" i="9"/>
  <c r="S65" i="9"/>
  <c r="AC64" i="9"/>
  <c r="AB64" i="9"/>
  <c r="AA64" i="9"/>
  <c r="W64" i="9"/>
  <c r="T64" i="9"/>
  <c r="S64" i="9"/>
  <c r="AC63" i="9"/>
  <c r="AB63" i="9"/>
  <c r="AA63" i="9"/>
  <c r="W63" i="9"/>
  <c r="T63" i="9"/>
  <c r="S63" i="9"/>
  <c r="AC62" i="9"/>
  <c r="AB62" i="9"/>
  <c r="AA62" i="9"/>
  <c r="W62" i="9"/>
  <c r="T62" i="9"/>
  <c r="S62" i="9"/>
  <c r="AC61" i="9"/>
  <c r="AB61" i="9"/>
  <c r="AA61" i="9"/>
  <c r="W61" i="9"/>
  <c r="T61" i="9"/>
  <c r="S61" i="9"/>
  <c r="AC60" i="9"/>
  <c r="AB60" i="9"/>
  <c r="AA60" i="9"/>
  <c r="W60" i="9"/>
  <c r="T60" i="9"/>
  <c r="S60" i="9"/>
  <c r="AC59" i="9"/>
  <c r="AB59" i="9"/>
  <c r="AA59" i="9"/>
  <c r="W59" i="9"/>
  <c r="T59" i="9"/>
  <c r="S59" i="9"/>
  <c r="AC58" i="9"/>
  <c r="AB58" i="9"/>
  <c r="AA58" i="9"/>
  <c r="W58" i="9"/>
  <c r="T58" i="9"/>
  <c r="S58" i="9"/>
  <c r="AC57" i="9"/>
  <c r="AB57" i="9"/>
  <c r="AA57" i="9"/>
  <c r="W57" i="9"/>
  <c r="T57" i="9"/>
  <c r="S57" i="9"/>
  <c r="AC56" i="9"/>
  <c r="AB56" i="9"/>
  <c r="AA56" i="9"/>
  <c r="W56" i="9"/>
  <c r="T56" i="9"/>
  <c r="S56" i="9"/>
  <c r="AC55" i="9"/>
  <c r="AB55" i="9"/>
  <c r="AA55" i="9"/>
  <c r="W55" i="9"/>
  <c r="T55" i="9"/>
  <c r="S55" i="9"/>
  <c r="AC54" i="9"/>
  <c r="AB54" i="9"/>
  <c r="AA54" i="9"/>
  <c r="W54" i="9"/>
  <c r="T54" i="9"/>
  <c r="S54" i="9"/>
  <c r="AC53" i="9"/>
  <c r="AB53" i="9"/>
  <c r="AA53" i="9"/>
  <c r="W53" i="9"/>
  <c r="T53" i="9"/>
  <c r="S53" i="9"/>
  <c r="AC52" i="9"/>
  <c r="AB52" i="9"/>
  <c r="AA52" i="9"/>
  <c r="W52" i="9"/>
  <c r="T52" i="9"/>
  <c r="S52" i="9"/>
  <c r="AC51" i="9"/>
  <c r="AB51" i="9"/>
  <c r="AA51" i="9"/>
  <c r="W51" i="9"/>
  <c r="T51" i="9"/>
  <c r="S51" i="9"/>
  <c r="AC50" i="9"/>
  <c r="AB50" i="9"/>
  <c r="AA50" i="9"/>
  <c r="W50" i="9"/>
  <c r="T50" i="9"/>
  <c r="S50" i="9"/>
  <c r="AC49" i="9"/>
  <c r="AB49" i="9"/>
  <c r="AA49" i="9"/>
  <c r="W49" i="9"/>
  <c r="T49" i="9"/>
  <c r="S49" i="9"/>
  <c r="AC48" i="9"/>
  <c r="AB48" i="9"/>
  <c r="AA48" i="9"/>
  <c r="W48" i="9"/>
  <c r="T48" i="9"/>
  <c r="S48" i="9"/>
  <c r="AC47" i="9"/>
  <c r="AB47" i="9"/>
  <c r="AA47" i="9"/>
  <c r="W47" i="9"/>
  <c r="T47" i="9"/>
  <c r="S47" i="9"/>
  <c r="AC46" i="9"/>
  <c r="AB46" i="9"/>
  <c r="AA46" i="9"/>
  <c r="W46" i="9"/>
  <c r="T46" i="9"/>
  <c r="S46" i="9"/>
  <c r="AC45" i="9"/>
  <c r="AB45" i="9"/>
  <c r="AA45" i="9"/>
  <c r="W45" i="9"/>
  <c r="T45" i="9"/>
  <c r="S45" i="9"/>
  <c r="AC44" i="9"/>
  <c r="AB44" i="9"/>
  <c r="AA44" i="9"/>
  <c r="W44" i="9"/>
  <c r="T44" i="9"/>
  <c r="S44" i="9"/>
  <c r="AC43" i="9"/>
  <c r="AB43" i="9"/>
  <c r="AA43" i="9"/>
  <c r="W43" i="9"/>
  <c r="T43" i="9"/>
  <c r="S43" i="9"/>
  <c r="AC42" i="9"/>
  <c r="AB42" i="9"/>
  <c r="AA42" i="9"/>
  <c r="W42" i="9"/>
  <c r="T42" i="9"/>
  <c r="S42" i="9"/>
  <c r="AC41" i="9"/>
  <c r="AB41" i="9"/>
  <c r="AA41" i="9"/>
  <c r="W41" i="9"/>
  <c r="T41" i="9"/>
  <c r="S41" i="9"/>
  <c r="AC40" i="9"/>
  <c r="AB40" i="9"/>
  <c r="AA40" i="9"/>
  <c r="W40" i="9"/>
  <c r="T40" i="9"/>
  <c r="S40" i="9"/>
  <c r="AC39" i="9"/>
  <c r="AB39" i="9"/>
  <c r="AA39" i="9"/>
  <c r="W39" i="9"/>
  <c r="T39" i="9"/>
  <c r="S39" i="9"/>
  <c r="AC38" i="9"/>
  <c r="AB38" i="9"/>
  <c r="AA38" i="9"/>
  <c r="W38" i="9"/>
  <c r="T38" i="9"/>
  <c r="S38" i="9"/>
  <c r="AC37" i="9"/>
  <c r="AB37" i="9"/>
  <c r="AA37" i="9"/>
  <c r="W37" i="9"/>
  <c r="T37" i="9"/>
  <c r="S37" i="9"/>
  <c r="AC36" i="9"/>
  <c r="AB36" i="9"/>
  <c r="AA36" i="9"/>
  <c r="W36" i="9"/>
  <c r="T36" i="9"/>
  <c r="S36" i="9"/>
  <c r="AC35" i="9"/>
  <c r="AB35" i="9"/>
  <c r="AA35" i="9"/>
  <c r="W35" i="9"/>
  <c r="T35" i="9"/>
  <c r="S35" i="9"/>
  <c r="AC34" i="9"/>
  <c r="AB34" i="9"/>
  <c r="AA34" i="9"/>
  <c r="W34" i="9"/>
  <c r="T34" i="9"/>
  <c r="S34" i="9"/>
  <c r="AC33" i="9"/>
  <c r="AB33" i="9"/>
  <c r="AA33" i="9"/>
  <c r="W33" i="9"/>
  <c r="T33" i="9"/>
  <c r="S33" i="9"/>
  <c r="AC32" i="9"/>
  <c r="AB32" i="9"/>
  <c r="AA32" i="9"/>
  <c r="W32" i="9"/>
  <c r="T32" i="9"/>
  <c r="S32" i="9"/>
  <c r="AC31" i="9"/>
  <c r="AB31" i="9"/>
  <c r="AA31" i="9"/>
  <c r="W31" i="9"/>
  <c r="T31" i="9"/>
  <c r="S31" i="9"/>
  <c r="AC30" i="9"/>
  <c r="AB30" i="9"/>
  <c r="AA30" i="9"/>
  <c r="W30" i="9"/>
  <c r="T30" i="9"/>
  <c r="S30" i="9"/>
  <c r="AC29" i="9"/>
  <c r="AB29" i="9"/>
  <c r="AA29" i="9"/>
  <c r="W29" i="9"/>
  <c r="T29" i="9"/>
  <c r="S29" i="9"/>
  <c r="AC28" i="9"/>
  <c r="AB28" i="9"/>
  <c r="AA28" i="9"/>
  <c r="W28" i="9"/>
  <c r="T28" i="9"/>
  <c r="S28" i="9"/>
  <c r="AC27" i="9"/>
  <c r="AB27" i="9"/>
  <c r="AA27" i="9"/>
  <c r="W27" i="9"/>
  <c r="T27" i="9"/>
  <c r="S27" i="9"/>
  <c r="AC26" i="9"/>
  <c r="AB26" i="9"/>
  <c r="AA26" i="9"/>
  <c r="W26" i="9"/>
  <c r="T26" i="9"/>
  <c r="S26" i="9"/>
  <c r="AC25" i="9"/>
  <c r="AB25" i="9"/>
  <c r="AA25" i="9"/>
  <c r="W25" i="9"/>
  <c r="T25" i="9"/>
  <c r="S25" i="9"/>
  <c r="AC24" i="9"/>
  <c r="AB24" i="9"/>
  <c r="AA24" i="9"/>
  <c r="W24" i="9"/>
  <c r="T24" i="9"/>
  <c r="S24" i="9"/>
  <c r="AC23" i="9"/>
  <c r="AB23" i="9"/>
  <c r="AA23" i="9"/>
  <c r="W23" i="9"/>
  <c r="T23" i="9"/>
  <c r="S23" i="9"/>
  <c r="AC22" i="9"/>
  <c r="AB22" i="9"/>
  <c r="AA22" i="9"/>
  <c r="W22" i="9"/>
  <c r="T22" i="9"/>
  <c r="S22" i="9"/>
  <c r="AC21" i="9"/>
  <c r="AB21" i="9"/>
  <c r="AA21" i="9"/>
  <c r="W21" i="9"/>
  <c r="T21" i="9"/>
  <c r="S21" i="9"/>
  <c r="AC20" i="9"/>
  <c r="AB20" i="9"/>
  <c r="AA20" i="9"/>
  <c r="W20" i="9"/>
  <c r="T20" i="9"/>
  <c r="S20" i="9"/>
  <c r="AC19" i="9"/>
  <c r="AB19" i="9"/>
  <c r="AA19" i="9"/>
  <c r="W19" i="9"/>
  <c r="T19" i="9"/>
  <c r="S19" i="9"/>
  <c r="AC18" i="9"/>
  <c r="AB18" i="9"/>
  <c r="AA18" i="9"/>
  <c r="W18" i="9"/>
  <c r="T18" i="9"/>
  <c r="S18" i="9"/>
  <c r="AC17" i="9"/>
  <c r="AB17" i="9"/>
  <c r="AA17" i="9"/>
  <c r="W17" i="9"/>
  <c r="T17" i="9"/>
  <c r="S17" i="9"/>
  <c r="AC16" i="9"/>
  <c r="AB16" i="9"/>
  <c r="AA16" i="9"/>
  <c r="W16" i="9"/>
  <c r="T16" i="9"/>
  <c r="S16" i="9"/>
  <c r="AC15" i="9"/>
  <c r="AB15" i="9"/>
  <c r="AA15" i="9"/>
  <c r="W15" i="9"/>
  <c r="T15" i="9"/>
  <c r="S15" i="9"/>
  <c r="AC14" i="9"/>
  <c r="AB14" i="9"/>
  <c r="AA14" i="9"/>
  <c r="W14" i="9"/>
  <c r="T14" i="9"/>
  <c r="S14" i="9"/>
  <c r="AC13" i="9"/>
  <c r="AB13" i="9"/>
  <c r="AA13" i="9"/>
  <c r="W13" i="9"/>
  <c r="T13" i="9"/>
  <c r="S13" i="9"/>
  <c r="AC12" i="9"/>
  <c r="AB12" i="9"/>
  <c r="AA12" i="9"/>
  <c r="W12" i="9"/>
  <c r="T12" i="9"/>
  <c r="S12" i="9"/>
  <c r="AC11" i="9"/>
  <c r="AB11" i="9"/>
  <c r="AA11" i="9"/>
  <c r="W11" i="9"/>
  <c r="T11" i="9"/>
  <c r="S11" i="9"/>
  <c r="AC10" i="9"/>
  <c r="AB10" i="9"/>
  <c r="AA10" i="9"/>
  <c r="W10" i="9"/>
  <c r="T10" i="9"/>
  <c r="S10" i="9"/>
  <c r="AC9" i="9"/>
  <c r="AB9" i="9"/>
  <c r="AA9" i="9"/>
  <c r="W9" i="9"/>
  <c r="T9" i="9"/>
  <c r="S9" i="9"/>
  <c r="AC8" i="9"/>
  <c r="AB8" i="9"/>
  <c r="AA8" i="9"/>
  <c r="W8" i="9"/>
  <c r="T8" i="9"/>
  <c r="S8" i="9"/>
  <c r="AC7" i="9"/>
  <c r="AB7" i="9"/>
  <c r="AA7" i="9"/>
  <c r="W7" i="9"/>
  <c r="T7" i="9"/>
  <c r="S7" i="9"/>
</calcChain>
</file>

<file path=xl/sharedStrings.xml><?xml version="1.0" encoding="utf-8"?>
<sst xmlns="http://schemas.openxmlformats.org/spreadsheetml/2006/main" count="6857" uniqueCount="1619">
  <si>
    <t>限月取引</t>
  </si>
  <si>
    <t xml:space="preserve"> </t>
  </si>
  <si>
    <t>　</t>
  </si>
  <si>
    <t>Contract Month</t>
  </si>
  <si>
    <t>取引期間</t>
    <rPh sb="0" eb="2">
      <t>トリヒキ</t>
    </rPh>
    <rPh sb="2" eb="4">
      <t>キカン</t>
    </rPh>
    <phoneticPr fontId="6"/>
  </si>
  <si>
    <t>日</t>
    <rPh sb="0" eb="1">
      <t>ヒ</t>
    </rPh>
    <phoneticPr fontId="6"/>
  </si>
  <si>
    <t>Days 
Traded</t>
    <phoneticPr fontId="6"/>
  </si>
  <si>
    <t>Open 
Interest(unit)</t>
    <phoneticPr fontId="6"/>
  </si>
  <si>
    <t>J-NET(￥)</t>
    <phoneticPr fontId="6"/>
  </si>
  <si>
    <t>Trading 
Value(￥)</t>
    <phoneticPr fontId="6"/>
  </si>
  <si>
    <t>J-NET(unit)</t>
    <phoneticPr fontId="6"/>
  </si>
  <si>
    <t>Trading Volume(unit)</t>
    <phoneticPr fontId="6"/>
  </si>
  <si>
    <t>Date</t>
    <phoneticPr fontId="6"/>
  </si>
  <si>
    <t>Trading
Period</t>
    <phoneticPr fontId="6"/>
  </si>
  <si>
    <t>Year</t>
    <phoneticPr fontId="6"/>
  </si>
  <si>
    <t>日</t>
    <phoneticPr fontId="6"/>
  </si>
  <si>
    <t>うちJ-NET
取引（円）</t>
    <phoneticPr fontId="6"/>
  </si>
  <si>
    <t>うちJ-NET
取引（単位）</t>
    <phoneticPr fontId="6"/>
  </si>
  <si>
    <t>値付
日数</t>
    <phoneticPr fontId="6"/>
  </si>
  <si>
    <t>建玉現在高
（単位）</t>
    <phoneticPr fontId="6"/>
  </si>
  <si>
    <t>取引金額（円）</t>
    <phoneticPr fontId="6"/>
  </si>
  <si>
    <t>取引高（単位）</t>
    <phoneticPr fontId="6"/>
  </si>
  <si>
    <t>値  段  Price</t>
    <phoneticPr fontId="6"/>
  </si>
  <si>
    <t>Products</t>
    <phoneticPr fontId="6"/>
  </si>
  <si>
    <t>商品等</t>
    <phoneticPr fontId="6"/>
  </si>
  <si>
    <t>年</t>
    <phoneticPr fontId="6"/>
  </si>
  <si>
    <t>商品先物相場表</t>
    <rPh sb="0" eb="2">
      <t>ショウヒン</t>
    </rPh>
    <rPh sb="2" eb="4">
      <t>サキモノ</t>
    </rPh>
    <phoneticPr fontId="6"/>
  </si>
  <si>
    <t>Commodity Futures Quotations</t>
    <phoneticPr fontId="6"/>
  </si>
  <si>
    <t>早受渡・申告受渡高
（単位）</t>
    <phoneticPr fontId="6"/>
  </si>
  <si>
    <t>Early Delivery, Declared Delivery Volume(unit)</t>
    <phoneticPr fontId="6"/>
  </si>
  <si>
    <t>始　値
（円/ポイント）</t>
    <phoneticPr fontId="6"/>
  </si>
  <si>
    <t>Open(￥/point)</t>
    <phoneticPr fontId="6"/>
  </si>
  <si>
    <t>高　値
（円/ポイント）</t>
    <phoneticPr fontId="6"/>
  </si>
  <si>
    <t>High(￥/point)</t>
    <phoneticPr fontId="6"/>
  </si>
  <si>
    <t>うちJ-NET取引
（円/ポイント）</t>
    <phoneticPr fontId="6"/>
  </si>
  <si>
    <t>J-NET(￥/point)</t>
    <phoneticPr fontId="6"/>
  </si>
  <si>
    <t>安　値
（円/ポイント）</t>
    <phoneticPr fontId="6"/>
  </si>
  <si>
    <t>Low(￥/point)</t>
    <phoneticPr fontId="6"/>
  </si>
  <si>
    <t>終　値
（円/ポイント）</t>
    <phoneticPr fontId="6"/>
  </si>
  <si>
    <t>Close(￥/point)</t>
    <phoneticPr fontId="6"/>
  </si>
  <si>
    <t>平均清算数値
（円/ポイント）</t>
    <phoneticPr fontId="6"/>
  </si>
  <si>
    <t>Average
Settlement
Price(￥/point)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</si>
  <si>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</si>
  <si>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</si>
  <si>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</si>
  <si>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</si>
  <si>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2022</t>
  </si>
  <si>
    <t>金標準先物</t>
  </si>
  <si>
    <t>Gold Standard Futures</t>
  </si>
  <si>
    <t>2022/02</t>
  </si>
  <si>
    <t>2021/02/24</t>
  </si>
  <si>
    <t>2022/02/22</t>
  </si>
  <si>
    <t>1/4</t>
  </si>
  <si>
    <t>6,655</t>
  </si>
  <si>
    <t>2/21</t>
  </si>
  <si>
    <t>7,049</t>
  </si>
  <si>
    <t>1/31</t>
  </si>
  <si>
    <t>6,600</t>
  </si>
  <si>
    <t>2/22</t>
  </si>
  <si>
    <t>6,998</t>
  </si>
  <si>
    <t>*</t>
  </si>
  <si>
    <t>2022/04</t>
  </si>
  <si>
    <t>2021/04/27</t>
  </si>
  <si>
    <t>2022/04/25</t>
  </si>
  <si>
    <t>6,644</t>
  </si>
  <si>
    <t>4/20</t>
  </si>
  <si>
    <t>8,136</t>
  </si>
  <si>
    <t>4/4</t>
  </si>
  <si>
    <t>7,613.0000</t>
  </si>
  <si>
    <t>6,602</t>
  </si>
  <si>
    <t>1/28</t>
  </si>
  <si>
    <t>6,667.0000</t>
  </si>
  <si>
    <t>4/25</t>
  </si>
  <si>
    <t>7,936</t>
  </si>
  <si>
    <t>2022/06</t>
  </si>
  <si>
    <t>2021/06/28</t>
  </si>
  <si>
    <t>2022/06/27</t>
  </si>
  <si>
    <t>6,649</t>
  </si>
  <si>
    <t>8,154</t>
  </si>
  <si>
    <t>6/27</t>
  </si>
  <si>
    <t>7,900</t>
  </si>
  <si>
    <t>2022/08</t>
  </si>
  <si>
    <t>2021/08/27</t>
  </si>
  <si>
    <t>2022/08/26</t>
  </si>
  <si>
    <t>6,632</t>
  </si>
  <si>
    <t>8,159</t>
  </si>
  <si>
    <t>3/11</t>
  </si>
  <si>
    <t>7,427.0000</t>
  </si>
  <si>
    <t>6,593</t>
  </si>
  <si>
    <t>2/14</t>
  </si>
  <si>
    <t>6,878.0000</t>
  </si>
  <si>
    <t>8/26</t>
  </si>
  <si>
    <t>7,691</t>
  </si>
  <si>
    <t>2022/10</t>
  </si>
  <si>
    <t>2021/10/27</t>
  </si>
  <si>
    <t>2022/10/26</t>
  </si>
  <si>
    <t>6,640</t>
  </si>
  <si>
    <t>8,158</t>
  </si>
  <si>
    <t>10/11</t>
  </si>
  <si>
    <t>7,818.0000</t>
  </si>
  <si>
    <t>6,597</t>
  </si>
  <si>
    <t>8/4</t>
  </si>
  <si>
    <t>7,570.0000</t>
  </si>
  <si>
    <t>10/26</t>
  </si>
  <si>
    <t>7,866</t>
  </si>
  <si>
    <t>2022/12</t>
  </si>
  <si>
    <t>2021/12/24</t>
  </si>
  <si>
    <t>2022/12/23</t>
  </si>
  <si>
    <t>6,643</t>
  </si>
  <si>
    <t>8,151</t>
  </si>
  <si>
    <t>6/9</t>
  </si>
  <si>
    <t>7,972.0000</t>
  </si>
  <si>
    <t>6,666.0000</t>
  </si>
  <si>
    <t>12/23</t>
  </si>
  <si>
    <t>7,630</t>
  </si>
  <si>
    <t>2023/02</t>
  </si>
  <si>
    <t>2022/02/24</t>
  </si>
  <si>
    <t>2023/02/22</t>
  </si>
  <si>
    <t>2/24</t>
  </si>
  <si>
    <t>7,052</t>
  </si>
  <si>
    <t>8,160</t>
  </si>
  <si>
    <t>4/26</t>
  </si>
  <si>
    <t>10,339.0000</t>
  </si>
  <si>
    <t>2/25</t>
  </si>
  <si>
    <t>6,969</t>
  </si>
  <si>
    <t>5,293.0000</t>
  </si>
  <si>
    <t>12/30</t>
  </si>
  <si>
    <t>7,747</t>
  </si>
  <si>
    <t>2023/04</t>
  </si>
  <si>
    <t>2022/04/26</t>
  </si>
  <si>
    <t>2023/04/25</t>
  </si>
  <si>
    <t>7,794</t>
  </si>
  <si>
    <t>6/13</t>
  </si>
  <si>
    <t>8,106</t>
  </si>
  <si>
    <t>8,055.0000</t>
  </si>
  <si>
    <t>5/17</t>
  </si>
  <si>
    <t>7,405</t>
  </si>
  <si>
    <t>5/13</t>
  </si>
  <si>
    <t>7,484.0000</t>
  </si>
  <si>
    <t>7,748</t>
  </si>
  <si>
    <t>2023/06</t>
  </si>
  <si>
    <t>2022/06/28</t>
  </si>
  <si>
    <t>2023/06/27</t>
  </si>
  <si>
    <t>6/28</t>
  </si>
  <si>
    <t>7,908</t>
  </si>
  <si>
    <t>11/10</t>
  </si>
  <si>
    <t>8,058</t>
  </si>
  <si>
    <t>12/21</t>
  </si>
  <si>
    <t>7,846.0000</t>
  </si>
  <si>
    <t>8/2</t>
  </si>
  <si>
    <t>7,411</t>
  </si>
  <si>
    <t>8/18</t>
  </si>
  <si>
    <t>7,620.0000</t>
  </si>
  <si>
    <t>7,749</t>
  </si>
  <si>
    <t>2023/08</t>
  </si>
  <si>
    <t>2022/08/29</t>
  </si>
  <si>
    <t>2023/08/28</t>
  </si>
  <si>
    <t>8/29</t>
  </si>
  <si>
    <t>7,677</t>
  </si>
  <si>
    <t>8,053</t>
  </si>
  <si>
    <t>9/7</t>
  </si>
  <si>
    <t>10,279.0000</t>
  </si>
  <si>
    <t>9/29</t>
  </si>
  <si>
    <t>7,495</t>
  </si>
  <si>
    <t>5,315.0000</t>
  </si>
  <si>
    <t>2023/10</t>
  </si>
  <si>
    <t>2022/10/27</t>
  </si>
  <si>
    <t>2023/10/26</t>
  </si>
  <si>
    <t>10/27</t>
  </si>
  <si>
    <t>7,808</t>
  </si>
  <si>
    <t>8,049</t>
  </si>
  <si>
    <t>11/8</t>
  </si>
  <si>
    <t>10,410.0000</t>
  </si>
  <si>
    <t>7,605</t>
  </si>
  <si>
    <t>5,370.0000</t>
  </si>
  <si>
    <t>7,746</t>
  </si>
  <si>
    <t>2023/12</t>
  </si>
  <si>
    <t>2022/12/26</t>
  </si>
  <si>
    <t>2023/12/25</t>
  </si>
  <si>
    <t>12/26</t>
  </si>
  <si>
    <t>7,678</t>
  </si>
  <si>
    <t>12/28</t>
  </si>
  <si>
    <t>7,829</t>
  </si>
  <si>
    <t>7,768.0000</t>
  </si>
  <si>
    <t>7,671</t>
  </si>
  <si>
    <t>7,100.0000</t>
  </si>
  <si>
    <t>金ミニ先物</t>
  </si>
  <si>
    <t>Gold Mini Futures</t>
  </si>
  <si>
    <t>2022/02/21</t>
  </si>
  <si>
    <t>6,682.0</t>
  </si>
  <si>
    <t>7,079.0</t>
  </si>
  <si>
    <t>6,605.0</t>
  </si>
  <si>
    <t>7,008.0</t>
  </si>
  <si>
    <t>2022/04/22</t>
  </si>
  <si>
    <t>6,655.0</t>
  </si>
  <si>
    <t>8,153.0</t>
  </si>
  <si>
    <t>6,607.0</t>
  </si>
  <si>
    <t>4/22</t>
  </si>
  <si>
    <t>8,035.0</t>
  </si>
  <si>
    <t>2022/06/24</t>
  </si>
  <si>
    <t>6,653.0</t>
  </si>
  <si>
    <t>8,139.0</t>
  </si>
  <si>
    <t>6,613.0</t>
  </si>
  <si>
    <t>6/24</t>
  </si>
  <si>
    <t>7,899.0</t>
  </si>
  <si>
    <t>2022/08/25</t>
  </si>
  <si>
    <t>6,638.0</t>
  </si>
  <si>
    <t>8,150.0</t>
  </si>
  <si>
    <t>6,601.0</t>
  </si>
  <si>
    <t>8/25</t>
  </si>
  <si>
    <t>7,733.5</t>
  </si>
  <si>
    <t>2022/10/25</t>
  </si>
  <si>
    <t>6,630.0</t>
  </si>
  <si>
    <t>6,596.0</t>
  </si>
  <si>
    <t>10/25</t>
  </si>
  <si>
    <t>7,892.5</t>
  </si>
  <si>
    <t>2022/12/22</t>
  </si>
  <si>
    <t>6,636.0</t>
  </si>
  <si>
    <t>8,158.0</t>
  </si>
  <si>
    <t>12/22</t>
  </si>
  <si>
    <t>7,700.5</t>
  </si>
  <si>
    <t>2023/02/21</t>
  </si>
  <si>
    <t>7,057.0</t>
  </si>
  <si>
    <t>8,160.0</t>
  </si>
  <si>
    <t>3/30</t>
  </si>
  <si>
    <t>7,548.0000</t>
  </si>
  <si>
    <t>6,979.0</t>
  </si>
  <si>
    <t>7,743.5</t>
  </si>
  <si>
    <t>2023/04/24</t>
  </si>
  <si>
    <t>7,797.0</t>
  </si>
  <si>
    <t>8,104.5</t>
  </si>
  <si>
    <t>7,404.5</t>
  </si>
  <si>
    <t>7,741.0</t>
  </si>
  <si>
    <t>2023/06/26</t>
  </si>
  <si>
    <t>7,914.5</t>
  </si>
  <si>
    <t>8,051.5</t>
  </si>
  <si>
    <t>9/9</t>
  </si>
  <si>
    <t>7,890.0000</t>
  </si>
  <si>
    <t>8/3</t>
  </si>
  <si>
    <t>7,409.0</t>
  </si>
  <si>
    <t>8/23</t>
  </si>
  <si>
    <t>7,605.0000</t>
  </si>
  <si>
    <t>7,732.5</t>
  </si>
  <si>
    <t>2023/08/25</t>
  </si>
  <si>
    <t>7,660.0</t>
  </si>
  <si>
    <t>8,051.0</t>
  </si>
  <si>
    <t>8,005.5000</t>
  </si>
  <si>
    <t>7,494.0</t>
  </si>
  <si>
    <t>7,689.0000</t>
  </si>
  <si>
    <t>7,746.5</t>
  </si>
  <si>
    <t>2023/10/25</t>
  </si>
  <si>
    <t>7,816.5</t>
  </si>
  <si>
    <t>8,045.0</t>
  </si>
  <si>
    <t>7,605.5</t>
  </si>
  <si>
    <t>7,747.0</t>
  </si>
  <si>
    <t>2023/12/22</t>
  </si>
  <si>
    <t>7,653.0</t>
  </si>
  <si>
    <t>7,828.0</t>
  </si>
  <si>
    <t>7,744.0</t>
  </si>
  <si>
    <t>金限日先物</t>
  </si>
  <si>
    <t>Gold Rolling-Spot Futures</t>
  </si>
  <si>
    <t>－</t>
  </si>
  <si>
    <t>6,678</t>
  </si>
  <si>
    <t>8,208</t>
  </si>
  <si>
    <t>4/14</t>
  </si>
  <si>
    <t>7,978.0000</t>
  </si>
  <si>
    <t>1/17</t>
  </si>
  <si>
    <t>6,715.0000</t>
  </si>
  <si>
    <t>7,780</t>
  </si>
  <si>
    <t>銀先物</t>
  </si>
  <si>
    <t>Silver Futures</t>
  </si>
  <si>
    <t>84.1</t>
  </si>
  <si>
    <t>2/15</t>
  </si>
  <si>
    <t>88.5</t>
  </si>
  <si>
    <t>2/17</t>
  </si>
  <si>
    <t>85.6000</t>
  </si>
  <si>
    <t>1/11</t>
  </si>
  <si>
    <t>83.0</t>
  </si>
  <si>
    <t>2/16</t>
  </si>
  <si>
    <t>85.6</t>
  </si>
  <si>
    <t>84.7</t>
  </si>
  <si>
    <t>4/15</t>
  </si>
  <si>
    <t>103.1</t>
  </si>
  <si>
    <t>4/21</t>
  </si>
  <si>
    <t>104.0000</t>
  </si>
  <si>
    <t>2/1</t>
  </si>
  <si>
    <t>4/18</t>
  </si>
  <si>
    <t>102.5</t>
  </si>
  <si>
    <t>4/19</t>
  </si>
  <si>
    <t>106.0</t>
  </si>
  <si>
    <t>6/20</t>
  </si>
  <si>
    <t>87.0000</t>
  </si>
  <si>
    <t>6/16</t>
  </si>
  <si>
    <t>79.9</t>
  </si>
  <si>
    <t>80.0</t>
  </si>
  <si>
    <t>84.9</t>
  </si>
  <si>
    <t>106.3</t>
  </si>
  <si>
    <t>8/17</t>
  </si>
  <si>
    <t>86.4000</t>
  </si>
  <si>
    <t>7/6</t>
  </si>
  <si>
    <t>76.0</t>
  </si>
  <si>
    <t>8/16</t>
  </si>
  <si>
    <t>86.4</t>
  </si>
  <si>
    <t>84.6</t>
  </si>
  <si>
    <t>89.0000</t>
  </si>
  <si>
    <t>7/21</t>
  </si>
  <si>
    <t>76.1</t>
  </si>
  <si>
    <t>10/17</t>
  </si>
  <si>
    <t>82.0</t>
  </si>
  <si>
    <t>107.8</t>
  </si>
  <si>
    <t>88.1000</t>
  </si>
  <si>
    <t>7/25</t>
  </si>
  <si>
    <t>12/16</t>
  </si>
  <si>
    <t>100.1</t>
  </si>
  <si>
    <t>90.1</t>
  </si>
  <si>
    <t>108.0</t>
  </si>
  <si>
    <t>92.6000</t>
  </si>
  <si>
    <t>7/7</t>
  </si>
  <si>
    <t>71.8</t>
  </si>
  <si>
    <t>94.2</t>
  </si>
  <si>
    <t>100.5</t>
  </si>
  <si>
    <t>94.8000</t>
  </si>
  <si>
    <t>7/19</t>
  </si>
  <si>
    <t>75.5</t>
  </si>
  <si>
    <t>12/29</t>
  </si>
  <si>
    <t>93.9</t>
  </si>
  <si>
    <t>94.7</t>
  </si>
  <si>
    <t>95.0</t>
  </si>
  <si>
    <t>95.0000</t>
  </si>
  <si>
    <t>9/2</t>
  </si>
  <si>
    <t>76.7</t>
  </si>
  <si>
    <t>82.6</t>
  </si>
  <si>
    <t>12/14</t>
  </si>
  <si>
    <t>97.8</t>
  </si>
  <si>
    <t>95.2000</t>
  </si>
  <si>
    <t>9/5</t>
  </si>
  <si>
    <t>77.7</t>
  </si>
  <si>
    <t>94.9000</t>
  </si>
  <si>
    <t>93.6</t>
  </si>
  <si>
    <t>91.0</t>
  </si>
  <si>
    <t>101.1</t>
  </si>
  <si>
    <t>11/4</t>
  </si>
  <si>
    <t>87.7</t>
  </si>
  <si>
    <t>97.5</t>
  </si>
  <si>
    <t>100.8</t>
  </si>
  <si>
    <t>101.4</t>
  </si>
  <si>
    <t>99.2</t>
  </si>
  <si>
    <t>100.0</t>
  </si>
  <si>
    <t>白金標準先物</t>
  </si>
  <si>
    <t>Platinum Standard Futures</t>
  </si>
  <si>
    <t>3,565</t>
  </si>
  <si>
    <t>2/18</t>
  </si>
  <si>
    <t>4,052</t>
  </si>
  <si>
    <t>3,812.0000</t>
  </si>
  <si>
    <t>3,530</t>
  </si>
  <si>
    <t>3,955</t>
  </si>
  <si>
    <t>3,577</t>
  </si>
  <si>
    <t>3/9</t>
  </si>
  <si>
    <t>4,322</t>
  </si>
  <si>
    <t>3/14</t>
  </si>
  <si>
    <t>3,938.0000</t>
  </si>
  <si>
    <t>1/12</t>
  </si>
  <si>
    <t>3,527</t>
  </si>
  <si>
    <t>3,602.0000</t>
  </si>
  <si>
    <t>3,805</t>
  </si>
  <si>
    <t>3,572</t>
  </si>
  <si>
    <t>6/8</t>
  </si>
  <si>
    <t>4,321</t>
  </si>
  <si>
    <t>3,499</t>
  </si>
  <si>
    <t>3,934</t>
  </si>
  <si>
    <t>3,575</t>
  </si>
  <si>
    <t>4,314</t>
  </si>
  <si>
    <t>3,929.0000</t>
  </si>
  <si>
    <t>3,501</t>
  </si>
  <si>
    <t>4/11</t>
  </si>
  <si>
    <t>3,928.0000</t>
  </si>
  <si>
    <t>3,893</t>
  </si>
  <si>
    <t>3,578</t>
  </si>
  <si>
    <t>10/24</t>
  </si>
  <si>
    <t>4,505</t>
  </si>
  <si>
    <t>3,934.0000</t>
  </si>
  <si>
    <t>3,497</t>
  </si>
  <si>
    <t>3,828.0000</t>
  </si>
  <si>
    <t>4,390</t>
  </si>
  <si>
    <t>3,563</t>
  </si>
  <si>
    <t>11/14</t>
  </si>
  <si>
    <t>4,750</t>
  </si>
  <si>
    <t>3,917.0000</t>
  </si>
  <si>
    <t>3,486</t>
  </si>
  <si>
    <t>1/18</t>
  </si>
  <si>
    <t>3,585.0000</t>
  </si>
  <si>
    <t>4,198</t>
  </si>
  <si>
    <t>3,979</t>
  </si>
  <si>
    <t>4,712</t>
  </si>
  <si>
    <t>4,030.0000</t>
  </si>
  <si>
    <t>7/13</t>
  </si>
  <si>
    <t>3,646</t>
  </si>
  <si>
    <t>3,681.0000</t>
  </si>
  <si>
    <t>4,462</t>
  </si>
  <si>
    <t>3,726</t>
  </si>
  <si>
    <t>4,677</t>
  </si>
  <si>
    <t>4,297.0000</t>
  </si>
  <si>
    <t>3,636</t>
  </si>
  <si>
    <t>4/28</t>
  </si>
  <si>
    <t>3,683.0000</t>
  </si>
  <si>
    <t>4,432</t>
  </si>
  <si>
    <t>3,889</t>
  </si>
  <si>
    <t>4,645</t>
  </si>
  <si>
    <t>4,296.0000</t>
  </si>
  <si>
    <t>7/15</t>
  </si>
  <si>
    <t>3,602</t>
  </si>
  <si>
    <t>3,610.0000</t>
  </si>
  <si>
    <t>4,398</t>
  </si>
  <si>
    <t>3,740</t>
  </si>
  <si>
    <t>4,637</t>
  </si>
  <si>
    <t>4,286.0000</t>
  </si>
  <si>
    <t>3,614</t>
  </si>
  <si>
    <t>9/30</t>
  </si>
  <si>
    <t>3,900.0000</t>
  </si>
  <si>
    <t>4,292</t>
  </si>
  <si>
    <t>4,633</t>
  </si>
  <si>
    <t>12/1</t>
  </si>
  <si>
    <t>4,440.0000</t>
  </si>
  <si>
    <t>4,105</t>
  </si>
  <si>
    <t>4,259.0000</t>
  </si>
  <si>
    <t>4,380</t>
  </si>
  <si>
    <t>4,261</t>
  </si>
  <si>
    <t>4,384</t>
  </si>
  <si>
    <t>12/27</t>
  </si>
  <si>
    <t>4,220</t>
  </si>
  <si>
    <t>4,383</t>
  </si>
  <si>
    <t>白金ミニ先物</t>
  </si>
  <si>
    <t>Platinum Mini Futures</t>
  </si>
  <si>
    <t>3,580.0</t>
  </si>
  <si>
    <t>4,033.0</t>
  </si>
  <si>
    <t>3,567.0</t>
  </si>
  <si>
    <t>3,941.0</t>
  </si>
  <si>
    <t>3,566.0</t>
  </si>
  <si>
    <t>4,308.0</t>
  </si>
  <si>
    <t>3,918.0</t>
  </si>
  <si>
    <t>3,565.0</t>
  </si>
  <si>
    <t>4,321.0</t>
  </si>
  <si>
    <t>3,500.0</t>
  </si>
  <si>
    <t>3,948.5</t>
  </si>
  <si>
    <t>4,296.0</t>
  </si>
  <si>
    <t>3,503.0</t>
  </si>
  <si>
    <t>3,840.5</t>
  </si>
  <si>
    <t>3,563.0</t>
  </si>
  <si>
    <t>10/19</t>
  </si>
  <si>
    <t>4,396.0</t>
  </si>
  <si>
    <t>3,497.0</t>
  </si>
  <si>
    <t>10/20</t>
  </si>
  <si>
    <t>4,276.0</t>
  </si>
  <si>
    <t>3,558.0</t>
  </si>
  <si>
    <t>4,659.5</t>
  </si>
  <si>
    <t>3,487.0</t>
  </si>
  <si>
    <t>4,241.0</t>
  </si>
  <si>
    <t>3,975.0</t>
  </si>
  <si>
    <t>11/11</t>
  </si>
  <si>
    <t>4,637.5</t>
  </si>
  <si>
    <t>3,632.0</t>
  </si>
  <si>
    <t>4,460.0</t>
  </si>
  <si>
    <t>3,741.0</t>
  </si>
  <si>
    <t>4,627.0</t>
  </si>
  <si>
    <t>3,630.5</t>
  </si>
  <si>
    <t>4,432.0</t>
  </si>
  <si>
    <t>3,946.0</t>
  </si>
  <si>
    <t>4,620.0</t>
  </si>
  <si>
    <t>3,602.0</t>
  </si>
  <si>
    <t>4,387.0</t>
  </si>
  <si>
    <t>3,750.5</t>
  </si>
  <si>
    <t>4,622.0</t>
  </si>
  <si>
    <t>9/22</t>
  </si>
  <si>
    <t>4,066.0000</t>
  </si>
  <si>
    <t>3,610.5</t>
  </si>
  <si>
    <t>4,373.0</t>
  </si>
  <si>
    <t>4,297.5</t>
  </si>
  <si>
    <t>4,628.5</t>
  </si>
  <si>
    <t>4,106.0</t>
  </si>
  <si>
    <t>4,377.0</t>
  </si>
  <si>
    <t>4,261.0</t>
  </si>
  <si>
    <t>4,379.5</t>
  </si>
  <si>
    <t>4,235.5</t>
  </si>
  <si>
    <t>4,379.0</t>
  </si>
  <si>
    <t>白金限日先物</t>
  </si>
  <si>
    <t>Platinum Rolling-Spot Futures</t>
  </si>
  <si>
    <t>3,629</t>
  </si>
  <si>
    <t>4,648</t>
  </si>
  <si>
    <t>4,395.0000</t>
  </si>
  <si>
    <t>3,564</t>
  </si>
  <si>
    <t>3,634.0000</t>
  </si>
  <si>
    <t>4,480</t>
  </si>
  <si>
    <t>パラジウム先物</t>
  </si>
  <si>
    <t>Palladium Futures</t>
  </si>
  <si>
    <t>2/4</t>
  </si>
  <si>
    <t>8,700</t>
  </si>
  <si>
    <t>6,583</t>
  </si>
  <si>
    <t>3/8</t>
  </si>
  <si>
    <t>11,401</t>
  </si>
  <si>
    <t>3/10</t>
  </si>
  <si>
    <t>11,000</t>
  </si>
  <si>
    <t>1/24</t>
  </si>
  <si>
    <t>7,400</t>
  </si>
  <si>
    <t>11,399</t>
  </si>
  <si>
    <t>6/1</t>
  </si>
  <si>
    <t>8,400</t>
  </si>
  <si>
    <t>1/20</t>
  </si>
  <si>
    <t>7,200</t>
  </si>
  <si>
    <t>11,311</t>
  </si>
  <si>
    <t>7,192</t>
  </si>
  <si>
    <t>8,915</t>
  </si>
  <si>
    <t>11,300</t>
  </si>
  <si>
    <t>1/26</t>
  </si>
  <si>
    <t>7,652.0000</t>
  </si>
  <si>
    <t>1/13</t>
  </si>
  <si>
    <t>7,005</t>
  </si>
  <si>
    <t>9,500</t>
  </si>
  <si>
    <t>7,190</t>
  </si>
  <si>
    <t>3/7</t>
  </si>
  <si>
    <t>11,293</t>
  </si>
  <si>
    <t>6,778</t>
  </si>
  <si>
    <t>2/28</t>
  </si>
  <si>
    <t>9,100</t>
  </si>
  <si>
    <t>12,399</t>
  </si>
  <si>
    <t>8,600</t>
  </si>
  <si>
    <t>10/6</t>
  </si>
  <si>
    <t>10,250</t>
  </si>
  <si>
    <t>5/11</t>
  </si>
  <si>
    <t>9,277</t>
  </si>
  <si>
    <t>8,100</t>
  </si>
  <si>
    <t>9,200</t>
  </si>
  <si>
    <t>8,888</t>
  </si>
  <si>
    <t>11/30</t>
  </si>
  <si>
    <t>8,470</t>
  </si>
  <si>
    <t>7,800</t>
  </si>
  <si>
    <t>CME原油等指数先物</t>
  </si>
  <si>
    <t>CME Petroleum Index Futures</t>
  </si>
  <si>
    <t>2022/01</t>
  </si>
  <si>
    <t>2021/09/21</t>
  </si>
  <si>
    <t>2022/01/04</t>
  </si>
  <si>
    <t>187.30</t>
  </si>
  <si>
    <t>186.40</t>
  </si>
  <si>
    <t>186.55</t>
  </si>
  <si>
    <t>2022/02/01</t>
  </si>
  <si>
    <t>186.65</t>
  </si>
  <si>
    <t>213.50</t>
  </si>
  <si>
    <t>1/5</t>
  </si>
  <si>
    <t>185.85</t>
  </si>
  <si>
    <t>2022/03</t>
  </si>
  <si>
    <t>2022/03/01</t>
  </si>
  <si>
    <t>200.00</t>
  </si>
  <si>
    <t>239.30</t>
  </si>
  <si>
    <t>186.5000</t>
  </si>
  <si>
    <t>3/1</t>
  </si>
  <si>
    <t>237.20</t>
  </si>
  <si>
    <t>2021/10/04</t>
  </si>
  <si>
    <t>2022/04/01</t>
  </si>
  <si>
    <t>185.15</t>
  </si>
  <si>
    <t>303.75</t>
  </si>
  <si>
    <t>4/1</t>
  </si>
  <si>
    <t>247.50</t>
  </si>
  <si>
    <t>2022/05</t>
  </si>
  <si>
    <t>2021/11/02</t>
  </si>
  <si>
    <t>2022/05/02</t>
  </si>
  <si>
    <t>184.10</t>
  </si>
  <si>
    <t>297.80</t>
  </si>
  <si>
    <t>258.6000</t>
  </si>
  <si>
    <t>220.0000</t>
  </si>
  <si>
    <t>259.45</t>
  </si>
  <si>
    <t>2021/12/02</t>
  </si>
  <si>
    <t>2022/06/01</t>
  </si>
  <si>
    <t>188.25</t>
  </si>
  <si>
    <t>283.45</t>
  </si>
  <si>
    <t>182.70</t>
  </si>
  <si>
    <t>5/26</t>
  </si>
  <si>
    <t>278.70</t>
  </si>
  <si>
    <t>2022/07</t>
  </si>
  <si>
    <t>2022/01/05</t>
  </si>
  <si>
    <t>2022/07/01</t>
  </si>
  <si>
    <t>183.90</t>
  </si>
  <si>
    <t>6/7</t>
  </si>
  <si>
    <t>298.25</t>
  </si>
  <si>
    <t>1/6</t>
  </si>
  <si>
    <t>183.00</t>
  </si>
  <si>
    <t>6/29</t>
  </si>
  <si>
    <t>286.00</t>
  </si>
  <si>
    <t>2022/02/02</t>
  </si>
  <si>
    <t>2022/08/01</t>
  </si>
  <si>
    <t>2/2</t>
  </si>
  <si>
    <t>200.40</t>
  </si>
  <si>
    <t>287.20</t>
  </si>
  <si>
    <t>3/15</t>
  </si>
  <si>
    <t>217.6000</t>
  </si>
  <si>
    <t>198.50</t>
  </si>
  <si>
    <t>8/1</t>
  </si>
  <si>
    <t>239.50</t>
  </si>
  <si>
    <t>2022/09</t>
  </si>
  <si>
    <t>2022/03/02</t>
  </si>
  <si>
    <t>2022/09/01</t>
  </si>
  <si>
    <t>3/4</t>
  </si>
  <si>
    <t>232.90</t>
  </si>
  <si>
    <t>6/6</t>
  </si>
  <si>
    <t>275.00</t>
  </si>
  <si>
    <t>8/30</t>
  </si>
  <si>
    <t>239.9500</t>
  </si>
  <si>
    <t>229.55</t>
  </si>
  <si>
    <t>8/31</t>
  </si>
  <si>
    <t>234.90</t>
  </si>
  <si>
    <t>2022/04/04</t>
  </si>
  <si>
    <t>2022/10/03</t>
  </si>
  <si>
    <t>240.80</t>
  </si>
  <si>
    <t>243.15</t>
  </si>
  <si>
    <t>240.7000</t>
  </si>
  <si>
    <t>222.40</t>
  </si>
  <si>
    <t>2022/11</t>
  </si>
  <si>
    <t>2022/05/06</t>
  </si>
  <si>
    <t>2022/11/01</t>
  </si>
  <si>
    <t>207.45</t>
  </si>
  <si>
    <t>10/4</t>
  </si>
  <si>
    <t>210.05</t>
  </si>
  <si>
    <t>10/3</t>
  </si>
  <si>
    <t>205.10</t>
  </si>
  <si>
    <t>2022/06/02</t>
  </si>
  <si>
    <t>2022/12/01</t>
  </si>
  <si>
    <t>2023/01</t>
  </si>
  <si>
    <t>2022/07/04</t>
  </si>
  <si>
    <t>2023/01/04</t>
  </si>
  <si>
    <t>11/28</t>
  </si>
  <si>
    <t>191.20</t>
  </si>
  <si>
    <t>12/20</t>
  </si>
  <si>
    <t>191.70</t>
  </si>
  <si>
    <t>191.15</t>
  </si>
  <si>
    <t>2022/08/02</t>
  </si>
  <si>
    <t>2023/02/01</t>
  </si>
  <si>
    <t>2023/03</t>
  </si>
  <si>
    <t>2022/09/02</t>
  </si>
  <si>
    <t>2023/03/01</t>
  </si>
  <si>
    <t>2022/10/04</t>
  </si>
  <si>
    <t>2023/04/03</t>
  </si>
  <si>
    <t>208.85</t>
  </si>
  <si>
    <t>184.90</t>
  </si>
  <si>
    <t>2023/05</t>
  </si>
  <si>
    <t>2022/11/02</t>
  </si>
  <si>
    <t>2023/05/01</t>
  </si>
  <si>
    <t>2022/12/02</t>
  </si>
  <si>
    <t>2023/06/01</t>
  </si>
  <si>
    <t>ゴム（RSS3）先物</t>
  </si>
  <si>
    <t>RSS3 Rubber Futures</t>
  </si>
  <si>
    <t>2021/07/27</t>
  </si>
  <si>
    <t>2022/01/25</t>
  </si>
  <si>
    <t>222.8</t>
  </si>
  <si>
    <t>1/19</t>
  </si>
  <si>
    <t>238.5</t>
  </si>
  <si>
    <t>1/25</t>
  </si>
  <si>
    <t>228.2000</t>
  </si>
  <si>
    <t>219.8</t>
  </si>
  <si>
    <t>228.2</t>
  </si>
  <si>
    <t>2021/08/26</t>
  </si>
  <si>
    <t>224.2</t>
  </si>
  <si>
    <t>256.0</t>
  </si>
  <si>
    <t>255.9000</t>
  </si>
  <si>
    <t>219.3</t>
  </si>
  <si>
    <t>1/21</t>
  </si>
  <si>
    <t>233.5000</t>
  </si>
  <si>
    <t>2022/03/25</t>
  </si>
  <si>
    <t>228.3</t>
  </si>
  <si>
    <t>262.1</t>
  </si>
  <si>
    <t>261.5000</t>
  </si>
  <si>
    <t>222.5</t>
  </si>
  <si>
    <t>226.5000</t>
  </si>
  <si>
    <t>3/25</t>
  </si>
  <si>
    <t>258.0</t>
  </si>
  <si>
    <t>230.9</t>
  </si>
  <si>
    <t>288.9</t>
  </si>
  <si>
    <t>267.6000</t>
  </si>
  <si>
    <t>224.0</t>
  </si>
  <si>
    <t>234.7000</t>
  </si>
  <si>
    <t>268.0</t>
  </si>
  <si>
    <t>2022/05/25</t>
  </si>
  <si>
    <t>234.9</t>
  </si>
  <si>
    <t>276.0</t>
  </si>
  <si>
    <t>254.5000</t>
  </si>
  <si>
    <t>226.4</t>
  </si>
  <si>
    <t>232.9000</t>
  </si>
  <si>
    <t>5/25</t>
  </si>
  <si>
    <t>250.7</t>
  </si>
  <si>
    <t>238.8</t>
  </si>
  <si>
    <t>272.4</t>
  </si>
  <si>
    <t>270.0000</t>
  </si>
  <si>
    <t>228.1</t>
  </si>
  <si>
    <t>2/3</t>
  </si>
  <si>
    <t>238.0000</t>
  </si>
  <si>
    <t>270.0</t>
  </si>
  <si>
    <t>2022/07/25</t>
  </si>
  <si>
    <t>242.0</t>
  </si>
  <si>
    <t>4/12</t>
  </si>
  <si>
    <t>262.4000</t>
  </si>
  <si>
    <t>232.0</t>
  </si>
  <si>
    <t>241.4000</t>
  </si>
  <si>
    <t>250.1</t>
  </si>
  <si>
    <t>242.7</t>
  </si>
  <si>
    <t>272.5</t>
  </si>
  <si>
    <t>263.3000</t>
  </si>
  <si>
    <t>213.9</t>
  </si>
  <si>
    <t>219.5000</t>
  </si>
  <si>
    <t>226.0</t>
  </si>
  <si>
    <t>2021/09/27</t>
  </si>
  <si>
    <t>2022/09/26</t>
  </si>
  <si>
    <t>275.1</t>
  </si>
  <si>
    <t>266.7000</t>
  </si>
  <si>
    <t>9/16</t>
  </si>
  <si>
    <t>210.9</t>
  </si>
  <si>
    <t>9/15</t>
  </si>
  <si>
    <t>216.4000</t>
  </si>
  <si>
    <t>9/26</t>
  </si>
  <si>
    <t>221.4</t>
  </si>
  <si>
    <t>2021/10/26</t>
  </si>
  <si>
    <t>243.0</t>
  </si>
  <si>
    <t>4/5</t>
  </si>
  <si>
    <t>271.8</t>
  </si>
  <si>
    <t>5/23</t>
  </si>
  <si>
    <t>247.1000</t>
  </si>
  <si>
    <t>10/12</t>
  </si>
  <si>
    <t>219.5</t>
  </si>
  <si>
    <t>10/18</t>
  </si>
  <si>
    <t>222.9000</t>
  </si>
  <si>
    <t>225.3</t>
  </si>
  <si>
    <t>2021/11/25</t>
  </si>
  <si>
    <t>2022/11/24</t>
  </si>
  <si>
    <t>245.8</t>
  </si>
  <si>
    <t>274.8</t>
  </si>
  <si>
    <t>257.9000</t>
  </si>
  <si>
    <t>207.4</t>
  </si>
  <si>
    <t>11/15</t>
  </si>
  <si>
    <t>210.0000</t>
  </si>
  <si>
    <t>11/24</t>
  </si>
  <si>
    <t>216.3</t>
  </si>
  <si>
    <t>2021/12/23</t>
  </si>
  <si>
    <t>248.0</t>
  </si>
  <si>
    <t>258.8000</t>
  </si>
  <si>
    <t>10/31</t>
  </si>
  <si>
    <t>208.6</t>
  </si>
  <si>
    <t>211.0000</t>
  </si>
  <si>
    <t>211.0</t>
  </si>
  <si>
    <t>2022/01/26</t>
  </si>
  <si>
    <t>2023/01/25</t>
  </si>
  <si>
    <t>1/27</t>
  </si>
  <si>
    <t>247.7</t>
  </si>
  <si>
    <t>274.0</t>
  </si>
  <si>
    <t>12/12</t>
  </si>
  <si>
    <t>218.0000</t>
  </si>
  <si>
    <t>201.5</t>
  </si>
  <si>
    <t>203.8</t>
  </si>
  <si>
    <t>265.0</t>
  </si>
  <si>
    <t>203.0</t>
  </si>
  <si>
    <t>204.9</t>
  </si>
  <si>
    <t>2022/03/28</t>
  </si>
  <si>
    <t>2023/03/27</t>
  </si>
  <si>
    <t>3/31</t>
  </si>
  <si>
    <t>254.0</t>
  </si>
  <si>
    <t>273.0</t>
  </si>
  <si>
    <t>205.8</t>
  </si>
  <si>
    <t>208.3</t>
  </si>
  <si>
    <t>261.8</t>
  </si>
  <si>
    <t>6/14</t>
  </si>
  <si>
    <t>267.1</t>
  </si>
  <si>
    <t>223.5000</t>
  </si>
  <si>
    <t>207.1</t>
  </si>
  <si>
    <t>11/1</t>
  </si>
  <si>
    <t>209.0000</t>
  </si>
  <si>
    <t>214.3</t>
  </si>
  <si>
    <t>2022/05/26</t>
  </si>
  <si>
    <t>2023/05/25</t>
  </si>
  <si>
    <t>5/27</t>
  </si>
  <si>
    <t>251.1</t>
  </si>
  <si>
    <t>230.0000</t>
  </si>
  <si>
    <t>211.8</t>
  </si>
  <si>
    <t>217.5</t>
  </si>
  <si>
    <t>255.9</t>
  </si>
  <si>
    <t>7/4</t>
  </si>
  <si>
    <t>266.5</t>
  </si>
  <si>
    <t>213.0</t>
  </si>
  <si>
    <t>218.0</t>
  </si>
  <si>
    <t>2023/07</t>
  </si>
  <si>
    <t>2022/07/26</t>
  </si>
  <si>
    <t>2023/07/25</t>
  </si>
  <si>
    <t>7/28</t>
  </si>
  <si>
    <t>239.0</t>
  </si>
  <si>
    <t>8/10</t>
  </si>
  <si>
    <t>246.2</t>
  </si>
  <si>
    <t>219.0</t>
  </si>
  <si>
    <t>224.5</t>
  </si>
  <si>
    <t>10/14</t>
  </si>
  <si>
    <t>239.9</t>
  </si>
  <si>
    <t>220.5</t>
  </si>
  <si>
    <t>2023/09</t>
  </si>
  <si>
    <t>2022/09/27</t>
  </si>
  <si>
    <t>2023/09/25</t>
  </si>
  <si>
    <t>9/27</t>
  </si>
  <si>
    <t>10/13</t>
  </si>
  <si>
    <t>243.7</t>
  </si>
  <si>
    <t>221.0</t>
  </si>
  <si>
    <t>225.0</t>
  </si>
  <si>
    <t>10/28</t>
  </si>
  <si>
    <t>240.0</t>
  </si>
  <si>
    <t>11/22</t>
  </si>
  <si>
    <t>219.9</t>
  </si>
  <si>
    <t>12/15</t>
  </si>
  <si>
    <t>234.5</t>
  </si>
  <si>
    <t>2023/11</t>
  </si>
  <si>
    <t>2022/11/25</t>
  </si>
  <si>
    <t>2023/11/24</t>
  </si>
  <si>
    <t>239.8</t>
  </si>
  <si>
    <t>12/9</t>
  </si>
  <si>
    <t>245.7</t>
  </si>
  <si>
    <t>12/7</t>
  </si>
  <si>
    <t>221.8</t>
  </si>
  <si>
    <t>226.5</t>
  </si>
  <si>
    <t>235.0</t>
  </si>
  <si>
    <t>ゴム（TSR20）先物</t>
  </si>
  <si>
    <t>TSR20 Rubber Futures</t>
  </si>
  <si>
    <t>2021/08/02</t>
  </si>
  <si>
    <t>2022/01/31</t>
  </si>
  <si>
    <t>2021/09/01</t>
  </si>
  <si>
    <t>2022/02/28</t>
  </si>
  <si>
    <t>2022/03/31</t>
  </si>
  <si>
    <t>202.0</t>
  </si>
  <si>
    <t>209.5</t>
  </si>
  <si>
    <t>204.6000</t>
  </si>
  <si>
    <t>197.1</t>
  </si>
  <si>
    <t>2022/04/28</t>
  </si>
  <si>
    <t>202.9</t>
  </si>
  <si>
    <t>208.4</t>
  </si>
  <si>
    <t>196.1</t>
  </si>
  <si>
    <t>202.7</t>
  </si>
  <si>
    <t>2022/05/31</t>
  </si>
  <si>
    <t>200.2</t>
  </si>
  <si>
    <t>207.0</t>
  </si>
  <si>
    <t>200.1</t>
  </si>
  <si>
    <t>205.0</t>
  </si>
  <si>
    <t>2022/06/30</t>
  </si>
  <si>
    <t>206.5</t>
  </si>
  <si>
    <t>217.2</t>
  </si>
  <si>
    <t>204.7</t>
  </si>
  <si>
    <t>2022/07/29</t>
  </si>
  <si>
    <t>220.1</t>
  </si>
  <si>
    <t>5/9</t>
  </si>
  <si>
    <t>204.6</t>
  </si>
  <si>
    <t>5/18</t>
  </si>
  <si>
    <t>2022/08/31</t>
  </si>
  <si>
    <t>5/6</t>
  </si>
  <si>
    <t>209.4</t>
  </si>
  <si>
    <t>6/23</t>
  </si>
  <si>
    <t>212.2</t>
  </si>
  <si>
    <t>2021/10/01</t>
  </si>
  <si>
    <t>2022/09/30</t>
  </si>
  <si>
    <t>211.7</t>
  </si>
  <si>
    <t>6/10</t>
  </si>
  <si>
    <t>222.2</t>
  </si>
  <si>
    <t>215.8</t>
  </si>
  <si>
    <t>2021/11/01</t>
  </si>
  <si>
    <t>2022/10/31</t>
  </si>
  <si>
    <t>192.1</t>
  </si>
  <si>
    <t>192.2</t>
  </si>
  <si>
    <t>2021/12/01</t>
  </si>
  <si>
    <t>2022/11/30</t>
  </si>
  <si>
    <t>8/19</t>
  </si>
  <si>
    <t>194.3</t>
  </si>
  <si>
    <t>9/6</t>
  </si>
  <si>
    <t>180.5</t>
  </si>
  <si>
    <t>184.6</t>
  </si>
  <si>
    <t>2022/12/30</t>
  </si>
  <si>
    <t>186.0</t>
  </si>
  <si>
    <t>191.5</t>
  </si>
  <si>
    <t>185.0</t>
  </si>
  <si>
    <t>189.5</t>
  </si>
  <si>
    <t>2023/01/31</t>
  </si>
  <si>
    <t>192.4</t>
  </si>
  <si>
    <t>189.3</t>
  </si>
  <si>
    <t>2023/02/28</t>
  </si>
  <si>
    <t>11/16</t>
  </si>
  <si>
    <t>178.7</t>
  </si>
  <si>
    <t>12/19</t>
  </si>
  <si>
    <t>189.9</t>
  </si>
  <si>
    <t>186.2</t>
  </si>
  <si>
    <t>2023/03/31</t>
  </si>
  <si>
    <t>12/5</t>
  </si>
  <si>
    <t>180.1</t>
  </si>
  <si>
    <t>175.9</t>
  </si>
  <si>
    <t>2023/04/28</t>
  </si>
  <si>
    <t>2023/05/31</t>
  </si>
  <si>
    <t>2023/06/30</t>
  </si>
  <si>
    <t>2023/07/31</t>
  </si>
  <si>
    <t>2023/08/31</t>
  </si>
  <si>
    <t>2023/09/29</t>
  </si>
  <si>
    <t>2023/10/31</t>
  </si>
  <si>
    <t>2023/11/30</t>
  </si>
  <si>
    <t>とうもろこし先物</t>
  </si>
  <si>
    <t>Corn Futures</t>
  </si>
  <si>
    <t>2021/02/16</t>
  </si>
  <si>
    <t>2022/02/15</t>
  </si>
  <si>
    <t>39,710</t>
  </si>
  <si>
    <t>2/9</t>
  </si>
  <si>
    <t>51,920</t>
  </si>
  <si>
    <t>51,920.0000</t>
  </si>
  <si>
    <t>40,610.0000</t>
  </si>
  <si>
    <t>2021/04/16</t>
  </si>
  <si>
    <t>2022/04/15</t>
  </si>
  <si>
    <t>40,710</t>
  </si>
  <si>
    <t>60,000</t>
  </si>
  <si>
    <t>60,000.0000</t>
  </si>
  <si>
    <t>40,010</t>
  </si>
  <si>
    <t>40,500.0000</t>
  </si>
  <si>
    <t>2021/06/16</t>
  </si>
  <si>
    <t>2022/06/15</t>
  </si>
  <si>
    <t>40,990</t>
  </si>
  <si>
    <t>60,040</t>
  </si>
  <si>
    <t>59,000.0000</t>
  </si>
  <si>
    <t>1/14</t>
  </si>
  <si>
    <t>40,200</t>
  </si>
  <si>
    <t>56,330.0000</t>
  </si>
  <si>
    <t>6/2</t>
  </si>
  <si>
    <t>57,780</t>
  </si>
  <si>
    <t>2021/08/16</t>
  </si>
  <si>
    <t>2022/08/15</t>
  </si>
  <si>
    <t>40,080</t>
  </si>
  <si>
    <t>8/8</t>
  </si>
  <si>
    <t>65,950</t>
  </si>
  <si>
    <t>65,950.0000</t>
  </si>
  <si>
    <t>39,600</t>
  </si>
  <si>
    <t>5/10</t>
  </si>
  <si>
    <t>2021/10/18</t>
  </si>
  <si>
    <t>2022/10/14</t>
  </si>
  <si>
    <t>39,220</t>
  </si>
  <si>
    <t>5/2</t>
  </si>
  <si>
    <t>56,570</t>
  </si>
  <si>
    <t>57,070.0000</t>
  </si>
  <si>
    <t>10/5</t>
  </si>
  <si>
    <t>38,150</t>
  </si>
  <si>
    <t>38,160.0000</t>
  </si>
  <si>
    <t>38,160</t>
  </si>
  <si>
    <t>2021/12/16</t>
  </si>
  <si>
    <t>2022/12/15</t>
  </si>
  <si>
    <t>39,890</t>
  </si>
  <si>
    <t>12/2</t>
  </si>
  <si>
    <t>60,730</t>
  </si>
  <si>
    <t>59,990.0000</t>
  </si>
  <si>
    <t>39,200</t>
  </si>
  <si>
    <t>43,100.0000</t>
  </si>
  <si>
    <t>59,990</t>
  </si>
  <si>
    <t>2022/02/16</t>
  </si>
  <si>
    <t>2023/02/15</t>
  </si>
  <si>
    <t>42,790</t>
  </si>
  <si>
    <t>58,510</t>
  </si>
  <si>
    <t>4/27</t>
  </si>
  <si>
    <t>56,310.0000</t>
  </si>
  <si>
    <t>42,300</t>
  </si>
  <si>
    <t>49,690.0000</t>
  </si>
  <si>
    <t>46,260</t>
  </si>
  <si>
    <t>2022/04/18</t>
  </si>
  <si>
    <t>2023/04/14</t>
  </si>
  <si>
    <t>56,790</t>
  </si>
  <si>
    <t>59,600</t>
  </si>
  <si>
    <t>53,200.0000</t>
  </si>
  <si>
    <t>43,980</t>
  </si>
  <si>
    <t>47,000.0000</t>
  </si>
  <si>
    <t>46,500</t>
  </si>
  <si>
    <t>2022/06/16</t>
  </si>
  <si>
    <t>2023/06/15</t>
  </si>
  <si>
    <t>55,900</t>
  </si>
  <si>
    <t>56,740</t>
  </si>
  <si>
    <t>50,500.0000</t>
  </si>
  <si>
    <t>7/22</t>
  </si>
  <si>
    <t>43,610</t>
  </si>
  <si>
    <t>46,160.0000</t>
  </si>
  <si>
    <t>2022/08/16</t>
  </si>
  <si>
    <t>2023/08/15</t>
  </si>
  <si>
    <t>45,980</t>
  </si>
  <si>
    <t>51,740</t>
  </si>
  <si>
    <t>50,240.0000</t>
  </si>
  <si>
    <t>44,300</t>
  </si>
  <si>
    <t>46,000</t>
  </si>
  <si>
    <t>2022/10/17</t>
  </si>
  <si>
    <t>2023/10/13</t>
  </si>
  <si>
    <t>51,630</t>
  </si>
  <si>
    <t>43,810</t>
  </si>
  <si>
    <t>46,140</t>
  </si>
  <si>
    <t>2024/01</t>
  </si>
  <si>
    <t>2022/12/16</t>
  </si>
  <si>
    <t>2023/12/15</t>
  </si>
  <si>
    <t>45,780</t>
  </si>
  <si>
    <t>46,470</t>
  </si>
  <si>
    <t>42,750</t>
  </si>
  <si>
    <t>44,850</t>
  </si>
  <si>
    <t>一般大豆先物</t>
  </si>
  <si>
    <t>Soybean Futures</t>
  </si>
  <si>
    <t>小豆先物</t>
  </si>
  <si>
    <t>Azuki (Red Bean) Futures</t>
  </si>
  <si>
    <t>2021/07/28</t>
  </si>
  <si>
    <t>2021/09/28</t>
  </si>
  <si>
    <t>2021/11/26</t>
  </si>
  <si>
    <t>2022/01/27</t>
  </si>
  <si>
    <t>2022/03/29</t>
  </si>
  <si>
    <t>2022/05/27</t>
  </si>
  <si>
    <t>2022/12/21</t>
  </si>
  <si>
    <t>2022/07/27</t>
  </si>
  <si>
    <t>2023/01/26</t>
  </si>
  <si>
    <t>2022/09/28</t>
  </si>
  <si>
    <t>2023/03/28</t>
  </si>
  <si>
    <t>2022/11/28</t>
  </si>
  <si>
    <t>2023/05/26</t>
  </si>
  <si>
    <t>年末日：</t>
    <rPh sb="0" eb="2">
      <t>ネンマツ</t>
    </rPh>
    <rPh sb="2" eb="3">
      <t>ビ</t>
    </rPh>
    <phoneticPr fontId="6"/>
  </si>
  <si>
    <t>（株）東京商品取引所</t>
    <phoneticPr fontId="6"/>
  </si>
  <si>
    <t>取引単位</t>
    <phoneticPr fontId="6"/>
  </si>
  <si>
    <t>平均帳入値段
（円）</t>
    <phoneticPr fontId="6"/>
  </si>
  <si>
    <t>取組高
（単位）</t>
    <phoneticPr fontId="6"/>
  </si>
  <si>
    <t>立会
日数</t>
    <phoneticPr fontId="6"/>
  </si>
  <si>
    <t>始　値（円）</t>
    <phoneticPr fontId="6"/>
  </si>
  <si>
    <t>高　値（円）</t>
    <phoneticPr fontId="6"/>
  </si>
  <si>
    <t>安　値（円）</t>
    <phoneticPr fontId="6"/>
  </si>
  <si>
    <t>終　値（円）</t>
    <phoneticPr fontId="6"/>
  </si>
  <si>
    <t>うち立会外
取引（単位）</t>
    <phoneticPr fontId="6"/>
  </si>
  <si>
    <t>うち立会外
取引（円）</t>
    <phoneticPr fontId="6"/>
  </si>
  <si>
    <t>うち立会外（円）</t>
    <phoneticPr fontId="6"/>
  </si>
  <si>
    <t>Trading
unit</t>
    <phoneticPr fontId="6"/>
  </si>
  <si>
    <t>Open(￥)</t>
    <phoneticPr fontId="6"/>
  </si>
  <si>
    <t>High(￥)</t>
    <phoneticPr fontId="6"/>
  </si>
  <si>
    <t>Block Trades(￥)</t>
    <phoneticPr fontId="6"/>
  </si>
  <si>
    <t>Low(￥)</t>
    <phoneticPr fontId="6"/>
  </si>
  <si>
    <t>Close(￥)</t>
    <phoneticPr fontId="6"/>
  </si>
  <si>
    <t>Average
Settlement
Price(￥)</t>
    <phoneticPr fontId="6"/>
  </si>
  <si>
    <t>Block Trades(unit)</t>
    <phoneticPr fontId="6"/>
  </si>
  <si>
    <t>バージガソリン先物</t>
  </si>
  <si>
    <t>Gasoline Futures</t>
  </si>
  <si>
    <t>2021/07/26</t>
  </si>
  <si>
    <t>71,510</t>
  </si>
  <si>
    <t>74,770</t>
  </si>
  <si>
    <t>76,500.0000</t>
  </si>
  <si>
    <t>71,270</t>
  </si>
  <si>
    <t>71,500.0000</t>
  </si>
  <si>
    <t>74,000</t>
  </si>
  <si>
    <t>2022/02/25</t>
  </si>
  <si>
    <t>70,490</t>
  </si>
  <si>
    <t>82,500</t>
  </si>
  <si>
    <t>81,800.0000</t>
  </si>
  <si>
    <t>70,660.0000</t>
  </si>
  <si>
    <t>79,000</t>
  </si>
  <si>
    <t>70,410</t>
  </si>
  <si>
    <t>92,000</t>
  </si>
  <si>
    <t>92,000.0000</t>
  </si>
  <si>
    <t>71,450.0000</t>
  </si>
  <si>
    <t>3/23</t>
  </si>
  <si>
    <t>78,000</t>
  </si>
  <si>
    <t>70,570</t>
  </si>
  <si>
    <t>91,190</t>
  </si>
  <si>
    <t>78,000.0000</t>
  </si>
  <si>
    <t>74,000.0000</t>
  </si>
  <si>
    <t>69,800</t>
  </si>
  <si>
    <t>95,330</t>
  </si>
  <si>
    <t>3/22</t>
  </si>
  <si>
    <t>85,500.0000</t>
  </si>
  <si>
    <t>73,000.0000</t>
  </si>
  <si>
    <t>75,800</t>
  </si>
  <si>
    <t>2021/12/27</t>
  </si>
  <si>
    <t>69,990</t>
  </si>
  <si>
    <t>93,050</t>
  </si>
  <si>
    <t>69,870</t>
  </si>
  <si>
    <t>74,910.0000</t>
  </si>
  <si>
    <t>85,500</t>
  </si>
  <si>
    <t>73,360</t>
  </si>
  <si>
    <t>93,730</t>
  </si>
  <si>
    <t>85,900.0000</t>
  </si>
  <si>
    <t>72,620</t>
  </si>
  <si>
    <t>74,790.0000</t>
  </si>
  <si>
    <t>78,180</t>
  </si>
  <si>
    <t>80,250</t>
  </si>
  <si>
    <t>94,000</t>
  </si>
  <si>
    <t>79,000.0000</t>
  </si>
  <si>
    <t>5/19</t>
  </si>
  <si>
    <t>73,600</t>
  </si>
  <si>
    <t>78,370.0000</t>
  </si>
  <si>
    <t>2022/09/22</t>
  </si>
  <si>
    <t>4/8</t>
  </si>
  <si>
    <t>83,290</t>
  </si>
  <si>
    <t>74,440</t>
  </si>
  <si>
    <t>9/8</t>
  </si>
  <si>
    <t>78,950</t>
  </si>
  <si>
    <t>75,000</t>
  </si>
  <si>
    <t>7/5</t>
  </si>
  <si>
    <t>89,500</t>
  </si>
  <si>
    <t>75,600.0000</t>
  </si>
  <si>
    <t>72,500.0000</t>
  </si>
  <si>
    <t>75,600</t>
  </si>
  <si>
    <t>77,010</t>
  </si>
  <si>
    <t>90,470</t>
  </si>
  <si>
    <t>74,700.0000</t>
  </si>
  <si>
    <t>72,900</t>
  </si>
  <si>
    <t>72,900.0000</t>
  </si>
  <si>
    <t>93,000</t>
  </si>
  <si>
    <t>77,000</t>
  </si>
  <si>
    <t>84,000</t>
  </si>
  <si>
    <t>9/12</t>
  </si>
  <si>
    <t>80,510</t>
  </si>
  <si>
    <t>2023/02/24</t>
  </si>
  <si>
    <t>10/7</t>
  </si>
  <si>
    <t>79,500</t>
  </si>
  <si>
    <t>2023/03/24</t>
  </si>
  <si>
    <t>2023/06/23</t>
  </si>
  <si>
    <t>バージ灯油先物</t>
  </si>
  <si>
    <t>Kerosene Futures</t>
  </si>
  <si>
    <t>73,200</t>
  </si>
  <si>
    <t>78,500</t>
  </si>
  <si>
    <t>72,600</t>
  </si>
  <si>
    <t>82,490.0000</t>
  </si>
  <si>
    <t>72,000</t>
  </si>
  <si>
    <t>90,420</t>
  </si>
  <si>
    <t>90,420.0000</t>
  </si>
  <si>
    <t>70,000.0000</t>
  </si>
  <si>
    <t>71,360</t>
  </si>
  <si>
    <t>91,250</t>
  </si>
  <si>
    <t>89,160.0000</t>
  </si>
  <si>
    <t>76,000</t>
  </si>
  <si>
    <t>71,430</t>
  </si>
  <si>
    <t>81,390</t>
  </si>
  <si>
    <t>77,020.0000</t>
  </si>
  <si>
    <t>71,200</t>
  </si>
  <si>
    <t>74,500.0000</t>
  </si>
  <si>
    <t>74,500</t>
  </si>
  <si>
    <t>71,030</t>
  </si>
  <si>
    <t>81,000</t>
  </si>
  <si>
    <t>2/7</t>
  </si>
  <si>
    <t>79,670.0000</t>
  </si>
  <si>
    <t>74,970</t>
  </si>
  <si>
    <t>90,380</t>
  </si>
  <si>
    <t>78,780.0000</t>
  </si>
  <si>
    <t>77,500.0000</t>
  </si>
  <si>
    <t>75,500</t>
  </si>
  <si>
    <t>84,540</t>
  </si>
  <si>
    <t>89,570</t>
  </si>
  <si>
    <t>89,490.0000</t>
  </si>
  <si>
    <t>74,250</t>
  </si>
  <si>
    <t>4/13</t>
  </si>
  <si>
    <t>83,200</t>
  </si>
  <si>
    <t>83,450</t>
  </si>
  <si>
    <t>6/17</t>
  </si>
  <si>
    <t>83,450.0000</t>
  </si>
  <si>
    <t>77,050.0000</t>
  </si>
  <si>
    <t>9/14</t>
  </si>
  <si>
    <t>78,900</t>
  </si>
  <si>
    <t>5/12</t>
  </si>
  <si>
    <t>79,680</t>
  </si>
  <si>
    <t>84,000.0000</t>
  </si>
  <si>
    <t>77,000.0000</t>
  </si>
  <si>
    <t>83,990</t>
  </si>
  <si>
    <t>85,000</t>
  </si>
  <si>
    <t>11/21</t>
  </si>
  <si>
    <t>78,760.0000</t>
  </si>
  <si>
    <t>78,880</t>
  </si>
  <si>
    <t>11/25</t>
  </si>
  <si>
    <t>76,800.0000</t>
  </si>
  <si>
    <t>7/8</t>
  </si>
  <si>
    <t>81,480</t>
  </si>
  <si>
    <t>88,750</t>
  </si>
  <si>
    <t>79,500.0000</t>
  </si>
  <si>
    <t>81,460</t>
  </si>
  <si>
    <t>84,840</t>
  </si>
  <si>
    <t>83,000</t>
  </si>
  <si>
    <t>バージ軽油先物</t>
  </si>
  <si>
    <t>Gas Oil Futures</t>
  </si>
  <si>
    <t>プラッツドバイ原油先物</t>
  </si>
  <si>
    <t>Platts Dubai Crude Oil Futures</t>
  </si>
  <si>
    <t>56,000</t>
  </si>
  <si>
    <t>60,850</t>
  </si>
  <si>
    <t>60,400.0000</t>
  </si>
  <si>
    <t>55,780</t>
  </si>
  <si>
    <t>56,350.0000</t>
  </si>
  <si>
    <t>60,300</t>
  </si>
  <si>
    <t>54,820</t>
  </si>
  <si>
    <t>67,660</t>
  </si>
  <si>
    <t>67,150.0000</t>
  </si>
  <si>
    <t>55,150.0000</t>
  </si>
  <si>
    <t>67,000</t>
  </si>
  <si>
    <t>54,790</t>
  </si>
  <si>
    <t>90,690</t>
  </si>
  <si>
    <t>3/29</t>
  </si>
  <si>
    <t>83,830.0000</t>
  </si>
  <si>
    <t>54,610</t>
  </si>
  <si>
    <t>56,190.0000</t>
  </si>
  <si>
    <t>82,550</t>
  </si>
  <si>
    <t>54,520</t>
  </si>
  <si>
    <t>89,370</t>
  </si>
  <si>
    <t>88,000.0000</t>
  </si>
  <si>
    <t>54,270</t>
  </si>
  <si>
    <t>55,710.0000</t>
  </si>
  <si>
    <t>81,250</t>
  </si>
  <si>
    <t>54,040</t>
  </si>
  <si>
    <t>89,000</t>
  </si>
  <si>
    <t>5/30</t>
  </si>
  <si>
    <t>87,550.0000</t>
  </si>
  <si>
    <t>53,630</t>
  </si>
  <si>
    <t>51,780.0000</t>
  </si>
  <si>
    <t>5/31</t>
  </si>
  <si>
    <t>87,730</t>
  </si>
  <si>
    <t>53,620</t>
  </si>
  <si>
    <t>100,000</t>
  </si>
  <si>
    <t>98,130.0000</t>
  </si>
  <si>
    <t>53,570</t>
  </si>
  <si>
    <t>51,280.0000</t>
  </si>
  <si>
    <t>6/30</t>
  </si>
  <si>
    <t>95,500</t>
  </si>
  <si>
    <t>54,190</t>
  </si>
  <si>
    <t>6/15</t>
  </si>
  <si>
    <t>97,790</t>
  </si>
  <si>
    <t>96,940.0000</t>
  </si>
  <si>
    <t>3/18</t>
  </si>
  <si>
    <t>51,000.0000</t>
  </si>
  <si>
    <t>7/29</t>
  </si>
  <si>
    <t>88,500</t>
  </si>
  <si>
    <t>57,280</t>
  </si>
  <si>
    <t>95,000</t>
  </si>
  <si>
    <t>94,880.0000</t>
  </si>
  <si>
    <t>63,900.0000</t>
  </si>
  <si>
    <t>82,030</t>
  </si>
  <si>
    <t>59,350</t>
  </si>
  <si>
    <t>92,820</t>
  </si>
  <si>
    <t>92,600.0000</t>
  </si>
  <si>
    <t>72,200.0000</t>
  </si>
  <si>
    <t>81,800</t>
  </si>
  <si>
    <t>2/8</t>
  </si>
  <si>
    <t>59,500</t>
  </si>
  <si>
    <t>91,050</t>
  </si>
  <si>
    <t>90,620.0000</t>
  </si>
  <si>
    <t>73,140.0000</t>
  </si>
  <si>
    <t>84,280</t>
  </si>
  <si>
    <t>53,880</t>
  </si>
  <si>
    <t>89,400</t>
  </si>
  <si>
    <t>88,730.0000</t>
  </si>
  <si>
    <t>71,510.0000</t>
  </si>
  <si>
    <t>77,100</t>
  </si>
  <si>
    <t>51,480</t>
  </si>
  <si>
    <t>88,050</t>
  </si>
  <si>
    <t>89,050.0000</t>
  </si>
  <si>
    <t>65,210.0000</t>
  </si>
  <si>
    <t>65,640</t>
  </si>
  <si>
    <t>51,330</t>
  </si>
  <si>
    <t>84,500</t>
  </si>
  <si>
    <t>81,940.0000</t>
  </si>
  <si>
    <t>51,270</t>
  </si>
  <si>
    <t>61,950.0000</t>
  </si>
  <si>
    <t>65,520</t>
  </si>
  <si>
    <t>50,630</t>
  </si>
  <si>
    <t>11/7</t>
  </si>
  <si>
    <t>80,950</t>
  </si>
  <si>
    <t>50,620</t>
  </si>
  <si>
    <t>61,900.0000</t>
  </si>
  <si>
    <t>65,000</t>
  </si>
  <si>
    <t>50,350</t>
  </si>
  <si>
    <t>79,930</t>
  </si>
  <si>
    <t>78,910.0000</t>
  </si>
  <si>
    <t>61,610.0000</t>
  </si>
  <si>
    <t>64,450</t>
  </si>
  <si>
    <t>54,380</t>
  </si>
  <si>
    <t>78,600</t>
  </si>
  <si>
    <t>77,220.0000</t>
  </si>
  <si>
    <t>53,670</t>
  </si>
  <si>
    <t>56,930.0000</t>
  </si>
  <si>
    <t>63,810</t>
  </si>
  <si>
    <t>56,710</t>
  </si>
  <si>
    <t>74,940.0000</t>
  </si>
  <si>
    <t>56,660</t>
  </si>
  <si>
    <t>60,290.0000</t>
  </si>
  <si>
    <t>63,170</t>
  </si>
  <si>
    <t>64,830</t>
  </si>
  <si>
    <t>79,850</t>
  </si>
  <si>
    <t>62,630.0000</t>
  </si>
  <si>
    <t>62,660</t>
  </si>
  <si>
    <t>70,510</t>
  </si>
  <si>
    <t>77,070</t>
  </si>
  <si>
    <t>12/8</t>
  </si>
  <si>
    <t>61,750</t>
  </si>
  <si>
    <t>69,150</t>
  </si>
  <si>
    <t>78,100</t>
  </si>
  <si>
    <t>62,630</t>
  </si>
  <si>
    <t>68,000</t>
  </si>
  <si>
    <t>7/1</t>
  </si>
  <si>
    <t>68,140</t>
  </si>
  <si>
    <t>69,880</t>
  </si>
  <si>
    <t>62,220</t>
  </si>
  <si>
    <t>57,980.0000</t>
  </si>
  <si>
    <t>69,450</t>
  </si>
  <si>
    <t>8/5</t>
  </si>
  <si>
    <t>65,650</t>
  </si>
  <si>
    <t>71,090</t>
  </si>
  <si>
    <t>62,800</t>
  </si>
  <si>
    <t>11/9</t>
  </si>
  <si>
    <t>66,710</t>
  </si>
  <si>
    <t>10/21</t>
  </si>
  <si>
    <t>69,050</t>
  </si>
  <si>
    <t>61,500</t>
  </si>
  <si>
    <t>2023/12/29</t>
  </si>
  <si>
    <t>68,050</t>
  </si>
  <si>
    <t>68,300</t>
  </si>
  <si>
    <t>72,400.0000</t>
  </si>
  <si>
    <t>66,370</t>
  </si>
  <si>
    <t>2024/01/31</t>
  </si>
  <si>
    <t>67,980</t>
  </si>
  <si>
    <t>59,770</t>
  </si>
  <si>
    <t>64,370</t>
  </si>
  <si>
    <t>2024/02</t>
  </si>
  <si>
    <t>2024/02/29</t>
  </si>
  <si>
    <t>12/6</t>
  </si>
  <si>
    <t>61,000</t>
  </si>
  <si>
    <t>65,040.0000</t>
  </si>
  <si>
    <t>56,490</t>
  </si>
  <si>
    <t>59,360</t>
  </si>
  <si>
    <t>東エリア・ベースロード電力先物</t>
  </si>
  <si>
    <t>East Area Baseload Electricity Futures</t>
  </si>
  <si>
    <t>2020/11/02</t>
  </si>
  <si>
    <t>2022/01/28</t>
  </si>
  <si>
    <t>25.00</t>
  </si>
  <si>
    <t>26.50</t>
  </si>
  <si>
    <t>2020/11/30</t>
  </si>
  <si>
    <t>23.05</t>
  </si>
  <si>
    <t>24.00</t>
  </si>
  <si>
    <t>24.8000</t>
  </si>
  <si>
    <t>21.00</t>
  </si>
  <si>
    <t>23.8000</t>
  </si>
  <si>
    <t>2021/01/04</t>
  </si>
  <si>
    <t>2022/03/30</t>
  </si>
  <si>
    <t>16.80</t>
  </si>
  <si>
    <t>18.50</t>
  </si>
  <si>
    <t>3/28</t>
  </si>
  <si>
    <t>39.0000</t>
  </si>
  <si>
    <t>16.50</t>
  </si>
  <si>
    <t>3/2</t>
  </si>
  <si>
    <t>15.5000</t>
  </si>
  <si>
    <t>2021/02/01</t>
  </si>
  <si>
    <t>25.65</t>
  </si>
  <si>
    <t>27.00</t>
  </si>
  <si>
    <t>27.0000</t>
  </si>
  <si>
    <t>3/16</t>
  </si>
  <si>
    <t>24.8500</t>
  </si>
  <si>
    <t>3/17</t>
  </si>
  <si>
    <t>2021/03/01</t>
  </si>
  <si>
    <t>2022/05/30</t>
  </si>
  <si>
    <t>25.15</t>
  </si>
  <si>
    <t>22.10</t>
  </si>
  <si>
    <t>2021/03/31</t>
  </si>
  <si>
    <t>2022/06/29</t>
  </si>
  <si>
    <t>5/16</t>
  </si>
  <si>
    <t>24.50</t>
  </si>
  <si>
    <t>28.5000</t>
  </si>
  <si>
    <t>23.0000</t>
  </si>
  <si>
    <t>2021/04/30</t>
  </si>
  <si>
    <t>29.40</t>
  </si>
  <si>
    <t>34.00</t>
  </si>
  <si>
    <t>38.0000</t>
  </si>
  <si>
    <t>30.00</t>
  </si>
  <si>
    <t>2021/05/31</t>
  </si>
  <si>
    <t>2022/08/30</t>
  </si>
  <si>
    <t>34.24</t>
  </si>
  <si>
    <t>44.00</t>
  </si>
  <si>
    <t>39.9000</t>
  </si>
  <si>
    <t>37.00</t>
  </si>
  <si>
    <t>2021/06/30</t>
  </si>
  <si>
    <t>2022/09/29</t>
  </si>
  <si>
    <t>38.00</t>
  </si>
  <si>
    <t>7/14</t>
  </si>
  <si>
    <t>35.0000</t>
  </si>
  <si>
    <t>14.1500</t>
  </si>
  <si>
    <t>35.00</t>
  </si>
  <si>
    <t>2022/10/28</t>
  </si>
  <si>
    <t>39.00</t>
  </si>
  <si>
    <t>39.5000</t>
  </si>
  <si>
    <t>9/21</t>
  </si>
  <si>
    <t>2021/08/31</t>
  </si>
  <si>
    <t>2022/11/29</t>
  </si>
  <si>
    <t>23.00</t>
  </si>
  <si>
    <t>40.25</t>
  </si>
  <si>
    <t>29.00</t>
  </si>
  <si>
    <t>2021/09/30</t>
  </si>
  <si>
    <t>46.00</t>
  </si>
  <si>
    <t>43.0000</t>
  </si>
  <si>
    <t>2023/01/30</t>
  </si>
  <si>
    <t>49.00</t>
  </si>
  <si>
    <t>47.9000</t>
  </si>
  <si>
    <t>2021/11/30</t>
  </si>
  <si>
    <t>2023/02/27</t>
  </si>
  <si>
    <t>16.00</t>
  </si>
  <si>
    <t>45.00</t>
  </si>
  <si>
    <t>43.5000</t>
  </si>
  <si>
    <t>2023/03/30</t>
  </si>
  <si>
    <t>28.00</t>
  </si>
  <si>
    <t>35.50</t>
  </si>
  <si>
    <t>34.5000</t>
  </si>
  <si>
    <t>23.50</t>
  </si>
  <si>
    <t>31.5000</t>
  </si>
  <si>
    <t>26.9500</t>
  </si>
  <si>
    <t>2023/05/30</t>
  </si>
  <si>
    <t>28.0000</t>
  </si>
  <si>
    <t>2023/06/29</t>
  </si>
  <si>
    <t>31.9500</t>
  </si>
  <si>
    <t>2023/07/28</t>
  </si>
  <si>
    <t>39.3000</t>
  </si>
  <si>
    <t>2023/08/30</t>
  </si>
  <si>
    <t>43.4500</t>
  </si>
  <si>
    <t>36.0000</t>
  </si>
  <si>
    <t>2023/10/30</t>
  </si>
  <si>
    <t>31.7000</t>
  </si>
  <si>
    <t>2023/11/29</t>
  </si>
  <si>
    <t>33.1000</t>
  </si>
  <si>
    <t>37.6500</t>
  </si>
  <si>
    <t>2024/01/30</t>
  </si>
  <si>
    <t>38.8000</t>
  </si>
  <si>
    <t>2024/02/28</t>
  </si>
  <si>
    <t>37.5500</t>
  </si>
  <si>
    <t>2024/03</t>
  </si>
  <si>
    <t>2024/03/29</t>
  </si>
  <si>
    <t>2024/04</t>
  </si>
  <si>
    <t>2024/04/26</t>
  </si>
  <si>
    <t>2024/05</t>
  </si>
  <si>
    <t>2024/05/30</t>
  </si>
  <si>
    <t>2024/06</t>
  </si>
  <si>
    <t>2024/06/28</t>
  </si>
  <si>
    <t>2024/07</t>
  </si>
  <si>
    <t>2024/07/30</t>
  </si>
  <si>
    <t>2024/08</t>
  </si>
  <si>
    <t>2024/08/30</t>
  </si>
  <si>
    <t>2024/09</t>
  </si>
  <si>
    <t>2024/09/27</t>
  </si>
  <si>
    <t>2024/10</t>
  </si>
  <si>
    <t>2024/10/30</t>
  </si>
  <si>
    <t>2024/11</t>
  </si>
  <si>
    <t>2024/11/29</t>
  </si>
  <si>
    <t>西エリア・ベースロード電力先物</t>
  </si>
  <si>
    <t>West Area Baseload Electricity Futures</t>
  </si>
  <si>
    <t>16.70</t>
  </si>
  <si>
    <t>3/3</t>
  </si>
  <si>
    <t>22.0000</t>
  </si>
  <si>
    <t>20.0000</t>
  </si>
  <si>
    <t>15.6800</t>
  </si>
  <si>
    <t>17.00</t>
  </si>
  <si>
    <t>14.5500</t>
  </si>
  <si>
    <t>19.50</t>
  </si>
  <si>
    <t>19.60</t>
  </si>
  <si>
    <t>25.5000</t>
  </si>
  <si>
    <t>20.00</t>
  </si>
  <si>
    <t>5/20</t>
  </si>
  <si>
    <t>22.50</t>
  </si>
  <si>
    <t>28.50</t>
  </si>
  <si>
    <t>36.5000</t>
  </si>
  <si>
    <t>32.37</t>
  </si>
  <si>
    <t>9/1</t>
  </si>
  <si>
    <t>32.00</t>
  </si>
  <si>
    <t>36.3500</t>
  </si>
  <si>
    <t>9/28</t>
  </si>
  <si>
    <t>7/20</t>
  </si>
  <si>
    <t>30.73</t>
  </si>
  <si>
    <t>9/13</t>
  </si>
  <si>
    <t>38.50</t>
  </si>
  <si>
    <t>11/17</t>
  </si>
  <si>
    <t>7/12</t>
  </si>
  <si>
    <t>41.0000</t>
  </si>
  <si>
    <t>12/13</t>
  </si>
  <si>
    <t>37.5000</t>
  </si>
  <si>
    <t>26.00</t>
  </si>
  <si>
    <t>22.00</t>
  </si>
  <si>
    <t>26.0000</t>
  </si>
  <si>
    <t>24.9000</t>
  </si>
  <si>
    <t>東エリア・日中ロード電力先物</t>
  </si>
  <si>
    <t>East Area Peakload Electricity Futures</t>
  </si>
  <si>
    <t>2020/10/30</t>
  </si>
  <si>
    <t>1/7</t>
  </si>
  <si>
    <t>2020/12/29</t>
  </si>
  <si>
    <t>19.0000</t>
  </si>
  <si>
    <t>18.7000</t>
  </si>
  <si>
    <t>2021/01/29</t>
  </si>
  <si>
    <t>2022/04/27</t>
  </si>
  <si>
    <t>28.90</t>
  </si>
  <si>
    <t>27.90</t>
  </si>
  <si>
    <t>2021/02/26</t>
  </si>
  <si>
    <t>26.90</t>
  </si>
  <si>
    <t>25.40</t>
  </si>
  <si>
    <t>27.2000</t>
  </si>
  <si>
    <t>2022/07/28</t>
  </si>
  <si>
    <t>37.50</t>
  </si>
  <si>
    <t>39.2700</t>
  </si>
  <si>
    <t>37.40</t>
  </si>
  <si>
    <t>5/24</t>
  </si>
  <si>
    <t>37.0000</t>
  </si>
  <si>
    <t>46.50</t>
  </si>
  <si>
    <t>55.00</t>
  </si>
  <si>
    <t>54.3500</t>
  </si>
  <si>
    <t>35.2700</t>
  </si>
  <si>
    <t>41.10</t>
  </si>
  <si>
    <t>39.99</t>
  </si>
  <si>
    <t>32.2000</t>
  </si>
  <si>
    <t>8/22</t>
  </si>
  <si>
    <t>41.00</t>
  </si>
  <si>
    <t>2021/07/30</t>
  </si>
  <si>
    <t>38.81</t>
  </si>
  <si>
    <t>53.1500</t>
  </si>
  <si>
    <t>41.6800</t>
  </si>
  <si>
    <t>44.50</t>
  </si>
  <si>
    <t>28.88</t>
  </si>
  <si>
    <t>48.00</t>
  </si>
  <si>
    <t>2022/12/28</t>
  </si>
  <si>
    <t>52.70</t>
  </si>
  <si>
    <t>53.4900</t>
  </si>
  <si>
    <t>35.9700</t>
  </si>
  <si>
    <t>2021/10/29</t>
  </si>
  <si>
    <t>60.00</t>
  </si>
  <si>
    <t>65.5000</t>
  </si>
  <si>
    <t>58.5000</t>
  </si>
  <si>
    <t>2021/12/29</t>
  </si>
  <si>
    <t>2023/04/27</t>
  </si>
  <si>
    <t>2023/09/28</t>
  </si>
  <si>
    <t>2023/12/28</t>
  </si>
  <si>
    <t>2024/03/28</t>
  </si>
  <si>
    <t>2024/06/27</t>
  </si>
  <si>
    <t>2024/08/29</t>
  </si>
  <si>
    <t>2024/11/28</t>
  </si>
  <si>
    <t>2024/12</t>
  </si>
  <si>
    <t>2022/12/29</t>
  </si>
  <si>
    <t>2024/12/26</t>
  </si>
  <si>
    <t>西エリア・日中ロード電力先物</t>
  </si>
  <si>
    <t>West Area Peakload Electricity Futures</t>
  </si>
  <si>
    <t>26.5000</t>
  </si>
  <si>
    <t>24.0000</t>
  </si>
  <si>
    <t>37.2500</t>
  </si>
  <si>
    <t>31.0000</t>
  </si>
  <si>
    <t>7/11</t>
  </si>
  <si>
    <t>33.8500</t>
  </si>
  <si>
    <t>45.0000</t>
  </si>
  <si>
    <t>35.7500</t>
  </si>
  <si>
    <t>43.2000</t>
  </si>
  <si>
    <t>7/26</t>
  </si>
  <si>
    <t>40.0000</t>
  </si>
  <si>
    <t>LNG（プラッツJKM）先物</t>
  </si>
  <si>
    <t>LNG（Platts JKM）Futures</t>
  </si>
  <si>
    <t>2022/05/13</t>
  </si>
  <si>
    <t>4,200.0</t>
  </si>
  <si>
    <t>3,550.0000</t>
  </si>
  <si>
    <t>4/7</t>
  </si>
  <si>
    <t>4,150.0</t>
  </si>
  <si>
    <t>2022/07/15</t>
  </si>
  <si>
    <t>2022/09/15</t>
  </si>
  <si>
    <t>6,300.0</t>
  </si>
  <si>
    <t>2022/11/15</t>
  </si>
  <si>
    <t>2023/01/13</t>
  </si>
  <si>
    <t>2023/03/15</t>
  </si>
  <si>
    <t>2023/05/15</t>
  </si>
  <si>
    <t>2023/07/14</t>
  </si>
  <si>
    <t>2022/05/16</t>
  </si>
  <si>
    <t>2023/09/15</t>
  </si>
  <si>
    <t>2022/07/19</t>
  </si>
  <si>
    <t>2023/11/15</t>
  </si>
  <si>
    <t>2022/09/16</t>
  </si>
  <si>
    <t>2024/01/15</t>
  </si>
  <si>
    <t>2022/11/16</t>
  </si>
  <si>
    <t>2024/02/15</t>
  </si>
  <si>
    <t>2024/03/15</t>
  </si>
  <si>
    <t>中京ローリーガソリン先物</t>
  </si>
  <si>
    <t>Chukyo Gasoline Futures</t>
  </si>
  <si>
    <t>78,500.0000</t>
  </si>
  <si>
    <t>73,700</t>
  </si>
  <si>
    <t>83,000.0000</t>
  </si>
  <si>
    <t>82,000</t>
  </si>
  <si>
    <t>90,000</t>
  </si>
  <si>
    <t>82,000.0000</t>
  </si>
  <si>
    <t>76,050.0000</t>
  </si>
  <si>
    <t>75,300.0000</t>
  </si>
  <si>
    <t>76,100</t>
  </si>
  <si>
    <t>77,200.0000</t>
  </si>
  <si>
    <t>72,200</t>
  </si>
  <si>
    <t>75,000.0000</t>
  </si>
  <si>
    <t>76,500</t>
  </si>
  <si>
    <t>81,700.0000</t>
  </si>
  <si>
    <t>72,800</t>
  </si>
  <si>
    <t>76,200</t>
  </si>
  <si>
    <t>75,400</t>
  </si>
  <si>
    <t>78,610.0000</t>
  </si>
  <si>
    <t>76,900.0000</t>
  </si>
  <si>
    <t>78,200</t>
  </si>
  <si>
    <t>77,700</t>
  </si>
  <si>
    <t>9/20</t>
  </si>
  <si>
    <t>75,500.0000</t>
  </si>
  <si>
    <t>73,800</t>
  </si>
  <si>
    <t>72,100.0000</t>
  </si>
  <si>
    <t>71,000</t>
  </si>
  <si>
    <t>71,800.0000</t>
  </si>
  <si>
    <t>70,900</t>
  </si>
  <si>
    <t>71,700.0000</t>
  </si>
  <si>
    <t>72,400</t>
  </si>
  <si>
    <t>中京ローリー灯油先物</t>
  </si>
  <si>
    <t>Chukyo Kerosene Futures</t>
  </si>
  <si>
    <t>80,000</t>
  </si>
  <si>
    <t>77,300</t>
  </si>
  <si>
    <t>84,500.0000</t>
  </si>
  <si>
    <t>3/24</t>
  </si>
  <si>
    <t>79,400</t>
  </si>
  <si>
    <t>81,310.0000</t>
  </si>
  <si>
    <t>81,000.0000</t>
  </si>
  <si>
    <t>76,700.0000</t>
  </si>
  <si>
    <t>73,500</t>
  </si>
  <si>
    <t>75,700</t>
  </si>
  <si>
    <t>80,000.0000</t>
  </si>
  <si>
    <t>74,100</t>
  </si>
  <si>
    <t>77,500</t>
  </si>
  <si>
    <t>77,600</t>
  </si>
  <si>
    <t>77,200</t>
  </si>
  <si>
    <t>79,800</t>
  </si>
  <si>
    <t>79,800.0000</t>
  </si>
  <si>
    <t>76,800</t>
  </si>
  <si>
    <t>77,800.0000</t>
  </si>
  <si>
    <t>80,300</t>
  </si>
  <si>
    <t>80,500</t>
  </si>
  <si>
    <t>78,600.0000</t>
  </si>
  <si>
    <t>80,400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</si>
</sst>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_);[Red]\(&quot;¥&quot;#,##0\)"/>
    <numFmt numFmtId="8" formatCode="&quot;¥&quot;#,##0.00_);[Red]\(&quot;¥&quot;#,##0.00\)"/>
    <numFmt numFmtId="41" formatCode="_(* #,##0_);_(* \(#,##0\);_(* &quot;-&quot;_);_(@_)"/>
    <numFmt numFmtId="43" formatCode="_(* #,##0.00_);_(* \(#,##0.00\);_(* &quot;-&quot;??_);_(@_)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7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4">
    <xf numFmtId="0" fontId="0" fillId="0" borderId="0"/>
    <xf numFmtId="38" fontId="5" fillId="0" borderId="0" applyFont="0" applyFill="0" applyBorder="0" applyAlignment="0" applyProtection="0"/>
    <xf numFmtId="176" fontId="8" fillId="0" borderId="0" applyFill="0" applyBorder="0" applyAlignment="0"/>
    <xf numFmtId="0" fontId="9" fillId="0" borderId="1" applyNumberFormat="0" applyAlignment="0" applyProtection="0">
      <alignment horizontal="left" vertical="center"/>
    </xf>
    <xf numFmtId="0" fontId="9" fillId="0" borderId="2">
      <alignment horizontal="left" vertical="center"/>
    </xf>
    <xf numFmtId="177" fontId="10" fillId="0" borderId="0"/>
    <xf numFmtId="0" fontId="11" fillId="0" borderId="0"/>
    <xf numFmtId="0" fontId="12" fillId="0" borderId="0"/>
    <xf numFmtId="49" fontId="13" fillId="2" borderId="3" applyNumberFormat="0" applyFill="0" applyBorder="0" applyProtection="0"/>
    <xf numFmtId="0" fontId="7" fillId="0" borderId="0">
      <alignment vertical="center"/>
    </xf>
    <xf numFmtId="0" fontId="14" fillId="0" borderId="0"/>
    <xf numFmtId="0" fontId="14" fillId="0" borderId="0">
      <alignment vertical="center"/>
    </xf>
    <xf numFmtId="178" fontId="16" fillId="0" borderId="0"/>
    <xf numFmtId="0" fontId="5" fillId="0" borderId="0"/>
    <xf numFmtId="0" fontId="5" fillId="0" borderId="0"/>
    <xf numFmtId="0" fontId="14" fillId="0" borderId="0">
      <alignment vertical="center"/>
    </xf>
    <xf numFmtId="0" fontId="4" fillId="0" borderId="0">
      <alignment vertical="center"/>
    </xf>
    <xf numFmtId="9" fontId="19" fillId="0" borderId="0" applyFont="0" applyFill="0" applyBorder="0" applyAlignment="0" applyProtection="0"/>
    <xf numFmtId="0" fontId="20" fillId="0" borderId="0"/>
    <xf numFmtId="0" fontId="5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20" borderId="0" applyNumberFormat="0" applyBorder="0" applyAlignment="0" applyProtection="0"/>
    <xf numFmtId="0" fontId="24" fillId="0" borderId="0">
      <alignment horizontal="center" wrapText="1"/>
      <protection locked="0"/>
    </xf>
    <xf numFmtId="0" fontId="25" fillId="0" borderId="0"/>
    <xf numFmtId="0" fontId="26" fillId="4" borderId="0" applyNumberFormat="0" applyBorder="0" applyAlignment="0" applyProtection="0"/>
    <xf numFmtId="0" fontId="27" fillId="0" borderId="0" applyNumberFormat="0" applyFill="0" applyBorder="0" applyAlignment="0" applyProtection="0"/>
    <xf numFmtId="179" fontId="7" fillId="0" borderId="0" applyFill="0" applyBorder="0" applyAlignment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9" fillId="22" borderId="11" applyNumberFormat="0" applyAlignment="0" applyProtection="0"/>
    <xf numFmtId="0" fontId="30" fillId="0" borderId="0">
      <alignment vertical="top" wrapText="1"/>
    </xf>
    <xf numFmtId="41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80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0" fontId="31" fillId="0" borderId="0">
      <alignment horizontal="left"/>
    </xf>
    <xf numFmtId="0" fontId="32" fillId="0" borderId="0" applyNumberFormat="0" applyFill="0" applyBorder="0" applyAlignment="0" applyProtection="0"/>
    <xf numFmtId="0" fontId="33" fillId="5" borderId="0" applyNumberFormat="0" applyBorder="0" applyAlignment="0" applyProtection="0"/>
    <xf numFmtId="38" fontId="34" fillId="23" borderId="0" applyNumberFormat="0" applyBorder="0" applyAlignment="0" applyProtection="0"/>
    <xf numFmtId="0" fontId="35" fillId="24" borderId="0"/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36" fillId="0" borderId="12" applyNumberFormat="0" applyFill="0" applyAlignment="0" applyProtection="0"/>
    <xf numFmtId="0" fontId="37" fillId="0" borderId="13" applyNumberFormat="0" applyFill="0" applyAlignment="0" applyProtection="0"/>
    <xf numFmtId="0" fontId="38" fillId="0" borderId="14" applyNumberFormat="0" applyFill="0" applyAlignment="0" applyProtection="0"/>
    <xf numFmtId="0" fontId="38" fillId="0" borderId="0" applyNumberFormat="0" applyFill="0" applyBorder="0" applyAlignment="0" applyProtection="0"/>
    <xf numFmtId="0" fontId="7" fillId="0" borderId="0" applyBorder="0"/>
    <xf numFmtId="0" fontId="39" fillId="8" borderId="10" applyNumberFormat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7" fillId="0" borderId="0"/>
    <xf numFmtId="0" fontId="40" fillId="0" borderId="15" applyNumberFormat="0" applyFill="0" applyAlignment="0" applyProtection="0"/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182" fontId="41" fillId="0" borderId="0" applyFont="0" applyFill="0" applyBorder="0" applyAlignment="0" applyProtection="0"/>
    <xf numFmtId="183" fontId="41" fillId="0" borderId="0" applyFont="0" applyFill="0" applyBorder="0" applyAlignment="0" applyProtection="0"/>
    <xf numFmtId="0" fontId="42" fillId="26" borderId="0" applyNumberFormat="0" applyBorder="0" applyAlignment="0" applyProtection="0"/>
    <xf numFmtId="37" fontId="43" fillId="0" borderId="0"/>
    <xf numFmtId="184" fontId="7" fillId="0" borderId="0"/>
    <xf numFmtId="184" fontId="7" fillId="0" borderId="0"/>
    <xf numFmtId="177" fontId="10" fillId="0" borderId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14" fontId="24" fillId="0" borderId="0">
      <alignment horizontal="center" wrapText="1"/>
      <protection locked="0"/>
    </xf>
    <xf numFmtId="10" fontId="11" fillId="0" borderId="0" applyFont="0" applyFill="0" applyBorder="0" applyAlignment="0" applyProtection="0"/>
    <xf numFmtId="4" fontId="31" fillId="0" borderId="0">
      <alignment horizontal="right"/>
    </xf>
    <xf numFmtId="0" fontId="45" fillId="0" borderId="0" applyNumberFormat="0" applyFont="0" applyFill="0" applyBorder="0" applyAlignment="0" applyProtection="0">
      <alignment horizontal="left"/>
    </xf>
    <xf numFmtId="0" fontId="46" fillId="0" borderId="18">
      <alignment horizontal="center"/>
    </xf>
    <xf numFmtId="0" fontId="47" fillId="0" borderId="0" applyNumberFormat="0" applyFont="0" applyFill="0" applyBorder="0" applyAlignment="0"/>
    <xf numFmtId="4" fontId="48" fillId="0" borderId="0">
      <alignment horizontal="right"/>
    </xf>
    <xf numFmtId="0" fontId="49" fillId="0" borderId="0">
      <alignment horizontal="left"/>
    </xf>
    <xf numFmtId="0" fontId="50" fillId="0" borderId="0"/>
    <xf numFmtId="0" fontId="51" fillId="0" borderId="0">
      <alignment horizontal="center"/>
    </xf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3" fillId="0" borderId="0" applyNumberFormat="0" applyFill="0" applyBorder="0" applyAlignment="0" applyProtection="0"/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5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7" fillId="0" borderId="0"/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43" fontId="11" fillId="0" borderId="0" applyFont="0" applyFill="0" applyBorder="0" applyAlignment="0" applyProtection="0"/>
    <xf numFmtId="38" fontId="66" fillId="0" borderId="0" applyFont="0" applyFill="0" applyBorder="0" applyAlignment="0" applyProtection="0"/>
    <xf numFmtId="38" fontId="17" fillId="0" borderId="0" applyFont="0" applyFill="0" applyBorder="0" applyAlignment="0" applyProtection="0">
      <alignment vertical="center"/>
    </xf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185" fontId="11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21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1" fillId="0" borderId="0"/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186" fontId="12" fillId="0" borderId="0"/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187" fontId="11" fillId="0" borderId="0" applyFont="0" applyFill="0" applyBorder="0" applyAlignment="0" applyProtection="0"/>
    <xf numFmtId="188" fontId="11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6" fontId="5" fillId="0" borderId="0" applyFont="0" applyFill="0" applyBorder="0" applyAlignment="0" applyProtection="0"/>
    <xf numFmtId="6" fontId="14" fillId="0" borderId="0" applyFont="0" applyFill="0" applyBorder="0" applyAlignment="0" applyProtection="0">
      <alignment vertical="center"/>
    </xf>
    <xf numFmtId="6" fontId="75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6" fontId="7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7" fillId="0" borderId="0">
      <alignment vertical="center"/>
    </xf>
    <xf numFmtId="0" fontId="7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17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78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/>
    <xf numFmtId="0" fontId="18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79" fillId="0" borderId="0">
      <alignment vertical="center"/>
    </xf>
    <xf numFmtId="0" fontId="14" fillId="0" borderId="0"/>
    <xf numFmtId="0" fontId="79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9" fillId="0" borderId="0"/>
    <xf numFmtId="0" fontId="17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81" fillId="0" borderId="0"/>
    <xf numFmtId="0" fontId="14" fillId="0" borderId="0"/>
    <xf numFmtId="0" fontId="7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9" fillId="0" borderId="0"/>
    <xf numFmtId="0" fontId="78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21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>
      <alignment vertical="center"/>
    </xf>
    <xf numFmtId="0" fontId="17" fillId="0" borderId="0">
      <alignment vertical="center"/>
    </xf>
    <xf numFmtId="0" fontId="81" fillId="0" borderId="0"/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5" fillId="0" borderId="0"/>
    <xf numFmtId="0" fontId="5" fillId="0" borderId="0"/>
    <xf numFmtId="0" fontId="81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81" fillId="0" borderId="0"/>
    <xf numFmtId="0" fontId="5" fillId="0" borderId="0"/>
    <xf numFmtId="0" fontId="81" fillId="0" borderId="0"/>
    <xf numFmtId="0" fontId="21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2" fillId="0" borderId="0">
      <alignment vertical="center"/>
    </xf>
    <xf numFmtId="0" fontId="5" fillId="0" borderId="0"/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7" fillId="0" borderId="0"/>
    <xf numFmtId="0" fontId="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83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8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85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8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6" fillId="0" borderId="0"/>
    <xf numFmtId="0" fontId="87" fillId="0" borderId="0"/>
    <xf numFmtId="0" fontId="57" fillId="0" borderId="0"/>
    <xf numFmtId="49" fontId="15" fillId="0" borderId="0" applyFill="0" applyBorder="0"/>
    <xf numFmtId="0" fontId="88" fillId="0" borderId="0"/>
    <xf numFmtId="0" fontId="89" fillId="0" borderId="0"/>
    <xf numFmtId="0" fontId="88" fillId="0" borderId="0"/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" fillId="0" borderId="0"/>
    <xf numFmtId="0" fontId="3" fillId="0" borderId="0">
      <alignment vertical="center"/>
    </xf>
    <xf numFmtId="0" fontId="91" fillId="0" borderId="0"/>
    <xf numFmtId="0" fontId="91" fillId="0" borderId="0"/>
    <xf numFmtId="186" fontId="91" fillId="0" borderId="0"/>
    <xf numFmtId="186" fontId="9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9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</cellStyleXfs>
  <cellXfs count="102">
    <xf numFmtId="0" fontId="0" fillId="0" borderId="0" xfId="0"/>
    <xf numFmtId="0" fontId="19" fillId="0" borderId="9" xfId="1946" applyFont="1" applyFill="1" applyBorder="1">
      <alignment vertical="center"/>
    </xf>
    <xf numFmtId="0" fontId="95" fillId="0" borderId="0" xfId="1946" applyFont="1" applyFill="1">
      <alignment vertical="center"/>
    </xf>
    <xf numFmtId="0" fontId="19" fillId="0" borderId="20" xfId="1946" applyFont="1" applyFill="1" applyBorder="1">
      <alignment vertical="center"/>
    </xf>
    <xf numFmtId="0" fontId="19" fillId="0" borderId="8" xfId="1946" applyFont="1" applyFill="1" applyBorder="1">
      <alignment vertical="center"/>
    </xf>
    <xf numFmtId="0" fontId="7" fillId="0" borderId="41" xfId="1946" applyNumberFormat="1" applyFont="1" applyFill="1" applyBorder="1" applyAlignment="1">
      <alignment horizontal="center" vertical="center" wrapText="1"/>
    </xf>
    <xf numFmtId="0" fontId="7" fillId="0" borderId="44" xfId="1946" applyNumberFormat="1" applyFont="1" applyFill="1" applyBorder="1" applyAlignment="1">
      <alignment horizontal="center" vertical="center" wrapText="1"/>
    </xf>
    <xf numFmtId="0" fontId="94" fillId="0" borderId="9" xfId="1946" applyFont="1" applyFill="1" applyBorder="1" applyAlignment="1">
      <alignment vertical="center" wrapText="1"/>
    </xf>
    <xf numFmtId="49" fontId="7" fillId="0" borderId="36" xfId="1946" applyNumberFormat="1" applyFont="1" applyFill="1" applyBorder="1" applyAlignment="1">
      <alignment vertical="center"/>
    </xf>
    <xf numFmtId="49" fontId="7" fillId="0" borderId="21" xfId="1946" applyNumberFormat="1" applyFont="1" applyFill="1" applyBorder="1" applyAlignment="1">
      <alignment vertical="center"/>
    </xf>
    <xf numFmtId="49" fontId="7" fillId="0" borderId="22" xfId="1946" applyNumberFormat="1" applyFont="1" applyFill="1" applyBorder="1" applyAlignment="1">
      <alignment vertical="center"/>
    </xf>
    <xf numFmtId="49" fontId="7" fillId="0" borderId="22" xfId="1946" applyNumberFormat="1" applyFont="1" applyFill="1" applyBorder="1" applyAlignment="1">
      <alignment horizontal="right" vertical="center"/>
    </xf>
    <xf numFmtId="49" fontId="7" fillId="0" borderId="23" xfId="1946" applyNumberFormat="1" applyFont="1" applyFill="1" applyBorder="1" applyAlignment="1">
      <alignment horizontal="right" vertical="center"/>
    </xf>
    <xf numFmtId="4" fontId="7" fillId="0" borderId="21" xfId="1946" applyNumberFormat="1" applyFont="1" applyFill="1" applyBorder="1" applyAlignment="1">
      <alignment horizontal="right" vertical="center"/>
    </xf>
    <xf numFmtId="3" fontId="7" fillId="0" borderId="21" xfId="1946" applyNumberFormat="1" applyFont="1" applyFill="1" applyBorder="1" applyAlignment="1">
      <alignment horizontal="right" vertical="center"/>
    </xf>
    <xf numFmtId="3" fontId="7" fillId="0" borderId="23" xfId="1946" applyNumberFormat="1" applyFont="1" applyFill="1" applyBorder="1" applyAlignment="1">
      <alignment horizontal="right" vertical="center"/>
    </xf>
    <xf numFmtId="189" fontId="7" fillId="0" borderId="37" xfId="1946" applyNumberFormat="1" applyFont="1" applyFill="1" applyBorder="1" applyAlignment="1">
      <alignment horizontal="right" vertical="center"/>
    </xf>
    <xf numFmtId="0" fontId="94" fillId="0" borderId="9" xfId="1946" applyFont="1" applyFill="1" applyBorder="1">
      <alignment vertical="center"/>
    </xf>
    <xf numFmtId="0" fontId="7" fillId="0" borderId="44" xfId="1946" applyFont="1" applyFill="1" applyBorder="1" applyAlignment="1">
      <alignment horizontal="center" vertical="center" wrapText="1"/>
    </xf>
    <xf numFmtId="0" fontId="7" fillId="0" borderId="23" xfId="1946" applyFont="1" applyFill="1" applyBorder="1" applyAlignment="1">
      <alignment horizontal="center" vertical="center" wrapText="1"/>
    </xf>
    <xf numFmtId="0" fontId="94" fillId="0" borderId="6" xfId="1946" applyFont="1" applyFill="1" applyBorder="1">
      <alignment vertical="center"/>
    </xf>
    <xf numFmtId="0" fontId="93" fillId="0" borderId="20" xfId="1946" applyFont="1" applyFill="1" applyBorder="1" applyAlignment="1">
      <alignment vertical="center" wrapText="1"/>
    </xf>
    <xf numFmtId="0" fontId="7" fillId="0" borderId="36" xfId="1946" applyNumberFormat="1" applyFont="1" applyFill="1" applyBorder="1" applyAlignment="1">
      <alignment horizontal="center" vertical="center" wrapText="1"/>
    </xf>
    <xf numFmtId="0" fontId="7" fillId="0" borderId="21" xfId="1946" applyNumberFormat="1" applyFont="1" applyFill="1" applyBorder="1" applyAlignment="1">
      <alignment horizontal="center" vertical="center" wrapText="1"/>
    </xf>
    <xf numFmtId="0" fontId="7" fillId="0" borderId="37" xfId="1946" applyNumberFormat="1" applyFont="1" applyFill="1" applyBorder="1" applyAlignment="1">
      <alignment horizontal="center" vertical="center" wrapText="1"/>
    </xf>
    <xf numFmtId="0" fontId="7" fillId="0" borderId="21" xfId="1946" applyFont="1" applyFill="1" applyBorder="1" applyAlignment="1">
      <alignment horizontal="center" vertical="center" wrapText="1"/>
    </xf>
    <xf numFmtId="0" fontId="7" fillId="0" borderId="21" xfId="1946" applyFont="1" applyFill="1" applyBorder="1" applyAlignment="1">
      <alignment horizontal="center" vertical="center" wrapText="1"/>
    </xf>
    <xf numFmtId="0" fontId="93" fillId="0" borderId="20" xfId="1946" applyFont="1" applyFill="1" applyBorder="1" applyAlignment="1">
      <alignment vertical="center" wrapText="1"/>
    </xf>
    <xf numFmtId="0" fontId="93" fillId="0" borderId="5" xfId="1946" applyFont="1" applyFill="1" applyBorder="1" applyAlignment="1">
      <alignment vertical="center" wrapText="1"/>
    </xf>
    <xf numFmtId="0" fontId="93" fillId="0" borderId="9" xfId="1946" applyFont="1" applyFill="1" applyBorder="1" applyAlignment="1">
      <alignment vertical="center" wrapText="1"/>
    </xf>
    <xf numFmtId="0" fontId="93" fillId="0" borderId="7" xfId="1946" applyFont="1" applyFill="1" applyBorder="1" applyAlignment="1">
      <alignment vertical="center" wrapText="1"/>
    </xf>
    <xf numFmtId="0" fontId="93" fillId="0" borderId="20" xfId="1946" applyFont="1" applyFill="1" applyBorder="1" applyAlignment="1">
      <alignment vertical="center" wrapText="1"/>
    </xf>
    <xf numFmtId="0" fontId="7" fillId="0" borderId="32" xfId="1946" applyNumberFormat="1" applyFont="1" applyFill="1" applyBorder="1" applyAlignment="1">
      <alignment horizontal="center" vertical="top" wrapText="1"/>
    </xf>
    <xf numFmtId="0" fontId="7" fillId="0" borderId="9" xfId="1946" applyNumberFormat="1" applyFont="1" applyFill="1" applyBorder="1" applyAlignment="1">
      <alignment horizontal="center" vertical="top" wrapText="1"/>
    </xf>
    <xf numFmtId="0" fontId="7" fillId="0" borderId="33" xfId="1946" applyNumberFormat="1" applyFont="1" applyFill="1" applyBorder="1" applyAlignment="1">
      <alignment horizontal="center" vertical="top" wrapText="1"/>
    </xf>
    <xf numFmtId="0" fontId="7" fillId="0" borderId="22" xfId="1946" applyNumberFormat="1" applyFont="1" applyFill="1" applyBorder="1" applyAlignment="1">
      <alignment horizontal="center" vertical="center" wrapText="1"/>
    </xf>
    <xf numFmtId="0" fontId="7" fillId="0" borderId="23" xfId="1946" applyNumberFormat="1" applyFont="1" applyFill="1" applyBorder="1" applyAlignment="1">
      <alignment horizontal="center" vertical="center" wrapText="1"/>
    </xf>
    <xf numFmtId="0" fontId="7" fillId="0" borderId="34" xfId="1946" applyNumberFormat="1" applyFont="1" applyFill="1" applyBorder="1" applyAlignment="1">
      <alignment horizontal="center" vertical="center" wrapText="1"/>
    </xf>
    <xf numFmtId="0" fontId="7" fillId="0" borderId="36" xfId="1946" applyNumberFormat="1" applyFont="1" applyFill="1" applyBorder="1" applyAlignment="1">
      <alignment horizontal="center" vertical="center" wrapText="1"/>
    </xf>
    <xf numFmtId="0" fontId="7" fillId="0" borderId="30" xfId="1946" applyNumberFormat="1" applyFont="1" applyFill="1" applyBorder="1" applyAlignment="1">
      <alignment horizontal="center" vertical="top" wrapText="1"/>
    </xf>
    <xf numFmtId="0" fontId="7" fillId="0" borderId="31" xfId="1946" applyNumberFormat="1" applyFont="1" applyFill="1" applyBorder="1" applyAlignment="1">
      <alignment horizontal="center" vertical="top" wrapText="1"/>
    </xf>
    <xf numFmtId="0" fontId="7" fillId="0" borderId="38" xfId="1946" applyNumberFormat="1" applyFont="1" applyFill="1" applyBorder="1" applyAlignment="1">
      <alignment horizontal="center" vertical="center" wrapText="1"/>
    </xf>
    <xf numFmtId="0" fontId="7" fillId="0" borderId="40" xfId="1946" applyNumberFormat="1" applyFont="1" applyFill="1" applyBorder="1" applyAlignment="1">
      <alignment horizontal="center" vertical="center" wrapText="1"/>
    </xf>
    <xf numFmtId="0" fontId="7" fillId="0" borderId="42" xfId="1946" applyFont="1" applyFill="1" applyBorder="1" applyAlignment="1">
      <alignment horizontal="center" vertical="center" wrapText="1"/>
    </xf>
    <xf numFmtId="0" fontId="7" fillId="0" borderId="43" xfId="1946" applyFont="1" applyFill="1" applyBorder="1" applyAlignment="1">
      <alignment horizontal="center" vertical="center" wrapText="1"/>
    </xf>
    <xf numFmtId="0" fontId="7" fillId="0" borderId="39" xfId="1946" applyFont="1" applyFill="1" applyBorder="1" applyAlignment="1">
      <alignment horizontal="center" vertical="center" wrapText="1"/>
    </xf>
    <xf numFmtId="0" fontId="7" fillId="0" borderId="29" xfId="1946" applyFont="1" applyFill="1" applyBorder="1" applyAlignment="1">
      <alignment horizontal="center" vertical="center" wrapText="1"/>
    </xf>
    <xf numFmtId="0" fontId="7" fillId="0" borderId="45" xfId="1946" applyNumberFormat="1" applyFont="1" applyFill="1" applyBorder="1" applyAlignment="1">
      <alignment horizontal="center" vertical="center" wrapText="1"/>
    </xf>
    <xf numFmtId="0" fontId="7" fillId="0" borderId="27" xfId="1946" applyNumberFormat="1" applyFont="1" applyFill="1" applyBorder="1" applyAlignment="1">
      <alignment horizontal="center" vertical="center" wrapText="1"/>
    </xf>
    <xf numFmtId="0" fontId="7" fillId="0" borderId="24" xfId="1946" applyNumberFormat="1" applyFont="1" applyFill="1" applyBorder="1" applyAlignment="1">
      <alignment horizontal="center" vertical="center" wrapText="1"/>
    </xf>
    <xf numFmtId="0" fontId="7" fillId="0" borderId="21" xfId="1946" applyNumberFormat="1" applyFont="1" applyFill="1" applyBorder="1" applyAlignment="1">
      <alignment horizontal="center" vertical="center" wrapText="1"/>
    </xf>
    <xf numFmtId="0" fontId="7" fillId="0" borderId="32" xfId="1946" applyNumberFormat="1" applyFont="1" applyFill="1" applyBorder="1" applyAlignment="1">
      <alignment horizontal="center" vertical="center" wrapText="1"/>
    </xf>
    <xf numFmtId="0" fontId="7" fillId="0" borderId="33" xfId="1946" applyNumberFormat="1" applyFont="1" applyFill="1" applyBorder="1" applyAlignment="1">
      <alignment horizontal="center" vertical="center" wrapText="1"/>
    </xf>
    <xf numFmtId="0" fontId="7" fillId="0" borderId="25" xfId="1946" applyNumberFormat="1" applyFont="1" applyFill="1" applyBorder="1" applyAlignment="1">
      <alignment horizontal="center" vertical="center" wrapText="1"/>
    </xf>
    <xf numFmtId="0" fontId="7" fillId="0" borderId="28" xfId="1946" applyNumberFormat="1" applyFont="1" applyFill="1" applyBorder="1" applyAlignment="1">
      <alignment horizontal="center" vertical="center" wrapText="1"/>
    </xf>
    <xf numFmtId="0" fontId="7" fillId="0" borderId="26" xfId="1946" applyNumberFormat="1" applyFont="1" applyFill="1" applyBorder="1" applyAlignment="1">
      <alignment horizontal="center" vertical="center" wrapText="1"/>
    </xf>
    <xf numFmtId="0" fontId="7" fillId="0" borderId="29" xfId="1946" applyNumberFormat="1" applyFont="1" applyFill="1" applyBorder="1" applyAlignment="1">
      <alignment horizontal="center" vertical="center" wrapText="1"/>
    </xf>
    <xf numFmtId="0" fontId="96" fillId="0" borderId="23" xfId="1946" applyNumberFormat="1" applyFont="1" applyFill="1" applyBorder="1" applyAlignment="1">
      <alignment horizontal="center" vertical="center" wrapText="1"/>
    </xf>
    <xf numFmtId="0" fontId="7" fillId="0" borderId="35" xfId="1946" applyNumberFormat="1" applyFont="1" applyFill="1" applyBorder="1" applyAlignment="1">
      <alignment horizontal="center" vertical="center" wrapText="1"/>
    </xf>
    <xf numFmtId="0" fontId="7" fillId="0" borderId="37" xfId="1946" applyNumberFormat="1" applyFont="1" applyFill="1" applyBorder="1" applyAlignment="1">
      <alignment horizontal="center" vertical="center" wrapText="1"/>
    </xf>
    <xf numFmtId="0" fontId="7" fillId="0" borderId="24" xfId="1946" applyFont="1" applyFill="1" applyBorder="1" applyAlignment="1">
      <alignment horizontal="center" vertical="center" wrapText="1"/>
    </xf>
    <xf numFmtId="0" fontId="7" fillId="0" borderId="21" xfId="1946" applyFont="1" applyFill="1" applyBorder="1" applyAlignment="1">
      <alignment horizontal="center" vertical="center" wrapText="1"/>
    </xf>
    <xf numFmtId="0" fontId="94" fillId="0" borderId="6" xfId="1946" applyFont="1" applyFill="1" applyBorder="1" applyAlignment="1">
      <alignment vertical="center" wrapText="1"/>
    </xf>
    <xf numFmtId="0" fontId="19" fillId="0" borderId="20" xfId="1946" applyFont="1" applyFill="1" applyBorder="1" applyAlignment="1">
      <alignment horizontal="right" vertical="center"/>
    </xf>
    <xf numFmtId="14" fontId="19" fillId="0" borderId="20" xfId="1946" applyNumberFormat="1" applyFont="1" applyFill="1" applyBorder="1" applyAlignment="1">
      <alignment horizontal="left" vertical="center"/>
    </xf>
    <xf numFmtId="0" fontId="19" fillId="0" borderId="8" xfId="1946" applyFont="1" applyFill="1" applyBorder="1" applyAlignment="1">
      <alignment horizontal="right" vertical="center"/>
    </xf>
    <xf numFmtId="0" fontId="7" fillId="0" borderId="34" xfId="1946" applyFont="1" applyFill="1" applyBorder="1" applyAlignment="1">
      <alignment horizontal="center" vertical="center" wrapText="1"/>
    </xf>
    <xf numFmtId="0" fontId="7" fillId="0" borderId="45" xfId="1946" applyFont="1" applyFill="1" applyBorder="1" applyAlignment="1">
      <alignment horizontal="center" vertical="center" wrapText="1"/>
    </xf>
    <xf numFmtId="0" fontId="7" fillId="0" borderId="32" xfId="1946" applyFont="1" applyFill="1" applyBorder="1" applyAlignment="1">
      <alignment horizontal="center" vertical="center" wrapText="1"/>
    </xf>
    <xf numFmtId="0" fontId="7" fillId="0" borderId="33" xfId="1946" applyFont="1" applyFill="1" applyBorder="1" applyAlignment="1">
      <alignment horizontal="center" vertical="center" wrapText="1"/>
    </xf>
    <xf numFmtId="0" fontId="7" fillId="0" borderId="30" xfId="1946" applyFont="1" applyFill="1" applyBorder="1" applyAlignment="1">
      <alignment horizontal="center" vertical="top" wrapText="1"/>
    </xf>
    <xf numFmtId="0" fontId="7" fillId="0" borderId="31" xfId="1946" applyFont="1" applyFill="1" applyBorder="1" applyAlignment="1">
      <alignment horizontal="center" vertical="top" wrapText="1"/>
    </xf>
    <xf numFmtId="0" fontId="7" fillId="0" borderId="32" xfId="1946" applyFont="1" applyFill="1" applyBorder="1" applyAlignment="1">
      <alignment horizontal="center" vertical="top" wrapText="1"/>
    </xf>
    <xf numFmtId="0" fontId="7" fillId="0" borderId="9" xfId="1946" applyFont="1" applyFill="1" applyBorder="1" applyAlignment="1">
      <alignment horizontal="center" vertical="top" wrapText="1"/>
    </xf>
    <xf numFmtId="0" fontId="7" fillId="0" borderId="33" xfId="1946" applyFont="1" applyFill="1" applyBorder="1" applyAlignment="1">
      <alignment horizontal="center" vertical="top" wrapText="1"/>
    </xf>
    <xf numFmtId="0" fontId="7" fillId="0" borderId="25" xfId="1946" applyFont="1" applyFill="1" applyBorder="1" applyAlignment="1">
      <alignment horizontal="center" vertical="center" wrapText="1"/>
    </xf>
    <xf numFmtId="0" fontId="7" fillId="0" borderId="28" xfId="1946" applyFont="1" applyFill="1" applyBorder="1" applyAlignment="1">
      <alignment horizontal="center" vertical="center" wrapText="1"/>
    </xf>
    <xf numFmtId="0" fontId="7" fillId="0" borderId="35" xfId="1946" applyFont="1" applyFill="1" applyBorder="1" applyAlignment="1">
      <alignment horizontal="center" vertical="center" wrapText="1"/>
    </xf>
    <xf numFmtId="0" fontId="7" fillId="0" borderId="36" xfId="1946" applyFont="1" applyFill="1" applyBorder="1" applyAlignment="1">
      <alignment horizontal="center" vertical="center" wrapText="1"/>
    </xf>
    <xf numFmtId="0" fontId="7" fillId="0" borderId="27" xfId="1946" applyFont="1" applyFill="1" applyBorder="1" applyAlignment="1">
      <alignment horizontal="center" vertical="center" wrapText="1"/>
    </xf>
    <xf numFmtId="0" fontId="7" fillId="0" borderId="38" xfId="1946" applyFont="1" applyFill="1" applyBorder="1" applyAlignment="1">
      <alignment horizontal="center" vertical="center" wrapText="1"/>
    </xf>
    <xf numFmtId="0" fontId="96" fillId="0" borderId="23" xfId="1946" applyFont="1" applyFill="1" applyBorder="1" applyAlignment="1">
      <alignment horizontal="center" vertical="center" wrapText="1"/>
    </xf>
    <xf numFmtId="0" fontId="7" fillId="0" borderId="37" xfId="1946" applyFont="1" applyFill="1" applyBorder="1" applyAlignment="1">
      <alignment horizontal="center" vertical="center" wrapText="1"/>
    </xf>
    <xf numFmtId="0" fontId="7" fillId="0" borderId="26" xfId="1946" applyFont="1" applyFill="1" applyBorder="1" applyAlignment="1">
      <alignment horizontal="center" vertical="center" wrapText="1"/>
    </xf>
    <xf numFmtId="0" fontId="7" fillId="0" borderId="40" xfId="1946" applyFont="1" applyFill="1" applyBorder="1" applyAlignment="1">
      <alignment horizontal="center" vertical="center" wrapText="1"/>
    </xf>
    <xf numFmtId="0" fontId="7" fillId="0" borderId="41" xfId="1946" applyFont="1" applyFill="1" applyBorder="1" applyAlignment="1">
      <alignment horizontal="center" vertical="center" wrapText="1"/>
    </xf>
    <xf numFmtId="0" fontId="7" fillId="0" borderId="36" xfId="1946" applyFont="1" applyFill="1" applyBorder="1" applyAlignment="1">
      <alignment horizontal="center" vertical="center" wrapText="1"/>
    </xf>
    <xf numFmtId="0" fontId="7" fillId="0" borderId="22" xfId="1946" applyFont="1" applyFill="1" applyBorder="1" applyAlignment="1">
      <alignment horizontal="center" vertical="center" wrapText="1"/>
    </xf>
    <xf numFmtId="0" fontId="7" fillId="0" borderId="23" xfId="1946" applyFont="1" applyFill="1" applyBorder="1" applyAlignment="1">
      <alignment horizontal="center" vertical="center" wrapText="1"/>
    </xf>
    <xf numFmtId="0" fontId="7" fillId="0" borderId="22" xfId="1946" applyFont="1" applyFill="1" applyBorder="1" applyAlignment="1">
      <alignment horizontal="center" vertical="center" wrapText="1"/>
    </xf>
    <xf numFmtId="0" fontId="7" fillId="0" borderId="37" xfId="1946" applyFont="1" applyFill="1" applyBorder="1" applyAlignment="1">
      <alignment horizontal="center" vertical="center" wrapText="1"/>
    </xf>
    <xf numFmtId="49" fontId="7" fillId="0" borderId="36" xfId="1946" applyNumberFormat="1" applyFont="1" applyBorder="1">
      <alignment vertical="center"/>
    </xf>
    <xf numFmtId="49" fontId="7" fillId="0" borderId="21" xfId="1946" applyNumberFormat="1" applyFont="1" applyBorder="1">
      <alignment vertical="center"/>
    </xf>
    <xf numFmtId="49" fontId="7" fillId="0" borderId="22" xfId="1946" applyNumberFormat="1" applyFont="1" applyBorder="1">
      <alignment vertical="center"/>
    </xf>
    <xf numFmtId="38" fontId="7" fillId="0" borderId="21" xfId="1953" applyFont="1" applyFill="1" applyBorder="1">
      <alignment vertical="center"/>
    </xf>
    <xf numFmtId="49" fontId="7" fillId="0" borderId="22" xfId="1946" applyNumberFormat="1" applyFont="1" applyBorder="1" applyAlignment="1">
      <alignment horizontal="right" vertical="center"/>
    </xf>
    <xf numFmtId="49" fontId="7" fillId="0" borderId="23" xfId="1946" applyNumberFormat="1" applyFont="1" applyBorder="1" applyAlignment="1">
      <alignment horizontal="right" vertical="center"/>
    </xf>
    <xf numFmtId="3" fontId="7" fillId="0" borderId="21" xfId="1946" applyNumberFormat="1" applyFont="1" applyBorder="1" applyAlignment="1">
      <alignment horizontal="right" vertical="center"/>
    </xf>
    <xf numFmtId="3" fontId="7" fillId="0" borderId="22" xfId="1946" applyNumberFormat="1" applyFont="1" applyBorder="1" applyAlignment="1">
      <alignment horizontal="right" vertical="center"/>
    </xf>
    <xf numFmtId="3" fontId="7" fillId="0" borderId="23" xfId="1946" applyNumberFormat="1" applyFont="1" applyBorder="1" applyAlignment="1">
      <alignment horizontal="right" vertical="center"/>
    </xf>
    <xf numFmtId="189" fontId="7" fillId="0" borderId="37" xfId="1946" applyNumberFormat="1" applyFont="1" applyBorder="1" applyAlignment="1">
      <alignment horizontal="right" vertical="center"/>
    </xf>
    <xf numFmtId="0" fontId="95" fillId="0" borderId="0" xfId="1946" applyFont="1">
      <alignment vertical="center"/>
    </xf>
  </cellXfs>
  <cellStyles count="1954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" xfId="1953" builtinId="6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name="標準" xfId="0" builtin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TableStyle="TableStyleMedium2" defaultPivotStyle="PivotStyleLight16"/>
  <colors>
    <mruColors>
      <color rgb="FFFF00FF"/>
      <color rgb="FFFFEBFF"/>
      <color rgb="FFFFFF99"/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19</xdr:col>
      <xdr:colOff>695325</xdr:colOff>
      <xdr:row>0</xdr:row>
      <xdr:rowOff>9525</xdr:rowOff>
    </xdr:from>
    <xdr:ext cx="9753598" cy="723900"/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842839C8-F369-4247-A57F-CE4DD59499C0}"/>
            </a:ext>
          </a:extLst>
        </xdr:cNvPr>
        <xdr:cNvSpPr/>
      </xdr:nvSpPr>
      <xdr:spPr>
        <a:xfrm>
          <a:off x="19440525" y="9525"/>
          <a:ext cx="9753598" cy="72390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ctr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建玉現在高は年末現在。ただし、*印は限月到来銘柄の最終建玉高。商品先物（現物先物取引）の最終建玉高は「本受渡高」を意味する。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month.The final position for Commodity futures (physically-delivered futures) means "Basic Delivery Volume".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金限日先物、白金限日先物の希望受渡高は、「早受渡・申告受渡高」に出力する。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※"Delivery on Request Volume" for Gold Rolling-Spot Futures and Platinum Rolling-Spot Futures is displayed on "Early Delivery, Declared Delivery Volume".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25</xdr:col>
      <xdr:colOff>228600</xdr:colOff>
      <xdr:row>0</xdr:row>
      <xdr:rowOff>28575</xdr:rowOff>
    </xdr:from>
    <xdr:ext cx="4105275" cy="285750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A0587334-D70E-4E1E-8F9E-74E71D616F33}"/>
            </a:ext>
          </a:extLst>
        </xdr:cNvPr>
        <xdr:cNvSpPr/>
      </xdr:nvSpPr>
      <xdr:spPr>
        <a:xfrm>
          <a:off x="26422350" y="28575"/>
          <a:ext cx="410527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ctr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建玉現在高は年末現在。ただし、*印は限月到来銘柄の最終建玉高。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year. * is a final position of the contract month.</a:t>
          </a:r>
          <a:endParaRPr kumimoji="1" lang="ja-JP" altLang="en-US" sz="1100" kern="0" spc="0" baseline="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187"/>
  <sheetViews>
    <sheetView showGridLines="0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 customHeight="1"/>
  <cols>
    <col min="1" max="1" width="10.625" style="2" customWidth="1"/>
    <col min="2" max="2" width="25.75" style="2" bestFit="1" customWidth="1"/>
    <col min="3" max="3" width="34.5" style="2" bestFit="1" customWidth="1"/>
    <col min="4" max="4" width="10.25" style="2" bestFit="1" customWidth="1"/>
    <col min="5" max="6" width="10.75" style="2" bestFit="1" customWidth="1"/>
    <col min="7" max="7" width="6.125" style="2" bestFit="1" customWidth="1"/>
    <col min="8" max="8" width="15.25" style="2" customWidth="1"/>
    <col min="9" max="9" width="6.125" style="2" bestFit="1" customWidth="1"/>
    <col min="10" max="10" width="15.25" style="2" customWidth="1"/>
    <col min="11" max="11" width="6.125" style="2" bestFit="1" customWidth="1"/>
    <col min="12" max="12" width="15.25" style="2" customWidth="1"/>
    <col min="13" max="13" width="6.125" style="2" bestFit="1" customWidth="1"/>
    <col min="14" max="14" width="15.25" style="2" customWidth="1"/>
    <col min="15" max="15" width="6.125" style="2" bestFit="1" customWidth="1"/>
    <col min="16" max="16" width="15.25" style="2" customWidth="1"/>
    <col min="17" max="17" width="6.125" style="2" bestFit="1" customWidth="1"/>
    <col min="18" max="18" width="15.25" style="2" customWidth="1"/>
    <col min="19" max="19" width="15.125" style="2" bestFit="1" customWidth="1"/>
    <col min="20" max="22" width="15" style="2" customWidth="1"/>
    <col min="23" max="25" width="21.25" style="2" customWidth="1"/>
    <col min="26" max="26" width="2.375" style="2" bestFit="1" customWidth="1"/>
    <col min="27" max="27" width="15.25" style="2" customWidth="1"/>
    <col min="28" max="28" width="17.625" style="2" customWidth="1"/>
    <col min="29" max="29" width="6.75" style="2" bestFit="1" customWidth="1"/>
    <col min="30" max="16384" width="9" style="2"/>
  </cols>
  <sheetData>
    <row r="1" spans="1:29" ht="30" customHeight="1">
      <c r="A1" s="28" t="s">
        <v>26</v>
      </c>
      <c r="B1" s="29"/>
      <c r="C1" s="29"/>
      <c r="D1" s="29"/>
      <c r="E1" s="29"/>
      <c r="F1" s="29"/>
      <c r="G1" s="29"/>
      <c r="H1" s="29"/>
      <c r="I1" s="29"/>
      <c r="J1" s="29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7"/>
      <c r="X1" s="17"/>
      <c r="Y1" s="17"/>
      <c r="Z1" s="17"/>
      <c r="AA1" s="17"/>
      <c r="AB1" s="17"/>
      <c r="AC1" s="20"/>
    </row>
    <row r="2" spans="1:29" ht="30" customHeight="1">
      <c r="A2" s="30" t="s">
        <v>27</v>
      </c>
      <c r="B2" s="31"/>
      <c r="C2" s="31"/>
      <c r="D2" s="21"/>
      <c r="E2" s="21"/>
      <c r="F2" s="21"/>
      <c r="G2" s="21"/>
      <c r="H2" s="21"/>
      <c r="I2" s="21"/>
      <c r="J2" s="21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4"/>
    </row>
    <row r="3" spans="1:29" ht="14.1" customHeight="1">
      <c r="A3" s="37" t="s">
        <v>25</v>
      </c>
      <c r="B3" s="47" t="s">
        <v>24</v>
      </c>
      <c r="C3" s="47" t="s">
        <v>23</v>
      </c>
      <c r="D3" s="49" t="s">
        <v>0</v>
      </c>
      <c r="E3" s="51" t="s">
        <v>4</v>
      </c>
      <c r="F3" s="52"/>
      <c r="G3" s="39" t="s">
        <v>22</v>
      </c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60" t="s">
        <v>40</v>
      </c>
      <c r="T3" s="32" t="s">
        <v>21</v>
      </c>
      <c r="U3" s="33"/>
      <c r="V3" s="34"/>
      <c r="W3" s="32" t="s">
        <v>20</v>
      </c>
      <c r="X3" s="33"/>
      <c r="Y3" s="34"/>
      <c r="Z3" s="53" t="s">
        <v>19</v>
      </c>
      <c r="AA3" s="54"/>
      <c r="AB3" s="47" t="s">
        <v>28</v>
      </c>
      <c r="AC3" s="58" t="s">
        <v>18</v>
      </c>
    </row>
    <row r="4" spans="1:29" ht="9" customHeight="1">
      <c r="A4" s="38"/>
      <c r="B4" s="48"/>
      <c r="C4" s="48"/>
      <c r="D4" s="50"/>
      <c r="E4" s="53"/>
      <c r="F4" s="54"/>
      <c r="G4" s="41" t="s">
        <v>5</v>
      </c>
      <c r="H4" s="45" t="s">
        <v>30</v>
      </c>
      <c r="I4" s="41" t="s">
        <v>5</v>
      </c>
      <c r="J4" s="43" t="s">
        <v>32</v>
      </c>
      <c r="K4" s="57" t="s">
        <v>1</v>
      </c>
      <c r="L4" s="57"/>
      <c r="M4" s="41" t="s">
        <v>5</v>
      </c>
      <c r="N4" s="43" t="s">
        <v>36</v>
      </c>
      <c r="O4" s="57" t="s">
        <v>1</v>
      </c>
      <c r="P4" s="57"/>
      <c r="Q4" s="41" t="s">
        <v>5</v>
      </c>
      <c r="R4" s="45" t="s">
        <v>38</v>
      </c>
      <c r="S4" s="61"/>
      <c r="T4" s="49" t="s">
        <v>2</v>
      </c>
      <c r="U4" s="50" t="s">
        <v>17</v>
      </c>
      <c r="V4" s="61" t="s">
        <v>42</v>
      </c>
      <c r="W4" s="49" t="s">
        <v>2</v>
      </c>
      <c r="X4" s="50" t="s">
        <v>16</v>
      </c>
      <c r="Y4" s="61" t="s">
        <v>44</v>
      </c>
      <c r="Z4" s="53"/>
      <c r="AA4" s="54"/>
      <c r="AB4" s="48"/>
      <c r="AC4" s="59"/>
    </row>
    <row r="5" spans="1:29" ht="27" customHeight="1">
      <c r="A5" s="38"/>
      <c r="B5" s="48"/>
      <c r="C5" s="48"/>
      <c r="D5" s="50"/>
      <c r="E5" s="55"/>
      <c r="F5" s="56"/>
      <c r="G5" s="42"/>
      <c r="H5" s="46"/>
      <c r="I5" s="42"/>
      <c r="J5" s="44"/>
      <c r="K5" s="5" t="s">
        <v>15</v>
      </c>
      <c r="L5" s="18" t="s">
        <v>34</v>
      </c>
      <c r="M5" s="42"/>
      <c r="N5" s="44"/>
      <c r="O5" s="5" t="s">
        <v>15</v>
      </c>
      <c r="P5" s="18" t="s">
        <v>34</v>
      </c>
      <c r="Q5" s="42"/>
      <c r="R5" s="46"/>
      <c r="S5" s="61"/>
      <c r="T5" s="49"/>
      <c r="U5" s="50"/>
      <c r="V5" s="61"/>
      <c r="W5" s="49"/>
      <c r="X5" s="50"/>
      <c r="Y5" s="61"/>
      <c r="Z5" s="53"/>
      <c r="AA5" s="56"/>
      <c r="AB5" s="49"/>
      <c r="AC5" s="59"/>
    </row>
    <row r="6" spans="1:29" ht="36" customHeight="1">
      <c r="A6" s="22" t="s">
        <v>14</v>
      </c>
      <c r="B6" s="49"/>
      <c r="C6" s="49"/>
      <c r="D6" s="23" t="s">
        <v>3</v>
      </c>
      <c r="E6" s="35" t="s">
        <v>13</v>
      </c>
      <c r="F6" s="36"/>
      <c r="G6" s="5" t="s">
        <v>12</v>
      </c>
      <c r="H6" s="19" t="s">
        <v>31</v>
      </c>
      <c r="I6" s="5" t="s">
        <v>12</v>
      </c>
      <c r="J6" s="18" t="s">
        <v>33</v>
      </c>
      <c r="K6" s="5" t="s">
        <v>12</v>
      </c>
      <c r="L6" s="18" t="s">
        <v>35</v>
      </c>
      <c r="M6" s="5" t="s">
        <v>12</v>
      </c>
      <c r="N6" s="18" t="s">
        <v>37</v>
      </c>
      <c r="O6" s="5" t="s">
        <v>12</v>
      </c>
      <c r="P6" s="18" t="s">
        <v>35</v>
      </c>
      <c r="Q6" s="5" t="s">
        <v>12</v>
      </c>
      <c r="R6" s="18" t="s">
        <v>39</v>
      </c>
      <c r="S6" s="25" t="s">
        <v>41</v>
      </c>
      <c r="T6" s="23" t="s">
        <v>11</v>
      </c>
      <c r="U6" s="23" t="s">
        <v>10</v>
      </c>
      <c r="V6" s="25" t="s">
        <v>43</v>
      </c>
      <c r="W6" s="23" t="s">
        <v>9</v>
      </c>
      <c r="X6" s="23" t="s">
        <v>8</v>
      </c>
      <c r="Y6" s="25" t="s">
        <v>45</v>
      </c>
      <c r="Z6" s="35" t="s">
        <v>7</v>
      </c>
      <c r="AA6" s="36"/>
      <c r="AB6" s="6" t="s">
        <v>29</v>
      </c>
      <c r="AC6" s="24" t="s">
        <v>6</v>
      </c>
    </row>
    <row r="7" spans="1:29">
      <c r="A7" s="8" t="s">
        <v>46</v>
      </c>
      <c r="B7" s="9" t="s">
        <v>47</v>
      </c>
      <c r="C7" s="9" t="s">
        <v>48</v>
      </c>
      <c r="D7" s="9" t="s">
        <v>49</v>
      </c>
      <c r="E7" s="10" t="s">
        <v>50</v>
      </c>
      <c r="F7" s="10" t="s">
        <v>51</v>
      </c>
      <c r="G7" s="11" t="s">
        <v>52</v>
      </c>
      <c r="H7" s="12" t="s">
        <v>53</v>
      </c>
      <c r="I7" s="11" t="s">
        <v>54</v>
      </c>
      <c r="J7" s="12" t="s">
        <v>55</v>
      </c>
      <c r="K7" s="11"/>
      <c r="L7" s="12"/>
      <c r="M7" s="11" t="s">
        <v>56</v>
      </c>
      <c r="N7" s="12" t="s">
        <v>57</v>
      </c>
      <c r="O7" s="11"/>
      <c r="P7" s="12"/>
      <c r="Q7" s="11" t="s">
        <v>58</v>
      </c>
      <c r="R7" s="12" t="s">
        <v>59</v>
      </c>
      <c r="S7" s="13">
        <f>6759.35</f>
        <v>6759.35</v>
      </c>
      <c r="T7" s="14">
        <f>4858</f>
        <v>4858</v>
      </c>
      <c r="U7" s="14"/>
      <c r="V7" s="14">
        <v>464</v>
      </c>
      <c r="W7" s="14">
        <f>33075050000</f>
        <v>33075050000</v>
      </c>
      <c r="X7" s="14"/>
      <c r="Y7" s="14">
        <v>3113938000</v>
      </c>
      <c r="Z7" s="11" t="s">
        <v>60</v>
      </c>
      <c r="AA7" s="15">
        <f>208</f>
        <v>208</v>
      </c>
      <c r="AB7" s="15" t="str">
        <f t="shared" ref="AB7:AB38" si="0">"－"</f>
        <v>－</v>
      </c>
      <c r="AC7" s="16">
        <f>34</f>
        <v>34</v>
      </c>
    </row>
    <row r="8" spans="1:29">
      <c r="A8" s="8" t="s">
        <v>46</v>
      </c>
      <c r="B8" s="9" t="s">
        <v>47</v>
      </c>
      <c r="C8" s="9" t="s">
        <v>48</v>
      </c>
      <c r="D8" s="9" t="s">
        <v>61</v>
      </c>
      <c r="E8" s="10" t="s">
        <v>62</v>
      </c>
      <c r="F8" s="10" t="s">
        <v>63</v>
      </c>
      <c r="G8" s="11" t="s">
        <v>52</v>
      </c>
      <c r="H8" s="12" t="s">
        <v>64</v>
      </c>
      <c r="I8" s="11" t="s">
        <v>65</v>
      </c>
      <c r="J8" s="12" t="s">
        <v>66</v>
      </c>
      <c r="K8" s="11" t="s">
        <v>67</v>
      </c>
      <c r="L8" s="12" t="s">
        <v>68</v>
      </c>
      <c r="M8" s="11" t="s">
        <v>56</v>
      </c>
      <c r="N8" s="12" t="s">
        <v>69</v>
      </c>
      <c r="O8" s="11" t="s">
        <v>70</v>
      </c>
      <c r="P8" s="12" t="s">
        <v>71</v>
      </c>
      <c r="Q8" s="11" t="s">
        <v>72</v>
      </c>
      <c r="R8" s="12" t="s">
        <v>73</v>
      </c>
      <c r="S8" s="13">
        <f>7206.14</f>
        <v>7206.14</v>
      </c>
      <c r="T8" s="14">
        <f>10625</f>
        <v>10625</v>
      </c>
      <c r="U8" s="14">
        <v>33</v>
      </c>
      <c r="V8" s="14">
        <v>475</v>
      </c>
      <c r="W8" s="14">
        <f>75422646000</f>
        <v>75422646000</v>
      </c>
      <c r="X8" s="14">
        <v>235293000</v>
      </c>
      <c r="Y8" s="14">
        <v>3230367000</v>
      </c>
      <c r="Z8" s="11" t="s">
        <v>60</v>
      </c>
      <c r="AA8" s="15">
        <f>807</f>
        <v>807</v>
      </c>
      <c r="AB8" s="15" t="str">
        <f t="shared" si="0"/>
        <v>－</v>
      </c>
      <c r="AC8" s="16">
        <f>76</f>
        <v>76</v>
      </c>
    </row>
    <row r="9" spans="1:29">
      <c r="A9" s="8" t="s">
        <v>46</v>
      </c>
      <c r="B9" s="9" t="s">
        <v>47</v>
      </c>
      <c r="C9" s="9" t="s">
        <v>48</v>
      </c>
      <c r="D9" s="9" t="s">
        <v>74</v>
      </c>
      <c r="E9" s="10" t="s">
        <v>75</v>
      </c>
      <c r="F9" s="10" t="s">
        <v>76</v>
      </c>
      <c r="G9" s="11" t="s">
        <v>52</v>
      </c>
      <c r="H9" s="12" t="s">
        <v>77</v>
      </c>
      <c r="I9" s="11" t="s">
        <v>65</v>
      </c>
      <c r="J9" s="12" t="s">
        <v>78</v>
      </c>
      <c r="K9" s="11"/>
      <c r="L9" s="12"/>
      <c r="M9" s="11" t="s">
        <v>56</v>
      </c>
      <c r="N9" s="12" t="s">
        <v>57</v>
      </c>
      <c r="O9" s="11"/>
      <c r="P9" s="12"/>
      <c r="Q9" s="11" t="s">
        <v>79</v>
      </c>
      <c r="R9" s="12" t="s">
        <v>80</v>
      </c>
      <c r="S9" s="13">
        <f>7402.26</f>
        <v>7402.26</v>
      </c>
      <c r="T9" s="14">
        <f>13582</f>
        <v>13582</v>
      </c>
      <c r="U9" s="14"/>
      <c r="V9" s="14">
        <v>1115</v>
      </c>
      <c r="W9" s="14">
        <f>99711048000</f>
        <v>99711048000</v>
      </c>
      <c r="X9" s="14"/>
      <c r="Y9" s="14">
        <v>7865119000</v>
      </c>
      <c r="Z9" s="11" t="s">
        <v>60</v>
      </c>
      <c r="AA9" s="15">
        <f>113</f>
        <v>113</v>
      </c>
      <c r="AB9" s="15" t="str">
        <f t="shared" si="0"/>
        <v>－</v>
      </c>
      <c r="AC9" s="16">
        <f>117</f>
        <v>117</v>
      </c>
    </row>
    <row r="10" spans="1:29">
      <c r="A10" s="8" t="s">
        <v>46</v>
      </c>
      <c r="B10" s="9" t="s">
        <v>47</v>
      </c>
      <c r="C10" s="9" t="s">
        <v>48</v>
      </c>
      <c r="D10" s="9" t="s">
        <v>81</v>
      </c>
      <c r="E10" s="10" t="s">
        <v>82</v>
      </c>
      <c r="F10" s="10" t="s">
        <v>83</v>
      </c>
      <c r="G10" s="11" t="s">
        <v>52</v>
      </c>
      <c r="H10" s="12" t="s">
        <v>84</v>
      </c>
      <c r="I10" s="11" t="s">
        <v>65</v>
      </c>
      <c r="J10" s="12" t="s">
        <v>85</v>
      </c>
      <c r="K10" s="11" t="s">
        <v>86</v>
      </c>
      <c r="L10" s="12" t="s">
        <v>87</v>
      </c>
      <c r="M10" s="11" t="s">
        <v>56</v>
      </c>
      <c r="N10" s="12" t="s">
        <v>88</v>
      </c>
      <c r="O10" s="11" t="s">
        <v>89</v>
      </c>
      <c r="P10" s="12" t="s">
        <v>90</v>
      </c>
      <c r="Q10" s="11" t="s">
        <v>91</v>
      </c>
      <c r="R10" s="12" t="s">
        <v>92</v>
      </c>
      <c r="S10" s="13">
        <f>7469.01</f>
        <v>7469.01</v>
      </c>
      <c r="T10" s="14">
        <f>31757</f>
        <v>31757</v>
      </c>
      <c r="U10" s="14">
        <v>2</v>
      </c>
      <c r="V10" s="14">
        <v>3537</v>
      </c>
      <c r="W10" s="14">
        <f>231206240000</f>
        <v>231206240000</v>
      </c>
      <c r="X10" s="14">
        <v>14305000</v>
      </c>
      <c r="Y10" s="14">
        <v>25181178000</v>
      </c>
      <c r="Z10" s="11" t="s">
        <v>60</v>
      </c>
      <c r="AA10" s="15">
        <f>45</f>
        <v>45</v>
      </c>
      <c r="AB10" s="15" t="str">
        <f t="shared" si="0"/>
        <v>－</v>
      </c>
      <c r="AC10" s="16">
        <f>159</f>
        <v>159</v>
      </c>
    </row>
    <row r="11" spans="1:29">
      <c r="A11" s="8" t="s">
        <v>46</v>
      </c>
      <c r="B11" s="9" t="s">
        <v>47</v>
      </c>
      <c r="C11" s="9" t="s">
        <v>48</v>
      </c>
      <c r="D11" s="9" t="s">
        <v>93</v>
      </c>
      <c r="E11" s="10" t="s">
        <v>94</v>
      </c>
      <c r="F11" s="10" t="s">
        <v>95</v>
      </c>
      <c r="G11" s="11" t="s">
        <v>52</v>
      </c>
      <c r="H11" s="12" t="s">
        <v>96</v>
      </c>
      <c r="I11" s="11" t="s">
        <v>65</v>
      </c>
      <c r="J11" s="12" t="s">
        <v>97</v>
      </c>
      <c r="K11" s="11" t="s">
        <v>98</v>
      </c>
      <c r="L11" s="12" t="s">
        <v>99</v>
      </c>
      <c r="M11" s="11" t="s">
        <v>56</v>
      </c>
      <c r="N11" s="12" t="s">
        <v>100</v>
      </c>
      <c r="O11" s="11" t="s">
        <v>101</v>
      </c>
      <c r="P11" s="12" t="s">
        <v>102</v>
      </c>
      <c r="Q11" s="11" t="s">
        <v>103</v>
      </c>
      <c r="R11" s="12" t="s">
        <v>104</v>
      </c>
      <c r="S11" s="13">
        <f>7531.55</f>
        <v>7531.55</v>
      </c>
      <c r="T11" s="14">
        <f>120801</f>
        <v>120801</v>
      </c>
      <c r="U11" s="14">
        <v>33</v>
      </c>
      <c r="V11" s="14">
        <v>15302</v>
      </c>
      <c r="W11" s="14">
        <f>842491069000</f>
        <v>842491069000</v>
      </c>
      <c r="X11" s="14">
        <v>253167000</v>
      </c>
      <c r="Y11" s="14">
        <v>106169586000</v>
      </c>
      <c r="Z11" s="11" t="s">
        <v>60</v>
      </c>
      <c r="AA11" s="15">
        <f>471</f>
        <v>471</v>
      </c>
      <c r="AB11" s="15" t="str">
        <f t="shared" si="0"/>
        <v>－</v>
      </c>
      <c r="AC11" s="16">
        <f>199</f>
        <v>199</v>
      </c>
    </row>
    <row r="12" spans="1:29">
      <c r="A12" s="8" t="s">
        <v>46</v>
      </c>
      <c r="B12" s="9" t="s">
        <v>47</v>
      </c>
      <c r="C12" s="9" t="s">
        <v>48</v>
      </c>
      <c r="D12" s="9" t="s">
        <v>105</v>
      </c>
      <c r="E12" s="10" t="s">
        <v>106</v>
      </c>
      <c r="F12" s="10" t="s">
        <v>107</v>
      </c>
      <c r="G12" s="11" t="s">
        <v>52</v>
      </c>
      <c r="H12" s="12" t="s">
        <v>108</v>
      </c>
      <c r="I12" s="11" t="s">
        <v>65</v>
      </c>
      <c r="J12" s="12" t="s">
        <v>109</v>
      </c>
      <c r="K12" s="11" t="s">
        <v>110</v>
      </c>
      <c r="L12" s="12" t="s">
        <v>111</v>
      </c>
      <c r="M12" s="11" t="s">
        <v>56</v>
      </c>
      <c r="N12" s="12" t="s">
        <v>57</v>
      </c>
      <c r="O12" s="11" t="s">
        <v>70</v>
      </c>
      <c r="P12" s="12" t="s">
        <v>112</v>
      </c>
      <c r="Q12" s="11" t="s">
        <v>113</v>
      </c>
      <c r="R12" s="12" t="s">
        <v>114</v>
      </c>
      <c r="S12" s="13">
        <f>7583.3</f>
        <v>7583.3</v>
      </c>
      <c r="T12" s="14">
        <f>1063450</f>
        <v>1063450</v>
      </c>
      <c r="U12" s="14">
        <v>111</v>
      </c>
      <c r="V12" s="14">
        <v>34032</v>
      </c>
      <c r="W12" s="14">
        <f>7377388862000</f>
        <v>7377388862000</v>
      </c>
      <c r="X12" s="14">
        <v>821322000</v>
      </c>
      <c r="Y12" s="14">
        <v>245885653000</v>
      </c>
      <c r="Z12" s="11" t="s">
        <v>60</v>
      </c>
      <c r="AA12" s="15">
        <f>779</f>
        <v>779</v>
      </c>
      <c r="AB12" s="15" t="str">
        <f t="shared" si="0"/>
        <v>－</v>
      </c>
      <c r="AC12" s="16">
        <f>239</f>
        <v>239</v>
      </c>
    </row>
    <row r="13" spans="1:29">
      <c r="A13" s="8" t="s">
        <v>46</v>
      </c>
      <c r="B13" s="9" t="s">
        <v>47</v>
      </c>
      <c r="C13" s="9" t="s">
        <v>48</v>
      </c>
      <c r="D13" s="9" t="s">
        <v>115</v>
      </c>
      <c r="E13" s="10" t="s">
        <v>116</v>
      </c>
      <c r="F13" s="10" t="s">
        <v>117</v>
      </c>
      <c r="G13" s="11" t="s">
        <v>118</v>
      </c>
      <c r="H13" s="12" t="s">
        <v>119</v>
      </c>
      <c r="I13" s="11" t="s">
        <v>65</v>
      </c>
      <c r="J13" s="12" t="s">
        <v>120</v>
      </c>
      <c r="K13" s="11" t="s">
        <v>121</v>
      </c>
      <c r="L13" s="12" t="s">
        <v>122</v>
      </c>
      <c r="M13" s="11" t="s">
        <v>123</v>
      </c>
      <c r="N13" s="12" t="s">
        <v>124</v>
      </c>
      <c r="O13" s="11" t="s">
        <v>121</v>
      </c>
      <c r="P13" s="12" t="s">
        <v>125</v>
      </c>
      <c r="Q13" s="11" t="s">
        <v>126</v>
      </c>
      <c r="R13" s="12" t="s">
        <v>127</v>
      </c>
      <c r="S13" s="13">
        <f>7719.08</f>
        <v>7719.08</v>
      </c>
      <c r="T13" s="14">
        <f>1804807</f>
        <v>1804807</v>
      </c>
      <c r="U13" s="14">
        <v>53</v>
      </c>
      <c r="V13" s="14">
        <v>36705</v>
      </c>
      <c r="W13" s="14">
        <f>13596370231000</f>
        <v>13596370231000</v>
      </c>
      <c r="X13" s="14">
        <v>402821000</v>
      </c>
      <c r="Y13" s="14">
        <v>276675627000</v>
      </c>
      <c r="Z13" s="11"/>
      <c r="AA13" s="15">
        <f>2121</f>
        <v>2121</v>
      </c>
      <c r="AB13" s="15" t="str">
        <f t="shared" si="0"/>
        <v>－</v>
      </c>
      <c r="AC13" s="16">
        <f>210</f>
        <v>210</v>
      </c>
    </row>
    <row r="14" spans="1:29">
      <c r="A14" s="8" t="s">
        <v>46</v>
      </c>
      <c r="B14" s="9" t="s">
        <v>47</v>
      </c>
      <c r="C14" s="9" t="s">
        <v>48</v>
      </c>
      <c r="D14" s="9" t="s">
        <v>128</v>
      </c>
      <c r="E14" s="10" t="s">
        <v>129</v>
      </c>
      <c r="F14" s="10" t="s">
        <v>130</v>
      </c>
      <c r="G14" s="11" t="s">
        <v>121</v>
      </c>
      <c r="H14" s="12" t="s">
        <v>131</v>
      </c>
      <c r="I14" s="11" t="s">
        <v>132</v>
      </c>
      <c r="J14" s="12" t="s">
        <v>133</v>
      </c>
      <c r="K14" s="11" t="s">
        <v>132</v>
      </c>
      <c r="L14" s="12" t="s">
        <v>134</v>
      </c>
      <c r="M14" s="11" t="s">
        <v>135</v>
      </c>
      <c r="N14" s="12" t="s">
        <v>136</v>
      </c>
      <c r="O14" s="11" t="s">
        <v>137</v>
      </c>
      <c r="P14" s="12" t="s">
        <v>138</v>
      </c>
      <c r="Q14" s="11" t="s">
        <v>126</v>
      </c>
      <c r="R14" s="12" t="s">
        <v>139</v>
      </c>
      <c r="S14" s="13">
        <f>7756.01</f>
        <v>7756.01</v>
      </c>
      <c r="T14" s="14">
        <f>1207827</f>
        <v>1207827</v>
      </c>
      <c r="U14" s="14">
        <v>71</v>
      </c>
      <c r="V14" s="14">
        <v>30249</v>
      </c>
      <c r="W14" s="14">
        <f>9360787745000</f>
        <v>9360787745000</v>
      </c>
      <c r="X14" s="14">
        <v>546375000</v>
      </c>
      <c r="Y14" s="14">
        <v>232780655000</v>
      </c>
      <c r="Z14" s="11"/>
      <c r="AA14" s="15">
        <f>2353</f>
        <v>2353</v>
      </c>
      <c r="AB14" s="15" t="str">
        <f t="shared" si="0"/>
        <v>－</v>
      </c>
      <c r="AC14" s="16">
        <f>168</f>
        <v>168</v>
      </c>
    </row>
    <row r="15" spans="1:29">
      <c r="A15" s="8" t="s">
        <v>46</v>
      </c>
      <c r="B15" s="9" t="s">
        <v>47</v>
      </c>
      <c r="C15" s="9" t="s">
        <v>48</v>
      </c>
      <c r="D15" s="9" t="s">
        <v>140</v>
      </c>
      <c r="E15" s="10" t="s">
        <v>141</v>
      </c>
      <c r="F15" s="10" t="s">
        <v>142</v>
      </c>
      <c r="G15" s="11" t="s">
        <v>143</v>
      </c>
      <c r="H15" s="12" t="s">
        <v>144</v>
      </c>
      <c r="I15" s="11" t="s">
        <v>145</v>
      </c>
      <c r="J15" s="12" t="s">
        <v>146</v>
      </c>
      <c r="K15" s="11" t="s">
        <v>147</v>
      </c>
      <c r="L15" s="12" t="s">
        <v>148</v>
      </c>
      <c r="M15" s="11" t="s">
        <v>149</v>
      </c>
      <c r="N15" s="12" t="s">
        <v>150</v>
      </c>
      <c r="O15" s="11" t="s">
        <v>151</v>
      </c>
      <c r="P15" s="12" t="s">
        <v>152</v>
      </c>
      <c r="Q15" s="11" t="s">
        <v>126</v>
      </c>
      <c r="R15" s="12" t="s">
        <v>153</v>
      </c>
      <c r="S15" s="13">
        <f>7753.14</f>
        <v>7753.14</v>
      </c>
      <c r="T15" s="14">
        <f>1043777</f>
        <v>1043777</v>
      </c>
      <c r="U15" s="14">
        <v>53</v>
      </c>
      <c r="V15" s="14">
        <v>28718</v>
      </c>
      <c r="W15" s="14">
        <f>7982105978000</f>
        <v>7982105978000</v>
      </c>
      <c r="X15" s="14">
        <v>407548000</v>
      </c>
      <c r="Y15" s="14">
        <v>222184425000</v>
      </c>
      <c r="Z15" s="11"/>
      <c r="AA15" s="15">
        <f>2329</f>
        <v>2329</v>
      </c>
      <c r="AB15" s="15" t="str">
        <f t="shared" si="0"/>
        <v>－</v>
      </c>
      <c r="AC15" s="16">
        <f>127</f>
        <v>127</v>
      </c>
    </row>
    <row r="16" spans="1:29">
      <c r="A16" s="8" t="s">
        <v>46</v>
      </c>
      <c r="B16" s="9" t="s">
        <v>47</v>
      </c>
      <c r="C16" s="9" t="s">
        <v>48</v>
      </c>
      <c r="D16" s="9" t="s">
        <v>154</v>
      </c>
      <c r="E16" s="10" t="s">
        <v>155</v>
      </c>
      <c r="F16" s="10" t="s">
        <v>156</v>
      </c>
      <c r="G16" s="11" t="s">
        <v>157</v>
      </c>
      <c r="H16" s="12" t="s">
        <v>158</v>
      </c>
      <c r="I16" s="11" t="s">
        <v>145</v>
      </c>
      <c r="J16" s="12" t="s">
        <v>159</v>
      </c>
      <c r="K16" s="11" t="s">
        <v>160</v>
      </c>
      <c r="L16" s="12" t="s">
        <v>161</v>
      </c>
      <c r="M16" s="11" t="s">
        <v>162</v>
      </c>
      <c r="N16" s="12" t="s">
        <v>163</v>
      </c>
      <c r="O16" s="11" t="s">
        <v>160</v>
      </c>
      <c r="P16" s="12" t="s">
        <v>164</v>
      </c>
      <c r="Q16" s="11" t="s">
        <v>126</v>
      </c>
      <c r="R16" s="12" t="s">
        <v>127</v>
      </c>
      <c r="S16" s="13">
        <f>7803.26</f>
        <v>7803.26</v>
      </c>
      <c r="T16" s="14">
        <f>1125063</f>
        <v>1125063</v>
      </c>
      <c r="U16" s="14">
        <v>82</v>
      </c>
      <c r="V16" s="14">
        <v>29458</v>
      </c>
      <c r="W16" s="14">
        <f>8751652342000</f>
        <v>8751652342000</v>
      </c>
      <c r="X16" s="14">
        <v>636173000</v>
      </c>
      <c r="Y16" s="14">
        <v>229844612000</v>
      </c>
      <c r="Z16" s="11"/>
      <c r="AA16" s="15">
        <f>4652</f>
        <v>4652</v>
      </c>
      <c r="AB16" s="15" t="str">
        <f t="shared" si="0"/>
        <v>－</v>
      </c>
      <c r="AC16" s="16">
        <f>85</f>
        <v>85</v>
      </c>
    </row>
    <row r="17" spans="1:29">
      <c r="A17" s="8" t="s">
        <v>46</v>
      </c>
      <c r="B17" s="9" t="s">
        <v>47</v>
      </c>
      <c r="C17" s="9" t="s">
        <v>48</v>
      </c>
      <c r="D17" s="9" t="s">
        <v>165</v>
      </c>
      <c r="E17" s="10" t="s">
        <v>166</v>
      </c>
      <c r="F17" s="10" t="s">
        <v>167</v>
      </c>
      <c r="G17" s="11" t="s">
        <v>168</v>
      </c>
      <c r="H17" s="12" t="s">
        <v>169</v>
      </c>
      <c r="I17" s="11" t="s">
        <v>145</v>
      </c>
      <c r="J17" s="12" t="s">
        <v>170</v>
      </c>
      <c r="K17" s="11" t="s">
        <v>171</v>
      </c>
      <c r="L17" s="12" t="s">
        <v>172</v>
      </c>
      <c r="M17" s="11" t="s">
        <v>113</v>
      </c>
      <c r="N17" s="12" t="s">
        <v>173</v>
      </c>
      <c r="O17" s="11" t="s">
        <v>171</v>
      </c>
      <c r="P17" s="12" t="s">
        <v>174</v>
      </c>
      <c r="Q17" s="11" t="s">
        <v>126</v>
      </c>
      <c r="R17" s="12" t="s">
        <v>175</v>
      </c>
      <c r="S17" s="13">
        <f>7822.93</f>
        <v>7822.93</v>
      </c>
      <c r="T17" s="14">
        <f>904375</f>
        <v>904375</v>
      </c>
      <c r="U17" s="14">
        <v>87</v>
      </c>
      <c r="V17" s="14">
        <v>19481</v>
      </c>
      <c r="W17" s="14">
        <f>7084143646000</f>
        <v>7084143646000</v>
      </c>
      <c r="X17" s="14">
        <v>677670000</v>
      </c>
      <c r="Y17" s="14">
        <v>152153310000</v>
      </c>
      <c r="Z17" s="11"/>
      <c r="AA17" s="15">
        <f>26368</f>
        <v>26368</v>
      </c>
      <c r="AB17" s="15" t="str">
        <f t="shared" si="0"/>
        <v>－</v>
      </c>
      <c r="AC17" s="16">
        <f>45</f>
        <v>45</v>
      </c>
    </row>
    <row r="18" spans="1:29">
      <c r="A18" s="8" t="s">
        <v>46</v>
      </c>
      <c r="B18" s="9" t="s">
        <v>47</v>
      </c>
      <c r="C18" s="9" t="s">
        <v>48</v>
      </c>
      <c r="D18" s="9" t="s">
        <v>176</v>
      </c>
      <c r="E18" s="10" t="s">
        <v>177</v>
      </c>
      <c r="F18" s="10" t="s">
        <v>178</v>
      </c>
      <c r="G18" s="11" t="s">
        <v>179</v>
      </c>
      <c r="H18" s="12" t="s">
        <v>180</v>
      </c>
      <c r="I18" s="11" t="s">
        <v>181</v>
      </c>
      <c r="J18" s="12" t="s">
        <v>182</v>
      </c>
      <c r="K18" s="11" t="s">
        <v>181</v>
      </c>
      <c r="L18" s="12" t="s">
        <v>183</v>
      </c>
      <c r="M18" s="11" t="s">
        <v>179</v>
      </c>
      <c r="N18" s="12" t="s">
        <v>184</v>
      </c>
      <c r="O18" s="11" t="s">
        <v>181</v>
      </c>
      <c r="P18" s="12" t="s">
        <v>185</v>
      </c>
      <c r="Q18" s="11" t="s">
        <v>126</v>
      </c>
      <c r="R18" s="12" t="s">
        <v>175</v>
      </c>
      <c r="S18" s="13">
        <f>7733.4</f>
        <v>7733.4</v>
      </c>
      <c r="T18" s="14">
        <f>45750</f>
        <v>45750</v>
      </c>
      <c r="U18" s="14">
        <v>11</v>
      </c>
      <c r="V18" s="14">
        <v>4422</v>
      </c>
      <c r="W18" s="14">
        <f>354750581000</f>
        <v>354750581000</v>
      </c>
      <c r="X18" s="14">
        <v>84712000</v>
      </c>
      <c r="Y18" s="14">
        <v>34292444000</v>
      </c>
      <c r="Z18" s="11"/>
      <c r="AA18" s="15">
        <f>6574</f>
        <v>6574</v>
      </c>
      <c r="AB18" s="15" t="str">
        <f t="shared" si="0"/>
        <v>－</v>
      </c>
      <c r="AC18" s="16">
        <f>5</f>
        <v>5</v>
      </c>
    </row>
    <row r="19" spans="1:29">
      <c r="A19" s="8" t="s">
        <v>46</v>
      </c>
      <c r="B19" s="9" t="s">
        <v>186</v>
      </c>
      <c r="C19" s="9" t="s">
        <v>187</v>
      </c>
      <c r="D19" s="9" t="s">
        <v>49</v>
      </c>
      <c r="E19" s="10" t="s">
        <v>50</v>
      </c>
      <c r="F19" s="10" t="s">
        <v>188</v>
      </c>
      <c r="G19" s="11" t="s">
        <v>52</v>
      </c>
      <c r="H19" s="12" t="s">
        <v>189</v>
      </c>
      <c r="I19" s="11" t="s">
        <v>54</v>
      </c>
      <c r="J19" s="12" t="s">
        <v>190</v>
      </c>
      <c r="K19" s="11"/>
      <c r="L19" s="12"/>
      <c r="M19" s="11" t="s">
        <v>56</v>
      </c>
      <c r="N19" s="12" t="s">
        <v>191</v>
      </c>
      <c r="O19" s="11"/>
      <c r="P19" s="12"/>
      <c r="Q19" s="11" t="s">
        <v>54</v>
      </c>
      <c r="R19" s="12" t="s">
        <v>192</v>
      </c>
      <c r="S19" s="13">
        <f>6752.45</f>
        <v>6752.45</v>
      </c>
      <c r="T19" s="14">
        <f>1740</f>
        <v>1740</v>
      </c>
      <c r="U19" s="14"/>
      <c r="V19" s="14">
        <v>50</v>
      </c>
      <c r="W19" s="14">
        <f>1186776300</f>
        <v>1186776300</v>
      </c>
      <c r="X19" s="14"/>
      <c r="Y19" s="14">
        <v>34915000</v>
      </c>
      <c r="Z19" s="11" t="s">
        <v>60</v>
      </c>
      <c r="AA19" s="15">
        <f>2090</f>
        <v>2090</v>
      </c>
      <c r="AB19" s="15" t="str">
        <f t="shared" si="0"/>
        <v>－</v>
      </c>
      <c r="AC19" s="16">
        <f>32</f>
        <v>32</v>
      </c>
    </row>
    <row r="20" spans="1:29">
      <c r="A20" s="8" t="s">
        <v>46</v>
      </c>
      <c r="B20" s="9" t="s">
        <v>186</v>
      </c>
      <c r="C20" s="9" t="s">
        <v>187</v>
      </c>
      <c r="D20" s="9" t="s">
        <v>61</v>
      </c>
      <c r="E20" s="10" t="s">
        <v>62</v>
      </c>
      <c r="F20" s="10" t="s">
        <v>193</v>
      </c>
      <c r="G20" s="11" t="s">
        <v>52</v>
      </c>
      <c r="H20" s="12" t="s">
        <v>194</v>
      </c>
      <c r="I20" s="11" t="s">
        <v>65</v>
      </c>
      <c r="J20" s="12" t="s">
        <v>195</v>
      </c>
      <c r="K20" s="11"/>
      <c r="L20" s="12"/>
      <c r="M20" s="11" t="s">
        <v>56</v>
      </c>
      <c r="N20" s="12" t="s">
        <v>196</v>
      </c>
      <c r="O20" s="11"/>
      <c r="P20" s="12"/>
      <c r="Q20" s="11" t="s">
        <v>197</v>
      </c>
      <c r="R20" s="12" t="s">
        <v>198</v>
      </c>
      <c r="S20" s="13">
        <f>7196.15</f>
        <v>7196.15</v>
      </c>
      <c r="T20" s="14">
        <f>1910</f>
        <v>1910</v>
      </c>
      <c r="U20" s="14"/>
      <c r="V20" s="14">
        <v>157</v>
      </c>
      <c r="W20" s="14">
        <f>1369681300</f>
        <v>1369681300</v>
      </c>
      <c r="X20" s="14"/>
      <c r="Y20" s="14">
        <v>119059300</v>
      </c>
      <c r="Z20" s="11" t="s">
        <v>60</v>
      </c>
      <c r="AA20" s="15">
        <f>848</f>
        <v>848</v>
      </c>
      <c r="AB20" s="15" t="str">
        <f t="shared" si="0"/>
        <v>－</v>
      </c>
      <c r="AC20" s="16">
        <f>72</f>
        <v>72</v>
      </c>
    </row>
    <row r="21" spans="1:29">
      <c r="A21" s="8" t="s">
        <v>46</v>
      </c>
      <c r="B21" s="9" t="s">
        <v>186</v>
      </c>
      <c r="C21" s="9" t="s">
        <v>187</v>
      </c>
      <c r="D21" s="9" t="s">
        <v>74</v>
      </c>
      <c r="E21" s="10" t="s">
        <v>75</v>
      </c>
      <c r="F21" s="10" t="s">
        <v>199</v>
      </c>
      <c r="G21" s="11" t="s">
        <v>52</v>
      </c>
      <c r="H21" s="12" t="s">
        <v>200</v>
      </c>
      <c r="I21" s="11" t="s">
        <v>65</v>
      </c>
      <c r="J21" s="12" t="s">
        <v>201</v>
      </c>
      <c r="K21" s="11"/>
      <c r="L21" s="12"/>
      <c r="M21" s="11" t="s">
        <v>56</v>
      </c>
      <c r="N21" s="12" t="s">
        <v>202</v>
      </c>
      <c r="O21" s="11"/>
      <c r="P21" s="12"/>
      <c r="Q21" s="11" t="s">
        <v>203</v>
      </c>
      <c r="R21" s="12" t="s">
        <v>204</v>
      </c>
      <c r="S21" s="13">
        <f>7397.85</f>
        <v>7397.85</v>
      </c>
      <c r="T21" s="14">
        <f>2315</f>
        <v>2315</v>
      </c>
      <c r="U21" s="14"/>
      <c r="V21" s="14">
        <v>393</v>
      </c>
      <c r="W21" s="14">
        <f>1718488350</f>
        <v>1718488350</v>
      </c>
      <c r="X21" s="14"/>
      <c r="Y21" s="14">
        <v>290822100</v>
      </c>
      <c r="Z21" s="11" t="s">
        <v>60</v>
      </c>
      <c r="AA21" s="15">
        <f>440</f>
        <v>440</v>
      </c>
      <c r="AB21" s="15" t="str">
        <f t="shared" si="0"/>
        <v>－</v>
      </c>
      <c r="AC21" s="16">
        <f>106</f>
        <v>106</v>
      </c>
    </row>
    <row r="22" spans="1:29">
      <c r="A22" s="8" t="s">
        <v>46</v>
      </c>
      <c r="B22" s="9" t="s">
        <v>186</v>
      </c>
      <c r="C22" s="9" t="s">
        <v>187</v>
      </c>
      <c r="D22" s="9" t="s">
        <v>81</v>
      </c>
      <c r="E22" s="10" t="s">
        <v>82</v>
      </c>
      <c r="F22" s="10" t="s">
        <v>205</v>
      </c>
      <c r="G22" s="11" t="s">
        <v>52</v>
      </c>
      <c r="H22" s="12" t="s">
        <v>206</v>
      </c>
      <c r="I22" s="11" t="s">
        <v>65</v>
      </c>
      <c r="J22" s="12" t="s">
        <v>207</v>
      </c>
      <c r="K22" s="11"/>
      <c r="L22" s="12"/>
      <c r="M22" s="11" t="s">
        <v>56</v>
      </c>
      <c r="N22" s="12" t="s">
        <v>208</v>
      </c>
      <c r="O22" s="11"/>
      <c r="P22" s="12"/>
      <c r="Q22" s="11" t="s">
        <v>209</v>
      </c>
      <c r="R22" s="12" t="s">
        <v>210</v>
      </c>
      <c r="S22" s="13">
        <f>7467.61</f>
        <v>7467.61</v>
      </c>
      <c r="T22" s="14">
        <f>3034</f>
        <v>3034</v>
      </c>
      <c r="U22" s="14"/>
      <c r="V22" s="14">
        <v>298</v>
      </c>
      <c r="W22" s="14">
        <f>2228621700</f>
        <v>2228621700</v>
      </c>
      <c r="X22" s="14"/>
      <c r="Y22" s="14">
        <v>218701050</v>
      </c>
      <c r="Z22" s="11" t="s">
        <v>60</v>
      </c>
      <c r="AA22" s="15">
        <f>2147</f>
        <v>2147</v>
      </c>
      <c r="AB22" s="15" t="str">
        <f t="shared" si="0"/>
        <v>－</v>
      </c>
      <c r="AC22" s="16">
        <f>141</f>
        <v>141</v>
      </c>
    </row>
    <row r="23" spans="1:29">
      <c r="A23" s="8" t="s">
        <v>46</v>
      </c>
      <c r="B23" s="9" t="s">
        <v>186</v>
      </c>
      <c r="C23" s="9" t="s">
        <v>187</v>
      </c>
      <c r="D23" s="9" t="s">
        <v>93</v>
      </c>
      <c r="E23" s="10" t="s">
        <v>94</v>
      </c>
      <c r="F23" s="10" t="s">
        <v>211</v>
      </c>
      <c r="G23" s="11" t="s">
        <v>52</v>
      </c>
      <c r="H23" s="12" t="s">
        <v>212</v>
      </c>
      <c r="I23" s="11" t="s">
        <v>65</v>
      </c>
      <c r="J23" s="12" t="s">
        <v>207</v>
      </c>
      <c r="K23" s="11"/>
      <c r="L23" s="12"/>
      <c r="M23" s="11" t="s">
        <v>56</v>
      </c>
      <c r="N23" s="12" t="s">
        <v>213</v>
      </c>
      <c r="O23" s="11"/>
      <c r="P23" s="12"/>
      <c r="Q23" s="11" t="s">
        <v>214</v>
      </c>
      <c r="R23" s="12" t="s">
        <v>215</v>
      </c>
      <c r="S23" s="13">
        <f>7529.93</f>
        <v>7529.93</v>
      </c>
      <c r="T23" s="14">
        <f>21857</f>
        <v>21857</v>
      </c>
      <c r="U23" s="14"/>
      <c r="V23" s="14">
        <v>182</v>
      </c>
      <c r="W23" s="14">
        <f>15112201050</f>
        <v>15112201050</v>
      </c>
      <c r="X23" s="14"/>
      <c r="Y23" s="14">
        <v>134750250</v>
      </c>
      <c r="Z23" s="11" t="s">
        <v>60</v>
      </c>
      <c r="AA23" s="15">
        <f>344</f>
        <v>344</v>
      </c>
      <c r="AB23" s="15" t="str">
        <f t="shared" si="0"/>
        <v>－</v>
      </c>
      <c r="AC23" s="16">
        <f>192</f>
        <v>192</v>
      </c>
    </row>
    <row r="24" spans="1:29">
      <c r="A24" s="8" t="s">
        <v>46</v>
      </c>
      <c r="B24" s="9" t="s">
        <v>186</v>
      </c>
      <c r="C24" s="9" t="s">
        <v>187</v>
      </c>
      <c r="D24" s="9" t="s">
        <v>105</v>
      </c>
      <c r="E24" s="10" t="s">
        <v>106</v>
      </c>
      <c r="F24" s="10" t="s">
        <v>216</v>
      </c>
      <c r="G24" s="11" t="s">
        <v>52</v>
      </c>
      <c r="H24" s="12" t="s">
        <v>217</v>
      </c>
      <c r="I24" s="11" t="s">
        <v>65</v>
      </c>
      <c r="J24" s="12" t="s">
        <v>218</v>
      </c>
      <c r="K24" s="11"/>
      <c r="L24" s="12"/>
      <c r="M24" s="11" t="s">
        <v>56</v>
      </c>
      <c r="N24" s="12" t="s">
        <v>208</v>
      </c>
      <c r="O24" s="11"/>
      <c r="P24" s="12"/>
      <c r="Q24" s="11" t="s">
        <v>219</v>
      </c>
      <c r="R24" s="12" t="s">
        <v>220</v>
      </c>
      <c r="S24" s="13">
        <f>7583.11</f>
        <v>7583.11</v>
      </c>
      <c r="T24" s="14">
        <f>311862</f>
        <v>311862</v>
      </c>
      <c r="U24" s="14"/>
      <c r="V24" s="14">
        <v>207</v>
      </c>
      <c r="W24" s="14">
        <f>217069539200</f>
        <v>217069539200</v>
      </c>
      <c r="X24" s="14"/>
      <c r="Y24" s="14">
        <v>153157100</v>
      </c>
      <c r="Z24" s="11" t="s">
        <v>60</v>
      </c>
      <c r="AA24" s="15">
        <f>341</f>
        <v>341</v>
      </c>
      <c r="AB24" s="15" t="str">
        <f t="shared" si="0"/>
        <v>－</v>
      </c>
      <c r="AC24" s="16">
        <f>236</f>
        <v>236</v>
      </c>
    </row>
    <row r="25" spans="1:29">
      <c r="A25" s="8" t="s">
        <v>46</v>
      </c>
      <c r="B25" s="9" t="s">
        <v>186</v>
      </c>
      <c r="C25" s="9" t="s">
        <v>187</v>
      </c>
      <c r="D25" s="9" t="s">
        <v>115</v>
      </c>
      <c r="E25" s="10" t="s">
        <v>116</v>
      </c>
      <c r="F25" s="10" t="s">
        <v>221</v>
      </c>
      <c r="G25" s="11" t="s">
        <v>118</v>
      </c>
      <c r="H25" s="12" t="s">
        <v>222</v>
      </c>
      <c r="I25" s="11" t="s">
        <v>65</v>
      </c>
      <c r="J25" s="12" t="s">
        <v>223</v>
      </c>
      <c r="K25" s="11" t="s">
        <v>224</v>
      </c>
      <c r="L25" s="12" t="s">
        <v>225</v>
      </c>
      <c r="M25" s="11" t="s">
        <v>123</v>
      </c>
      <c r="N25" s="12" t="s">
        <v>226</v>
      </c>
      <c r="O25" s="11" t="s">
        <v>224</v>
      </c>
      <c r="P25" s="12" t="s">
        <v>225</v>
      </c>
      <c r="Q25" s="11" t="s">
        <v>126</v>
      </c>
      <c r="R25" s="12" t="s">
        <v>227</v>
      </c>
      <c r="S25" s="13">
        <f>7719.08</f>
        <v>7719.08</v>
      </c>
      <c r="T25" s="14">
        <f>562179</f>
        <v>562179</v>
      </c>
      <c r="U25" s="14">
        <v>1</v>
      </c>
      <c r="V25" s="14">
        <v>119</v>
      </c>
      <c r="W25" s="14">
        <f>424614400000</f>
        <v>424614400000</v>
      </c>
      <c r="X25" s="14">
        <v>754800</v>
      </c>
      <c r="Y25" s="14">
        <v>90248900</v>
      </c>
      <c r="Z25" s="11"/>
      <c r="AA25" s="15">
        <f>520</f>
        <v>520</v>
      </c>
      <c r="AB25" s="15" t="str">
        <f t="shared" si="0"/>
        <v>－</v>
      </c>
      <c r="AC25" s="16">
        <f>207</f>
        <v>207</v>
      </c>
    </row>
    <row r="26" spans="1:29">
      <c r="A26" s="8" t="s">
        <v>46</v>
      </c>
      <c r="B26" s="9" t="s">
        <v>186</v>
      </c>
      <c r="C26" s="9" t="s">
        <v>187</v>
      </c>
      <c r="D26" s="9" t="s">
        <v>128</v>
      </c>
      <c r="E26" s="10" t="s">
        <v>129</v>
      </c>
      <c r="F26" s="10" t="s">
        <v>228</v>
      </c>
      <c r="G26" s="11" t="s">
        <v>121</v>
      </c>
      <c r="H26" s="12" t="s">
        <v>229</v>
      </c>
      <c r="I26" s="11" t="s">
        <v>132</v>
      </c>
      <c r="J26" s="12" t="s">
        <v>230</v>
      </c>
      <c r="K26" s="11"/>
      <c r="L26" s="12"/>
      <c r="M26" s="11" t="s">
        <v>135</v>
      </c>
      <c r="N26" s="12" t="s">
        <v>231</v>
      </c>
      <c r="O26" s="11"/>
      <c r="P26" s="12"/>
      <c r="Q26" s="11" t="s">
        <v>126</v>
      </c>
      <c r="R26" s="12" t="s">
        <v>232</v>
      </c>
      <c r="S26" s="13">
        <f>7756.01</f>
        <v>7756.01</v>
      </c>
      <c r="T26" s="14">
        <f>341426</f>
        <v>341426</v>
      </c>
      <c r="U26" s="14"/>
      <c r="V26" s="14">
        <v>173</v>
      </c>
      <c r="W26" s="14">
        <f>264649978450</f>
        <v>264649978450</v>
      </c>
      <c r="X26" s="14"/>
      <c r="Y26" s="14">
        <v>135138950</v>
      </c>
      <c r="Z26" s="11"/>
      <c r="AA26" s="15">
        <f>1194</f>
        <v>1194</v>
      </c>
      <c r="AB26" s="15" t="str">
        <f t="shared" si="0"/>
        <v>－</v>
      </c>
      <c r="AC26" s="16">
        <f>161</f>
        <v>161</v>
      </c>
    </row>
    <row r="27" spans="1:29">
      <c r="A27" s="8" t="s">
        <v>46</v>
      </c>
      <c r="B27" s="9" t="s">
        <v>186</v>
      </c>
      <c r="C27" s="9" t="s">
        <v>187</v>
      </c>
      <c r="D27" s="9" t="s">
        <v>140</v>
      </c>
      <c r="E27" s="10" t="s">
        <v>141</v>
      </c>
      <c r="F27" s="10" t="s">
        <v>233</v>
      </c>
      <c r="G27" s="11" t="s">
        <v>143</v>
      </c>
      <c r="H27" s="12" t="s">
        <v>234</v>
      </c>
      <c r="I27" s="11" t="s">
        <v>145</v>
      </c>
      <c r="J27" s="12" t="s">
        <v>235</v>
      </c>
      <c r="K27" s="11" t="s">
        <v>236</v>
      </c>
      <c r="L27" s="12" t="s">
        <v>237</v>
      </c>
      <c r="M27" s="11" t="s">
        <v>238</v>
      </c>
      <c r="N27" s="12" t="s">
        <v>239</v>
      </c>
      <c r="O27" s="11" t="s">
        <v>240</v>
      </c>
      <c r="P27" s="12" t="s">
        <v>241</v>
      </c>
      <c r="Q27" s="11" t="s">
        <v>126</v>
      </c>
      <c r="R27" s="12" t="s">
        <v>242</v>
      </c>
      <c r="S27" s="13">
        <f>7753.14</f>
        <v>7753.14</v>
      </c>
      <c r="T27" s="14">
        <f>236067</f>
        <v>236067</v>
      </c>
      <c r="U27" s="14">
        <v>36</v>
      </c>
      <c r="V27" s="14">
        <v>225</v>
      </c>
      <c r="W27" s="14">
        <f>180604669350</f>
        <v>180604669350</v>
      </c>
      <c r="X27" s="14">
        <v>28215000</v>
      </c>
      <c r="Y27" s="14">
        <v>175461950</v>
      </c>
      <c r="Z27" s="11"/>
      <c r="AA27" s="15">
        <f>1532</f>
        <v>1532</v>
      </c>
      <c r="AB27" s="15" t="str">
        <f t="shared" si="0"/>
        <v>－</v>
      </c>
      <c r="AC27" s="16">
        <f>126</f>
        <v>126</v>
      </c>
    </row>
    <row r="28" spans="1:29">
      <c r="A28" s="8" t="s">
        <v>46</v>
      </c>
      <c r="B28" s="9" t="s">
        <v>186</v>
      </c>
      <c r="C28" s="9" t="s">
        <v>187</v>
      </c>
      <c r="D28" s="9" t="s">
        <v>154</v>
      </c>
      <c r="E28" s="10" t="s">
        <v>155</v>
      </c>
      <c r="F28" s="10" t="s">
        <v>243</v>
      </c>
      <c r="G28" s="11" t="s">
        <v>157</v>
      </c>
      <c r="H28" s="12" t="s">
        <v>244</v>
      </c>
      <c r="I28" s="11" t="s">
        <v>145</v>
      </c>
      <c r="J28" s="12" t="s">
        <v>245</v>
      </c>
      <c r="K28" s="11" t="s">
        <v>145</v>
      </c>
      <c r="L28" s="12" t="s">
        <v>246</v>
      </c>
      <c r="M28" s="11" t="s">
        <v>162</v>
      </c>
      <c r="N28" s="12" t="s">
        <v>247</v>
      </c>
      <c r="O28" s="11" t="s">
        <v>147</v>
      </c>
      <c r="P28" s="12" t="s">
        <v>248</v>
      </c>
      <c r="Q28" s="11" t="s">
        <v>126</v>
      </c>
      <c r="R28" s="12" t="s">
        <v>249</v>
      </c>
      <c r="S28" s="13">
        <f>7803.26</f>
        <v>7803.26</v>
      </c>
      <c r="T28" s="14">
        <f>245644</f>
        <v>245644</v>
      </c>
      <c r="U28" s="14">
        <v>4</v>
      </c>
      <c r="V28" s="14">
        <v>82</v>
      </c>
      <c r="W28" s="14">
        <f>191170713000</f>
        <v>191170713000</v>
      </c>
      <c r="X28" s="14">
        <v>3108050</v>
      </c>
      <c r="Y28" s="14">
        <v>63611650</v>
      </c>
      <c r="Z28" s="11"/>
      <c r="AA28" s="15">
        <f>717</f>
        <v>717</v>
      </c>
      <c r="AB28" s="15" t="str">
        <f t="shared" si="0"/>
        <v>－</v>
      </c>
      <c r="AC28" s="16">
        <f>85</f>
        <v>85</v>
      </c>
    </row>
    <row r="29" spans="1:29">
      <c r="A29" s="8" t="s">
        <v>46</v>
      </c>
      <c r="B29" s="9" t="s">
        <v>186</v>
      </c>
      <c r="C29" s="9" t="s">
        <v>187</v>
      </c>
      <c r="D29" s="9" t="s">
        <v>165</v>
      </c>
      <c r="E29" s="10" t="s">
        <v>166</v>
      </c>
      <c r="F29" s="10" t="s">
        <v>250</v>
      </c>
      <c r="G29" s="11" t="s">
        <v>168</v>
      </c>
      <c r="H29" s="12" t="s">
        <v>251</v>
      </c>
      <c r="I29" s="11" t="s">
        <v>145</v>
      </c>
      <c r="J29" s="12" t="s">
        <v>252</v>
      </c>
      <c r="K29" s="11"/>
      <c r="L29" s="12"/>
      <c r="M29" s="11" t="s">
        <v>113</v>
      </c>
      <c r="N29" s="12" t="s">
        <v>253</v>
      </c>
      <c r="O29" s="11"/>
      <c r="P29" s="12"/>
      <c r="Q29" s="11" t="s">
        <v>126</v>
      </c>
      <c r="R29" s="12" t="s">
        <v>254</v>
      </c>
      <c r="S29" s="13">
        <f>7822.93</f>
        <v>7822.93</v>
      </c>
      <c r="T29" s="14">
        <f>183571</f>
        <v>183571</v>
      </c>
      <c r="U29" s="14"/>
      <c r="V29" s="14"/>
      <c r="W29" s="14">
        <f>143586636300</f>
        <v>143586636300</v>
      </c>
      <c r="X29" s="14"/>
      <c r="Y29" s="14"/>
      <c r="Z29" s="11"/>
      <c r="AA29" s="15">
        <f>5022</f>
        <v>5022</v>
      </c>
      <c r="AB29" s="15" t="str">
        <f t="shared" si="0"/>
        <v>－</v>
      </c>
      <c r="AC29" s="16">
        <f>45</f>
        <v>45</v>
      </c>
    </row>
    <row r="30" spans="1:29">
      <c r="A30" s="8" t="s">
        <v>46</v>
      </c>
      <c r="B30" s="9" t="s">
        <v>186</v>
      </c>
      <c r="C30" s="9" t="s">
        <v>187</v>
      </c>
      <c r="D30" s="9" t="s">
        <v>176</v>
      </c>
      <c r="E30" s="10" t="s">
        <v>177</v>
      </c>
      <c r="F30" s="10" t="s">
        <v>255</v>
      </c>
      <c r="G30" s="11" t="s">
        <v>179</v>
      </c>
      <c r="H30" s="12" t="s">
        <v>256</v>
      </c>
      <c r="I30" s="11" t="s">
        <v>181</v>
      </c>
      <c r="J30" s="12" t="s">
        <v>257</v>
      </c>
      <c r="K30" s="11"/>
      <c r="L30" s="12"/>
      <c r="M30" s="11" t="s">
        <v>179</v>
      </c>
      <c r="N30" s="12" t="s">
        <v>256</v>
      </c>
      <c r="O30" s="11"/>
      <c r="P30" s="12"/>
      <c r="Q30" s="11" t="s">
        <v>126</v>
      </c>
      <c r="R30" s="12" t="s">
        <v>258</v>
      </c>
      <c r="S30" s="13">
        <f>7733.4</f>
        <v>7733.4</v>
      </c>
      <c r="T30" s="14">
        <f>10352</f>
        <v>10352</v>
      </c>
      <c r="U30" s="14"/>
      <c r="V30" s="14"/>
      <c r="W30" s="14">
        <f>8022531350</f>
        <v>8022531350</v>
      </c>
      <c r="X30" s="14"/>
      <c r="Y30" s="14"/>
      <c r="Z30" s="11"/>
      <c r="AA30" s="15">
        <f>1020</f>
        <v>1020</v>
      </c>
      <c r="AB30" s="15" t="str">
        <f t="shared" si="0"/>
        <v>－</v>
      </c>
      <c r="AC30" s="16">
        <f>5</f>
        <v>5</v>
      </c>
    </row>
    <row r="31" spans="1:29">
      <c r="A31" s="8" t="s">
        <v>46</v>
      </c>
      <c r="B31" s="9" t="s">
        <v>259</v>
      </c>
      <c r="C31" s="9" t="s">
        <v>260</v>
      </c>
      <c r="D31" s="9" t="s">
        <v>261</v>
      </c>
      <c r="E31" s="10" t="s">
        <v>261</v>
      </c>
      <c r="F31" s="10" t="s">
        <v>261</v>
      </c>
      <c r="G31" s="11" t="s">
        <v>52</v>
      </c>
      <c r="H31" s="12" t="s">
        <v>262</v>
      </c>
      <c r="I31" s="11" t="s">
        <v>65</v>
      </c>
      <c r="J31" s="12" t="s">
        <v>263</v>
      </c>
      <c r="K31" s="11" t="s">
        <v>264</v>
      </c>
      <c r="L31" s="12" t="s">
        <v>265</v>
      </c>
      <c r="M31" s="11" t="s">
        <v>56</v>
      </c>
      <c r="N31" s="12" t="s">
        <v>96</v>
      </c>
      <c r="O31" s="11" t="s">
        <v>266</v>
      </c>
      <c r="P31" s="12" t="s">
        <v>267</v>
      </c>
      <c r="Q31" s="11" t="s">
        <v>126</v>
      </c>
      <c r="R31" s="12" t="s">
        <v>268</v>
      </c>
      <c r="S31" s="13">
        <f>7594.82</f>
        <v>7594.82</v>
      </c>
      <c r="T31" s="14">
        <f>1135700</f>
        <v>1135700</v>
      </c>
      <c r="U31" s="14">
        <v>395</v>
      </c>
      <c r="V31" s="14"/>
      <c r="W31" s="14">
        <f>866179227000</f>
        <v>866179227000</v>
      </c>
      <c r="X31" s="14">
        <v>285995800</v>
      </c>
      <c r="Y31" s="14"/>
      <c r="Z31" s="11"/>
      <c r="AA31" s="15">
        <f>73167</f>
        <v>73167</v>
      </c>
      <c r="AB31" s="15" t="str">
        <f t="shared" si="0"/>
        <v>－</v>
      </c>
      <c r="AC31" s="16">
        <f>244</f>
        <v>244</v>
      </c>
    </row>
    <row r="32" spans="1:29">
      <c r="A32" s="8" t="s">
        <v>46</v>
      </c>
      <c r="B32" s="9" t="s">
        <v>269</v>
      </c>
      <c r="C32" s="9" t="s">
        <v>270</v>
      </c>
      <c r="D32" s="9" t="s">
        <v>49</v>
      </c>
      <c r="E32" s="10" t="s">
        <v>50</v>
      </c>
      <c r="F32" s="10" t="s">
        <v>51</v>
      </c>
      <c r="G32" s="11" t="s">
        <v>52</v>
      </c>
      <c r="H32" s="12" t="s">
        <v>271</v>
      </c>
      <c r="I32" s="11" t="s">
        <v>272</v>
      </c>
      <c r="J32" s="12" t="s">
        <v>273</v>
      </c>
      <c r="K32" s="11" t="s">
        <v>274</v>
      </c>
      <c r="L32" s="12" t="s">
        <v>275</v>
      </c>
      <c r="M32" s="11" t="s">
        <v>276</v>
      </c>
      <c r="N32" s="12" t="s">
        <v>277</v>
      </c>
      <c r="O32" s="11" t="s">
        <v>274</v>
      </c>
      <c r="P32" s="12" t="s">
        <v>275</v>
      </c>
      <c r="Q32" s="11" t="s">
        <v>278</v>
      </c>
      <c r="R32" s="12" t="s">
        <v>279</v>
      </c>
      <c r="S32" s="13">
        <f>85.61</f>
        <v>85.61</v>
      </c>
      <c r="T32" s="14">
        <f>188</f>
        <v>188</v>
      </c>
      <c r="U32" s="14">
        <v>6</v>
      </c>
      <c r="V32" s="14"/>
      <c r="W32" s="14">
        <f>160777000</f>
        <v>160777000</v>
      </c>
      <c r="X32" s="14">
        <v>5136000</v>
      </c>
      <c r="Y32" s="14"/>
      <c r="Z32" s="11" t="s">
        <v>60</v>
      </c>
      <c r="AA32" s="15">
        <f>45</f>
        <v>45</v>
      </c>
      <c r="AB32" s="15" t="str">
        <f t="shared" si="0"/>
        <v>－</v>
      </c>
      <c r="AC32" s="16">
        <f>17</f>
        <v>17</v>
      </c>
    </row>
    <row r="33" spans="1:29">
      <c r="A33" s="8" t="s">
        <v>46</v>
      </c>
      <c r="B33" s="9" t="s">
        <v>269</v>
      </c>
      <c r="C33" s="9" t="s">
        <v>270</v>
      </c>
      <c r="D33" s="9" t="s">
        <v>61</v>
      </c>
      <c r="E33" s="10" t="s">
        <v>62</v>
      </c>
      <c r="F33" s="10" t="s">
        <v>63</v>
      </c>
      <c r="G33" s="11" t="s">
        <v>52</v>
      </c>
      <c r="H33" s="12" t="s">
        <v>280</v>
      </c>
      <c r="I33" s="11" t="s">
        <v>281</v>
      </c>
      <c r="J33" s="12" t="s">
        <v>282</v>
      </c>
      <c r="K33" s="11" t="s">
        <v>283</v>
      </c>
      <c r="L33" s="12" t="s">
        <v>284</v>
      </c>
      <c r="M33" s="11" t="s">
        <v>285</v>
      </c>
      <c r="N33" s="12" t="s">
        <v>277</v>
      </c>
      <c r="O33" s="11" t="s">
        <v>283</v>
      </c>
      <c r="P33" s="12" t="s">
        <v>284</v>
      </c>
      <c r="Q33" s="11" t="s">
        <v>286</v>
      </c>
      <c r="R33" s="12" t="s">
        <v>287</v>
      </c>
      <c r="S33" s="13">
        <f>92.32</f>
        <v>92.32</v>
      </c>
      <c r="T33" s="14">
        <f>321</f>
        <v>321</v>
      </c>
      <c r="U33" s="14">
        <v>1</v>
      </c>
      <c r="V33" s="14">
        <v>12</v>
      </c>
      <c r="W33" s="14">
        <f>293182000</f>
        <v>293182000</v>
      </c>
      <c r="X33" s="14">
        <v>1040000</v>
      </c>
      <c r="Y33" s="14">
        <v>11278000</v>
      </c>
      <c r="Z33" s="11" t="s">
        <v>60</v>
      </c>
      <c r="AA33" s="15">
        <f>45</f>
        <v>45</v>
      </c>
      <c r="AB33" s="15" t="str">
        <f t="shared" si="0"/>
        <v>－</v>
      </c>
      <c r="AC33" s="16">
        <f>47</f>
        <v>47</v>
      </c>
    </row>
    <row r="34" spans="1:29">
      <c r="A34" s="8" t="s">
        <v>46</v>
      </c>
      <c r="B34" s="9" t="s">
        <v>269</v>
      </c>
      <c r="C34" s="9" t="s">
        <v>270</v>
      </c>
      <c r="D34" s="9" t="s">
        <v>74</v>
      </c>
      <c r="E34" s="10" t="s">
        <v>75</v>
      </c>
      <c r="F34" s="10" t="s">
        <v>76</v>
      </c>
      <c r="G34" s="11" t="s">
        <v>52</v>
      </c>
      <c r="H34" s="12" t="s">
        <v>280</v>
      </c>
      <c r="I34" s="11" t="s">
        <v>288</v>
      </c>
      <c r="J34" s="12" t="s">
        <v>289</v>
      </c>
      <c r="K34" s="11" t="s">
        <v>290</v>
      </c>
      <c r="L34" s="12" t="s">
        <v>291</v>
      </c>
      <c r="M34" s="11" t="s">
        <v>292</v>
      </c>
      <c r="N34" s="12" t="s">
        <v>293</v>
      </c>
      <c r="O34" s="11" t="s">
        <v>290</v>
      </c>
      <c r="P34" s="12" t="s">
        <v>291</v>
      </c>
      <c r="Q34" s="11" t="s">
        <v>292</v>
      </c>
      <c r="R34" s="12" t="s">
        <v>294</v>
      </c>
      <c r="S34" s="13">
        <f>91.6</f>
        <v>91.6</v>
      </c>
      <c r="T34" s="14">
        <f>302</f>
        <v>302</v>
      </c>
      <c r="U34" s="14">
        <v>2</v>
      </c>
      <c r="V34" s="14">
        <v>6</v>
      </c>
      <c r="W34" s="14">
        <f>276766000</f>
        <v>276766000</v>
      </c>
      <c r="X34" s="14">
        <v>1740000</v>
      </c>
      <c r="Y34" s="14">
        <v>5478000</v>
      </c>
      <c r="Z34" s="11" t="s">
        <v>60</v>
      </c>
      <c r="AA34" s="15">
        <f>36</f>
        <v>36</v>
      </c>
      <c r="AB34" s="15" t="str">
        <f t="shared" si="0"/>
        <v>－</v>
      </c>
      <c r="AC34" s="16">
        <f>66</f>
        <v>66</v>
      </c>
    </row>
    <row r="35" spans="1:29">
      <c r="A35" s="8" t="s">
        <v>46</v>
      </c>
      <c r="B35" s="9" t="s">
        <v>269</v>
      </c>
      <c r="C35" s="9" t="s">
        <v>270</v>
      </c>
      <c r="D35" s="9" t="s">
        <v>81</v>
      </c>
      <c r="E35" s="10" t="s">
        <v>82</v>
      </c>
      <c r="F35" s="10" t="s">
        <v>83</v>
      </c>
      <c r="G35" s="11" t="s">
        <v>52</v>
      </c>
      <c r="H35" s="12" t="s">
        <v>295</v>
      </c>
      <c r="I35" s="11" t="s">
        <v>288</v>
      </c>
      <c r="J35" s="12" t="s">
        <v>296</v>
      </c>
      <c r="K35" s="11" t="s">
        <v>297</v>
      </c>
      <c r="L35" s="12" t="s">
        <v>298</v>
      </c>
      <c r="M35" s="11" t="s">
        <v>299</v>
      </c>
      <c r="N35" s="12" t="s">
        <v>300</v>
      </c>
      <c r="O35" s="11" t="s">
        <v>297</v>
      </c>
      <c r="P35" s="12" t="s">
        <v>298</v>
      </c>
      <c r="Q35" s="11" t="s">
        <v>301</v>
      </c>
      <c r="R35" s="12" t="s">
        <v>302</v>
      </c>
      <c r="S35" s="13">
        <f>89.17</f>
        <v>89.17</v>
      </c>
      <c r="T35" s="14">
        <f>484</f>
        <v>484</v>
      </c>
      <c r="U35" s="14">
        <v>5</v>
      </c>
      <c r="V35" s="14">
        <v>54</v>
      </c>
      <c r="W35" s="14">
        <f>431104000</f>
        <v>431104000</v>
      </c>
      <c r="X35" s="14">
        <v>4320000</v>
      </c>
      <c r="Y35" s="14">
        <v>49766000</v>
      </c>
      <c r="Z35" s="11" t="s">
        <v>60</v>
      </c>
      <c r="AA35" s="15">
        <f>33</f>
        <v>33</v>
      </c>
      <c r="AB35" s="15" t="str">
        <f t="shared" si="0"/>
        <v>－</v>
      </c>
      <c r="AC35" s="16">
        <f>88</f>
        <v>88</v>
      </c>
    </row>
    <row r="36" spans="1:29">
      <c r="A36" s="8" t="s">
        <v>46</v>
      </c>
      <c r="B36" s="9" t="s">
        <v>269</v>
      </c>
      <c r="C36" s="9" t="s">
        <v>270</v>
      </c>
      <c r="D36" s="9" t="s">
        <v>93</v>
      </c>
      <c r="E36" s="10" t="s">
        <v>94</v>
      </c>
      <c r="F36" s="10" t="s">
        <v>95</v>
      </c>
      <c r="G36" s="11" t="s">
        <v>52</v>
      </c>
      <c r="H36" s="12" t="s">
        <v>303</v>
      </c>
      <c r="I36" s="11" t="s">
        <v>288</v>
      </c>
      <c r="J36" s="12" t="s">
        <v>289</v>
      </c>
      <c r="K36" s="11" t="s">
        <v>103</v>
      </c>
      <c r="L36" s="12" t="s">
        <v>304</v>
      </c>
      <c r="M36" s="11" t="s">
        <v>305</v>
      </c>
      <c r="N36" s="12" t="s">
        <v>306</v>
      </c>
      <c r="O36" s="11" t="s">
        <v>103</v>
      </c>
      <c r="P36" s="12" t="s">
        <v>304</v>
      </c>
      <c r="Q36" s="11" t="s">
        <v>307</v>
      </c>
      <c r="R36" s="12" t="s">
        <v>308</v>
      </c>
      <c r="S36" s="13">
        <f>88.36</f>
        <v>88.36</v>
      </c>
      <c r="T36" s="14">
        <f>2475</f>
        <v>2475</v>
      </c>
      <c r="U36" s="14">
        <v>3</v>
      </c>
      <c r="V36" s="14">
        <v>151</v>
      </c>
      <c r="W36" s="14">
        <f>2161406000</f>
        <v>2161406000</v>
      </c>
      <c r="X36" s="14">
        <v>2670000</v>
      </c>
      <c r="Y36" s="14">
        <v>133102000</v>
      </c>
      <c r="Z36" s="11" t="s">
        <v>60</v>
      </c>
      <c r="AA36" s="15">
        <f>57</f>
        <v>57</v>
      </c>
      <c r="AB36" s="15" t="str">
        <f t="shared" si="0"/>
        <v>－</v>
      </c>
      <c r="AC36" s="16">
        <f>114</f>
        <v>114</v>
      </c>
    </row>
    <row r="37" spans="1:29">
      <c r="A37" s="8" t="s">
        <v>46</v>
      </c>
      <c r="B37" s="9" t="s">
        <v>269</v>
      </c>
      <c r="C37" s="9" t="s">
        <v>270</v>
      </c>
      <c r="D37" s="9" t="s">
        <v>105</v>
      </c>
      <c r="E37" s="10" t="s">
        <v>106</v>
      </c>
      <c r="F37" s="10" t="s">
        <v>107</v>
      </c>
      <c r="G37" s="11" t="s">
        <v>52</v>
      </c>
      <c r="H37" s="12" t="s">
        <v>295</v>
      </c>
      <c r="I37" s="11" t="s">
        <v>65</v>
      </c>
      <c r="J37" s="12" t="s">
        <v>309</v>
      </c>
      <c r="K37" s="11" t="s">
        <v>272</v>
      </c>
      <c r="L37" s="12" t="s">
        <v>310</v>
      </c>
      <c r="M37" s="11" t="s">
        <v>311</v>
      </c>
      <c r="N37" s="12" t="s">
        <v>300</v>
      </c>
      <c r="O37" s="11" t="s">
        <v>272</v>
      </c>
      <c r="P37" s="12" t="s">
        <v>310</v>
      </c>
      <c r="Q37" s="11" t="s">
        <v>312</v>
      </c>
      <c r="R37" s="12" t="s">
        <v>313</v>
      </c>
      <c r="S37" s="13">
        <f>89.29</f>
        <v>89.29</v>
      </c>
      <c r="T37" s="14">
        <f>8534</f>
        <v>8534</v>
      </c>
      <c r="U37" s="14">
        <v>1</v>
      </c>
      <c r="V37" s="14">
        <v>178</v>
      </c>
      <c r="W37" s="14">
        <f>7602514000</f>
        <v>7602514000</v>
      </c>
      <c r="X37" s="14">
        <v>881000</v>
      </c>
      <c r="Y37" s="14">
        <v>158415000</v>
      </c>
      <c r="Z37" s="11" t="s">
        <v>60</v>
      </c>
      <c r="AA37" s="15">
        <f>57</f>
        <v>57</v>
      </c>
      <c r="AB37" s="15" t="str">
        <f t="shared" si="0"/>
        <v>－</v>
      </c>
      <c r="AC37" s="16">
        <f>148</f>
        <v>148</v>
      </c>
    </row>
    <row r="38" spans="1:29">
      <c r="A38" s="8" t="s">
        <v>46</v>
      </c>
      <c r="B38" s="9" t="s">
        <v>269</v>
      </c>
      <c r="C38" s="9" t="s">
        <v>270</v>
      </c>
      <c r="D38" s="9" t="s">
        <v>115</v>
      </c>
      <c r="E38" s="10" t="s">
        <v>116</v>
      </c>
      <c r="F38" s="10" t="s">
        <v>117</v>
      </c>
      <c r="G38" s="11" t="s">
        <v>118</v>
      </c>
      <c r="H38" s="12" t="s">
        <v>314</v>
      </c>
      <c r="I38" s="11" t="s">
        <v>288</v>
      </c>
      <c r="J38" s="12" t="s">
        <v>315</v>
      </c>
      <c r="K38" s="11" t="s">
        <v>290</v>
      </c>
      <c r="L38" s="12" t="s">
        <v>316</v>
      </c>
      <c r="M38" s="11" t="s">
        <v>317</v>
      </c>
      <c r="N38" s="12" t="s">
        <v>318</v>
      </c>
      <c r="O38" s="11" t="s">
        <v>290</v>
      </c>
      <c r="P38" s="12" t="s">
        <v>316</v>
      </c>
      <c r="Q38" s="11" t="s">
        <v>181</v>
      </c>
      <c r="R38" s="12" t="s">
        <v>319</v>
      </c>
      <c r="S38" s="13">
        <f>90.04</f>
        <v>90.04</v>
      </c>
      <c r="T38" s="14">
        <f>8593</f>
        <v>8593</v>
      </c>
      <c r="U38" s="14">
        <v>6</v>
      </c>
      <c r="V38" s="14">
        <v>72</v>
      </c>
      <c r="W38" s="14">
        <f>8235913000</f>
        <v>8235913000</v>
      </c>
      <c r="X38" s="14">
        <v>5556000</v>
      </c>
      <c r="Y38" s="14">
        <v>67495000</v>
      </c>
      <c r="Z38" s="11"/>
      <c r="AA38" s="15">
        <f>314</f>
        <v>314</v>
      </c>
      <c r="AB38" s="15" t="str">
        <f t="shared" si="0"/>
        <v>－</v>
      </c>
      <c r="AC38" s="16">
        <f>141</f>
        <v>141</v>
      </c>
    </row>
    <row r="39" spans="1:29">
      <c r="A39" s="8" t="s">
        <v>46</v>
      </c>
      <c r="B39" s="9" t="s">
        <v>269</v>
      </c>
      <c r="C39" s="9" t="s">
        <v>270</v>
      </c>
      <c r="D39" s="9" t="s">
        <v>128</v>
      </c>
      <c r="E39" s="10" t="s">
        <v>129</v>
      </c>
      <c r="F39" s="10" t="s">
        <v>130</v>
      </c>
      <c r="G39" s="11" t="s">
        <v>121</v>
      </c>
      <c r="H39" s="12" t="s">
        <v>320</v>
      </c>
      <c r="I39" s="11" t="s">
        <v>121</v>
      </c>
      <c r="J39" s="12" t="s">
        <v>320</v>
      </c>
      <c r="K39" s="11" t="s">
        <v>290</v>
      </c>
      <c r="L39" s="12" t="s">
        <v>321</v>
      </c>
      <c r="M39" s="11" t="s">
        <v>322</v>
      </c>
      <c r="N39" s="12" t="s">
        <v>323</v>
      </c>
      <c r="O39" s="11" t="s">
        <v>290</v>
      </c>
      <c r="P39" s="12" t="s">
        <v>321</v>
      </c>
      <c r="Q39" s="11" t="s">
        <v>324</v>
      </c>
      <c r="R39" s="12" t="s">
        <v>325</v>
      </c>
      <c r="S39" s="13">
        <f>87.9</f>
        <v>87.9</v>
      </c>
      <c r="T39" s="14">
        <f>6768</f>
        <v>6768</v>
      </c>
      <c r="U39" s="14">
        <v>1</v>
      </c>
      <c r="V39" s="14">
        <v>34</v>
      </c>
      <c r="W39" s="14">
        <f>6139100000</f>
        <v>6139100000</v>
      </c>
      <c r="X39" s="14">
        <v>948000</v>
      </c>
      <c r="Y39" s="14">
        <v>28432000</v>
      </c>
      <c r="Z39" s="11"/>
      <c r="AA39" s="15">
        <f>230</f>
        <v>230</v>
      </c>
      <c r="AB39" s="15" t="str">
        <f t="shared" ref="AB39:AB70" si="1">"－"</f>
        <v>－</v>
      </c>
      <c r="AC39" s="16">
        <f>132</f>
        <v>132</v>
      </c>
    </row>
    <row r="40" spans="1:29">
      <c r="A40" s="8" t="s">
        <v>46</v>
      </c>
      <c r="B40" s="9" t="s">
        <v>269</v>
      </c>
      <c r="C40" s="9" t="s">
        <v>270</v>
      </c>
      <c r="D40" s="9" t="s">
        <v>140</v>
      </c>
      <c r="E40" s="10" t="s">
        <v>141</v>
      </c>
      <c r="F40" s="10" t="s">
        <v>142</v>
      </c>
      <c r="G40" s="11" t="s">
        <v>143</v>
      </c>
      <c r="H40" s="12" t="s">
        <v>326</v>
      </c>
      <c r="I40" s="11" t="s">
        <v>312</v>
      </c>
      <c r="J40" s="12" t="s">
        <v>327</v>
      </c>
      <c r="K40" s="11" t="s">
        <v>147</v>
      </c>
      <c r="L40" s="12" t="s">
        <v>328</v>
      </c>
      <c r="M40" s="11" t="s">
        <v>329</v>
      </c>
      <c r="N40" s="12" t="s">
        <v>330</v>
      </c>
      <c r="O40" s="11" t="s">
        <v>147</v>
      </c>
      <c r="P40" s="12" t="s">
        <v>328</v>
      </c>
      <c r="Q40" s="11" t="s">
        <v>312</v>
      </c>
      <c r="R40" s="12" t="s">
        <v>327</v>
      </c>
      <c r="S40" s="13">
        <f>86.75</f>
        <v>86.75</v>
      </c>
      <c r="T40" s="14">
        <f>3705</f>
        <v>3705</v>
      </c>
      <c r="U40" s="14">
        <v>1</v>
      </c>
      <c r="V40" s="14">
        <v>50</v>
      </c>
      <c r="W40" s="14">
        <f>3128419000</f>
        <v>3128419000</v>
      </c>
      <c r="X40" s="14">
        <v>950000</v>
      </c>
      <c r="Y40" s="14">
        <v>44031000</v>
      </c>
      <c r="Z40" s="11"/>
      <c r="AA40" s="15">
        <f>152</f>
        <v>152</v>
      </c>
      <c r="AB40" s="15" t="str">
        <f t="shared" si="1"/>
        <v>－</v>
      </c>
      <c r="AC40" s="16">
        <f>105</f>
        <v>105</v>
      </c>
    </row>
    <row r="41" spans="1:29">
      <c r="A41" s="8" t="s">
        <v>46</v>
      </c>
      <c r="B41" s="9" t="s">
        <v>269</v>
      </c>
      <c r="C41" s="9" t="s">
        <v>270</v>
      </c>
      <c r="D41" s="9" t="s">
        <v>154</v>
      </c>
      <c r="E41" s="10" t="s">
        <v>155</v>
      </c>
      <c r="F41" s="10" t="s">
        <v>156</v>
      </c>
      <c r="G41" s="11" t="s">
        <v>157</v>
      </c>
      <c r="H41" s="12" t="s">
        <v>331</v>
      </c>
      <c r="I41" s="11" t="s">
        <v>332</v>
      </c>
      <c r="J41" s="12" t="s">
        <v>333</v>
      </c>
      <c r="K41" s="11" t="s">
        <v>147</v>
      </c>
      <c r="L41" s="12" t="s">
        <v>334</v>
      </c>
      <c r="M41" s="11" t="s">
        <v>335</v>
      </c>
      <c r="N41" s="12" t="s">
        <v>336</v>
      </c>
      <c r="O41" s="11" t="s">
        <v>312</v>
      </c>
      <c r="P41" s="12" t="s">
        <v>337</v>
      </c>
      <c r="Q41" s="11" t="s">
        <v>126</v>
      </c>
      <c r="R41" s="12" t="s">
        <v>338</v>
      </c>
      <c r="S41" s="13">
        <f>89.69</f>
        <v>89.69</v>
      </c>
      <c r="T41" s="14">
        <f>3753</f>
        <v>3753</v>
      </c>
      <c r="U41" s="14">
        <v>4</v>
      </c>
      <c r="V41" s="14">
        <v>25</v>
      </c>
      <c r="W41" s="14">
        <f>3281665000</f>
        <v>3281665000</v>
      </c>
      <c r="X41" s="14">
        <v>3799000</v>
      </c>
      <c r="Y41" s="14">
        <v>22728000</v>
      </c>
      <c r="Z41" s="11"/>
      <c r="AA41" s="15">
        <f>330</f>
        <v>330</v>
      </c>
      <c r="AB41" s="15" t="str">
        <f t="shared" si="1"/>
        <v>－</v>
      </c>
      <c r="AC41" s="16">
        <f>85</f>
        <v>85</v>
      </c>
    </row>
    <row r="42" spans="1:29">
      <c r="A42" s="8" t="s">
        <v>46</v>
      </c>
      <c r="B42" s="9" t="s">
        <v>269</v>
      </c>
      <c r="C42" s="9" t="s">
        <v>270</v>
      </c>
      <c r="D42" s="9" t="s">
        <v>165</v>
      </c>
      <c r="E42" s="10" t="s">
        <v>166</v>
      </c>
      <c r="F42" s="10" t="s">
        <v>167</v>
      </c>
      <c r="G42" s="11" t="s">
        <v>168</v>
      </c>
      <c r="H42" s="12" t="s">
        <v>339</v>
      </c>
      <c r="I42" s="11" t="s">
        <v>332</v>
      </c>
      <c r="J42" s="12" t="s">
        <v>340</v>
      </c>
      <c r="K42" s="11"/>
      <c r="L42" s="12"/>
      <c r="M42" s="11" t="s">
        <v>341</v>
      </c>
      <c r="N42" s="12" t="s">
        <v>342</v>
      </c>
      <c r="O42" s="11"/>
      <c r="P42" s="12"/>
      <c r="Q42" s="11" t="s">
        <v>126</v>
      </c>
      <c r="R42" s="12" t="s">
        <v>343</v>
      </c>
      <c r="S42" s="13">
        <f>95.67</f>
        <v>95.67</v>
      </c>
      <c r="T42" s="14">
        <f>2062</f>
        <v>2062</v>
      </c>
      <c r="U42" s="14"/>
      <c r="V42" s="14"/>
      <c r="W42" s="14">
        <f>1976007000</f>
        <v>1976007000</v>
      </c>
      <c r="X42" s="14"/>
      <c r="Y42" s="14"/>
      <c r="Z42" s="11"/>
      <c r="AA42" s="15">
        <f>251</f>
        <v>251</v>
      </c>
      <c r="AB42" s="15" t="str">
        <f t="shared" si="1"/>
        <v>－</v>
      </c>
      <c r="AC42" s="16">
        <f>45</f>
        <v>45</v>
      </c>
    </row>
    <row r="43" spans="1:29">
      <c r="A43" s="8" t="s">
        <v>46</v>
      </c>
      <c r="B43" s="9" t="s">
        <v>269</v>
      </c>
      <c r="C43" s="9" t="s">
        <v>270</v>
      </c>
      <c r="D43" s="9" t="s">
        <v>176</v>
      </c>
      <c r="E43" s="10" t="s">
        <v>177</v>
      </c>
      <c r="F43" s="10" t="s">
        <v>178</v>
      </c>
      <c r="G43" s="11" t="s">
        <v>179</v>
      </c>
      <c r="H43" s="12" t="s">
        <v>344</v>
      </c>
      <c r="I43" s="11" t="s">
        <v>181</v>
      </c>
      <c r="J43" s="12" t="s">
        <v>345</v>
      </c>
      <c r="K43" s="11"/>
      <c r="L43" s="12"/>
      <c r="M43" s="11" t="s">
        <v>179</v>
      </c>
      <c r="N43" s="12" t="s">
        <v>346</v>
      </c>
      <c r="O43" s="11"/>
      <c r="P43" s="12"/>
      <c r="Q43" s="11" t="s">
        <v>126</v>
      </c>
      <c r="R43" s="12" t="s">
        <v>347</v>
      </c>
      <c r="S43" s="13">
        <f>100</f>
        <v>100</v>
      </c>
      <c r="T43" s="14">
        <f>113</f>
        <v>113</v>
      </c>
      <c r="U43" s="14"/>
      <c r="V43" s="14"/>
      <c r="W43" s="14">
        <f>113205000</f>
        <v>113205000</v>
      </c>
      <c r="X43" s="14"/>
      <c r="Y43" s="14"/>
      <c r="Z43" s="11"/>
      <c r="AA43" s="15">
        <f>59</f>
        <v>59</v>
      </c>
      <c r="AB43" s="15" t="str">
        <f t="shared" si="1"/>
        <v>－</v>
      </c>
      <c r="AC43" s="16">
        <f>5</f>
        <v>5</v>
      </c>
    </row>
    <row r="44" spans="1:29">
      <c r="A44" s="8" t="s">
        <v>46</v>
      </c>
      <c r="B44" s="9" t="s">
        <v>348</v>
      </c>
      <c r="C44" s="9" t="s">
        <v>349</v>
      </c>
      <c r="D44" s="9" t="s">
        <v>49</v>
      </c>
      <c r="E44" s="10" t="s">
        <v>50</v>
      </c>
      <c r="F44" s="10" t="s">
        <v>51</v>
      </c>
      <c r="G44" s="11" t="s">
        <v>52</v>
      </c>
      <c r="H44" s="12" t="s">
        <v>350</v>
      </c>
      <c r="I44" s="11" t="s">
        <v>351</v>
      </c>
      <c r="J44" s="12" t="s">
        <v>352</v>
      </c>
      <c r="K44" s="11" t="s">
        <v>272</v>
      </c>
      <c r="L44" s="12" t="s">
        <v>353</v>
      </c>
      <c r="M44" s="11" t="s">
        <v>276</v>
      </c>
      <c r="N44" s="12" t="s">
        <v>354</v>
      </c>
      <c r="O44" s="11" t="s">
        <v>272</v>
      </c>
      <c r="P44" s="12" t="s">
        <v>353</v>
      </c>
      <c r="Q44" s="11" t="s">
        <v>58</v>
      </c>
      <c r="R44" s="12" t="s">
        <v>355</v>
      </c>
      <c r="S44" s="13">
        <f>3756.21</f>
        <v>3756.21</v>
      </c>
      <c r="T44" s="14">
        <f>3003</f>
        <v>3003</v>
      </c>
      <c r="U44" s="14">
        <v>1</v>
      </c>
      <c r="V44" s="14">
        <v>58</v>
      </c>
      <c r="W44" s="14">
        <f>5684074000</f>
        <v>5684074000</v>
      </c>
      <c r="X44" s="14">
        <v>1906000</v>
      </c>
      <c r="Y44" s="14">
        <v>112222500</v>
      </c>
      <c r="Z44" s="11" t="s">
        <v>60</v>
      </c>
      <c r="AA44" s="15">
        <f>630</f>
        <v>630</v>
      </c>
      <c r="AB44" s="15" t="str">
        <f t="shared" si="1"/>
        <v>－</v>
      </c>
      <c r="AC44" s="16">
        <f>34</f>
        <v>34</v>
      </c>
    </row>
    <row r="45" spans="1:29">
      <c r="A45" s="8" t="s">
        <v>46</v>
      </c>
      <c r="B45" s="9" t="s">
        <v>348</v>
      </c>
      <c r="C45" s="9" t="s">
        <v>349</v>
      </c>
      <c r="D45" s="9" t="s">
        <v>61</v>
      </c>
      <c r="E45" s="10" t="s">
        <v>62</v>
      </c>
      <c r="F45" s="10" t="s">
        <v>63</v>
      </c>
      <c r="G45" s="11" t="s">
        <v>52</v>
      </c>
      <c r="H45" s="12" t="s">
        <v>356</v>
      </c>
      <c r="I45" s="11" t="s">
        <v>357</v>
      </c>
      <c r="J45" s="12" t="s">
        <v>358</v>
      </c>
      <c r="K45" s="11" t="s">
        <v>359</v>
      </c>
      <c r="L45" s="12" t="s">
        <v>360</v>
      </c>
      <c r="M45" s="11" t="s">
        <v>361</v>
      </c>
      <c r="N45" s="12" t="s">
        <v>362</v>
      </c>
      <c r="O45" s="11" t="s">
        <v>361</v>
      </c>
      <c r="P45" s="12" t="s">
        <v>363</v>
      </c>
      <c r="Q45" s="11" t="s">
        <v>72</v>
      </c>
      <c r="R45" s="12" t="s">
        <v>364</v>
      </c>
      <c r="S45" s="13">
        <f>3858.72</f>
        <v>3858.72</v>
      </c>
      <c r="T45" s="14">
        <f>13507</f>
        <v>13507</v>
      </c>
      <c r="U45" s="14">
        <v>3</v>
      </c>
      <c r="V45" s="14">
        <v>286</v>
      </c>
      <c r="W45" s="14">
        <f>26611982000</f>
        <v>26611982000</v>
      </c>
      <c r="X45" s="14">
        <v>5571000</v>
      </c>
      <c r="Y45" s="14">
        <v>552682000</v>
      </c>
      <c r="Z45" s="11" t="s">
        <v>60</v>
      </c>
      <c r="AA45" s="15">
        <f>763</f>
        <v>763</v>
      </c>
      <c r="AB45" s="15" t="str">
        <f t="shared" si="1"/>
        <v>－</v>
      </c>
      <c r="AC45" s="16">
        <f>76</f>
        <v>76</v>
      </c>
    </row>
    <row r="46" spans="1:29">
      <c r="A46" s="8" t="s">
        <v>46</v>
      </c>
      <c r="B46" s="9" t="s">
        <v>348</v>
      </c>
      <c r="C46" s="9" t="s">
        <v>349</v>
      </c>
      <c r="D46" s="9" t="s">
        <v>74</v>
      </c>
      <c r="E46" s="10" t="s">
        <v>75</v>
      </c>
      <c r="F46" s="10" t="s">
        <v>76</v>
      </c>
      <c r="G46" s="11" t="s">
        <v>52</v>
      </c>
      <c r="H46" s="12" t="s">
        <v>365</v>
      </c>
      <c r="I46" s="11" t="s">
        <v>366</v>
      </c>
      <c r="J46" s="12" t="s">
        <v>367</v>
      </c>
      <c r="K46" s="11"/>
      <c r="L46" s="12"/>
      <c r="M46" s="11" t="s">
        <v>361</v>
      </c>
      <c r="N46" s="12" t="s">
        <v>368</v>
      </c>
      <c r="O46" s="11"/>
      <c r="P46" s="12"/>
      <c r="Q46" s="11" t="s">
        <v>79</v>
      </c>
      <c r="R46" s="12" t="s">
        <v>369</v>
      </c>
      <c r="S46" s="13">
        <f>3899.56</f>
        <v>3899.56</v>
      </c>
      <c r="T46" s="14">
        <f>9346</f>
        <v>9346</v>
      </c>
      <c r="U46" s="14"/>
      <c r="V46" s="14">
        <v>580</v>
      </c>
      <c r="W46" s="14">
        <f>18295310000</f>
        <v>18295310000</v>
      </c>
      <c r="X46" s="14"/>
      <c r="Y46" s="14">
        <v>1124857500</v>
      </c>
      <c r="Z46" s="11" t="s">
        <v>60</v>
      </c>
      <c r="AA46" s="15">
        <f>188</f>
        <v>188</v>
      </c>
      <c r="AB46" s="15" t="str">
        <f t="shared" si="1"/>
        <v>－</v>
      </c>
      <c r="AC46" s="16">
        <f>117</f>
        <v>117</v>
      </c>
    </row>
    <row r="47" spans="1:29">
      <c r="A47" s="8" t="s">
        <v>46</v>
      </c>
      <c r="B47" s="9" t="s">
        <v>348</v>
      </c>
      <c r="C47" s="9" t="s">
        <v>349</v>
      </c>
      <c r="D47" s="9" t="s">
        <v>81</v>
      </c>
      <c r="E47" s="10" t="s">
        <v>82</v>
      </c>
      <c r="F47" s="10" t="s">
        <v>83</v>
      </c>
      <c r="G47" s="11" t="s">
        <v>52</v>
      </c>
      <c r="H47" s="12" t="s">
        <v>370</v>
      </c>
      <c r="I47" s="11" t="s">
        <v>357</v>
      </c>
      <c r="J47" s="12" t="s">
        <v>371</v>
      </c>
      <c r="K47" s="11" t="s">
        <v>359</v>
      </c>
      <c r="L47" s="12" t="s">
        <v>372</v>
      </c>
      <c r="M47" s="11" t="s">
        <v>361</v>
      </c>
      <c r="N47" s="12" t="s">
        <v>373</v>
      </c>
      <c r="O47" s="11" t="s">
        <v>374</v>
      </c>
      <c r="P47" s="12" t="s">
        <v>375</v>
      </c>
      <c r="Q47" s="11" t="s">
        <v>91</v>
      </c>
      <c r="R47" s="12" t="s">
        <v>376</v>
      </c>
      <c r="S47" s="13">
        <f>3886.55</f>
        <v>3886.55</v>
      </c>
      <c r="T47" s="14">
        <f>19031</f>
        <v>19031</v>
      </c>
      <c r="U47" s="14">
        <v>10</v>
      </c>
      <c r="V47" s="14">
        <v>2826</v>
      </c>
      <c r="W47" s="14">
        <f>36845857000</f>
        <v>36845857000</v>
      </c>
      <c r="X47" s="14">
        <v>19640500</v>
      </c>
      <c r="Y47" s="14">
        <v>5411154000</v>
      </c>
      <c r="Z47" s="11" t="s">
        <v>60</v>
      </c>
      <c r="AA47" s="15">
        <f>281</f>
        <v>281</v>
      </c>
      <c r="AB47" s="15" t="str">
        <f t="shared" si="1"/>
        <v>－</v>
      </c>
      <c r="AC47" s="16">
        <f>159</f>
        <v>159</v>
      </c>
    </row>
    <row r="48" spans="1:29">
      <c r="A48" s="8" t="s">
        <v>46</v>
      </c>
      <c r="B48" s="9" t="s">
        <v>348</v>
      </c>
      <c r="C48" s="9" t="s">
        <v>349</v>
      </c>
      <c r="D48" s="9" t="s">
        <v>93</v>
      </c>
      <c r="E48" s="10" t="s">
        <v>94</v>
      </c>
      <c r="F48" s="10" t="s">
        <v>95</v>
      </c>
      <c r="G48" s="11" t="s">
        <v>52</v>
      </c>
      <c r="H48" s="12" t="s">
        <v>377</v>
      </c>
      <c r="I48" s="11" t="s">
        <v>378</v>
      </c>
      <c r="J48" s="12" t="s">
        <v>379</v>
      </c>
      <c r="K48" s="11" t="s">
        <v>54</v>
      </c>
      <c r="L48" s="12" t="s">
        <v>380</v>
      </c>
      <c r="M48" s="11" t="s">
        <v>361</v>
      </c>
      <c r="N48" s="12" t="s">
        <v>381</v>
      </c>
      <c r="O48" s="11" t="s">
        <v>224</v>
      </c>
      <c r="P48" s="12" t="s">
        <v>382</v>
      </c>
      <c r="Q48" s="11" t="s">
        <v>103</v>
      </c>
      <c r="R48" s="12" t="s">
        <v>383</v>
      </c>
      <c r="S48" s="13">
        <f>3912.15</f>
        <v>3912.15</v>
      </c>
      <c r="T48" s="14">
        <f>59843</f>
        <v>59843</v>
      </c>
      <c r="U48" s="14">
        <v>7</v>
      </c>
      <c r="V48" s="14">
        <v>9930</v>
      </c>
      <c r="W48" s="14">
        <f>114229117000</f>
        <v>114229117000</v>
      </c>
      <c r="X48" s="14">
        <v>13663000</v>
      </c>
      <c r="Y48" s="14">
        <v>18713738500</v>
      </c>
      <c r="Z48" s="11" t="s">
        <v>60</v>
      </c>
      <c r="AA48" s="15">
        <f>221</f>
        <v>221</v>
      </c>
      <c r="AB48" s="15" t="str">
        <f t="shared" si="1"/>
        <v>－</v>
      </c>
      <c r="AC48" s="16">
        <f>199</f>
        <v>199</v>
      </c>
    </row>
    <row r="49" spans="1:29">
      <c r="A49" s="8" t="s">
        <v>46</v>
      </c>
      <c r="B49" s="9" t="s">
        <v>348</v>
      </c>
      <c r="C49" s="9" t="s">
        <v>349</v>
      </c>
      <c r="D49" s="9" t="s">
        <v>105</v>
      </c>
      <c r="E49" s="10" t="s">
        <v>106</v>
      </c>
      <c r="F49" s="10" t="s">
        <v>107</v>
      </c>
      <c r="G49" s="11" t="s">
        <v>52</v>
      </c>
      <c r="H49" s="12" t="s">
        <v>384</v>
      </c>
      <c r="I49" s="11" t="s">
        <v>385</v>
      </c>
      <c r="J49" s="12" t="s">
        <v>386</v>
      </c>
      <c r="K49" s="11" t="s">
        <v>374</v>
      </c>
      <c r="L49" s="12" t="s">
        <v>387</v>
      </c>
      <c r="M49" s="11" t="s">
        <v>361</v>
      </c>
      <c r="N49" s="12" t="s">
        <v>388</v>
      </c>
      <c r="O49" s="11" t="s">
        <v>389</v>
      </c>
      <c r="P49" s="12" t="s">
        <v>390</v>
      </c>
      <c r="Q49" s="11" t="s">
        <v>113</v>
      </c>
      <c r="R49" s="12" t="s">
        <v>391</v>
      </c>
      <c r="S49" s="13">
        <f>3993.91</f>
        <v>3993.91</v>
      </c>
      <c r="T49" s="14">
        <f>346162</f>
        <v>346162</v>
      </c>
      <c r="U49" s="14">
        <v>20</v>
      </c>
      <c r="V49" s="14">
        <v>19282</v>
      </c>
      <c r="W49" s="14">
        <f>654810841500</f>
        <v>654810841500</v>
      </c>
      <c r="X49" s="14">
        <v>38122500</v>
      </c>
      <c r="Y49" s="14">
        <v>37261831500</v>
      </c>
      <c r="Z49" s="11" t="s">
        <v>60</v>
      </c>
      <c r="AA49" s="15">
        <f>382</f>
        <v>382</v>
      </c>
      <c r="AB49" s="15" t="str">
        <f t="shared" si="1"/>
        <v>－</v>
      </c>
      <c r="AC49" s="16">
        <f>239</f>
        <v>239</v>
      </c>
    </row>
    <row r="50" spans="1:29">
      <c r="A50" s="8" t="s">
        <v>46</v>
      </c>
      <c r="B50" s="9" t="s">
        <v>348</v>
      </c>
      <c r="C50" s="9" t="s">
        <v>349</v>
      </c>
      <c r="D50" s="9" t="s">
        <v>115</v>
      </c>
      <c r="E50" s="10" t="s">
        <v>116</v>
      </c>
      <c r="F50" s="10" t="s">
        <v>117</v>
      </c>
      <c r="G50" s="11" t="s">
        <v>118</v>
      </c>
      <c r="H50" s="12" t="s">
        <v>392</v>
      </c>
      <c r="I50" s="11" t="s">
        <v>385</v>
      </c>
      <c r="J50" s="12" t="s">
        <v>393</v>
      </c>
      <c r="K50" s="11" t="s">
        <v>283</v>
      </c>
      <c r="L50" s="12" t="s">
        <v>394</v>
      </c>
      <c r="M50" s="11" t="s">
        <v>395</v>
      </c>
      <c r="N50" s="12" t="s">
        <v>396</v>
      </c>
      <c r="O50" s="11" t="s">
        <v>121</v>
      </c>
      <c r="P50" s="12" t="s">
        <v>397</v>
      </c>
      <c r="Q50" s="11" t="s">
        <v>126</v>
      </c>
      <c r="R50" s="12" t="s">
        <v>398</v>
      </c>
      <c r="S50" s="13">
        <f>4034.28</f>
        <v>4034.28</v>
      </c>
      <c r="T50" s="14">
        <f>452078</f>
        <v>452078</v>
      </c>
      <c r="U50" s="14">
        <v>93</v>
      </c>
      <c r="V50" s="14">
        <v>18746</v>
      </c>
      <c r="W50" s="14">
        <f>890459681000</f>
        <v>890459681000</v>
      </c>
      <c r="X50" s="14">
        <v>177347500</v>
      </c>
      <c r="Y50" s="14">
        <v>36927587000</v>
      </c>
      <c r="Z50" s="11"/>
      <c r="AA50" s="15">
        <f>593</f>
        <v>593</v>
      </c>
      <c r="AB50" s="15" t="str">
        <f t="shared" si="1"/>
        <v>－</v>
      </c>
      <c r="AC50" s="16">
        <f>210</f>
        <v>210</v>
      </c>
    </row>
    <row r="51" spans="1:29">
      <c r="A51" s="8" t="s">
        <v>46</v>
      </c>
      <c r="B51" s="9" t="s">
        <v>348</v>
      </c>
      <c r="C51" s="9" t="s">
        <v>349</v>
      </c>
      <c r="D51" s="9" t="s">
        <v>128</v>
      </c>
      <c r="E51" s="10" t="s">
        <v>129</v>
      </c>
      <c r="F51" s="10" t="s">
        <v>130</v>
      </c>
      <c r="G51" s="11" t="s">
        <v>121</v>
      </c>
      <c r="H51" s="12" t="s">
        <v>399</v>
      </c>
      <c r="I51" s="11" t="s">
        <v>385</v>
      </c>
      <c r="J51" s="12" t="s">
        <v>400</v>
      </c>
      <c r="K51" s="11" t="s">
        <v>214</v>
      </c>
      <c r="L51" s="12" t="s">
        <v>401</v>
      </c>
      <c r="M51" s="11" t="s">
        <v>395</v>
      </c>
      <c r="N51" s="12" t="s">
        <v>402</v>
      </c>
      <c r="O51" s="11" t="s">
        <v>403</v>
      </c>
      <c r="P51" s="12" t="s">
        <v>404</v>
      </c>
      <c r="Q51" s="11" t="s">
        <v>126</v>
      </c>
      <c r="R51" s="12" t="s">
        <v>405</v>
      </c>
      <c r="S51" s="13">
        <f>4044.18</f>
        <v>4044.18</v>
      </c>
      <c r="T51" s="14">
        <f>432104</f>
        <v>432104</v>
      </c>
      <c r="U51" s="14">
        <v>14</v>
      </c>
      <c r="V51" s="14">
        <v>16746</v>
      </c>
      <c r="W51" s="14">
        <f>848349006500</f>
        <v>848349006500</v>
      </c>
      <c r="X51" s="14">
        <v>26721000</v>
      </c>
      <c r="Y51" s="14">
        <v>32686950500</v>
      </c>
      <c r="Z51" s="11"/>
      <c r="AA51" s="15">
        <f>795</f>
        <v>795</v>
      </c>
      <c r="AB51" s="15" t="str">
        <f t="shared" si="1"/>
        <v>－</v>
      </c>
      <c r="AC51" s="16">
        <f>168</f>
        <v>168</v>
      </c>
    </row>
    <row r="52" spans="1:29">
      <c r="A52" s="8" t="s">
        <v>46</v>
      </c>
      <c r="B52" s="9" t="s">
        <v>348</v>
      </c>
      <c r="C52" s="9" t="s">
        <v>349</v>
      </c>
      <c r="D52" s="9" t="s">
        <v>140</v>
      </c>
      <c r="E52" s="10" t="s">
        <v>141</v>
      </c>
      <c r="F52" s="10" t="s">
        <v>142</v>
      </c>
      <c r="G52" s="11" t="s">
        <v>143</v>
      </c>
      <c r="H52" s="12" t="s">
        <v>406</v>
      </c>
      <c r="I52" s="11" t="s">
        <v>385</v>
      </c>
      <c r="J52" s="12" t="s">
        <v>407</v>
      </c>
      <c r="K52" s="11" t="s">
        <v>147</v>
      </c>
      <c r="L52" s="12" t="s">
        <v>408</v>
      </c>
      <c r="M52" s="11" t="s">
        <v>409</v>
      </c>
      <c r="N52" s="12" t="s">
        <v>410</v>
      </c>
      <c r="O52" s="11" t="s">
        <v>395</v>
      </c>
      <c r="P52" s="12" t="s">
        <v>411</v>
      </c>
      <c r="Q52" s="11" t="s">
        <v>126</v>
      </c>
      <c r="R52" s="12" t="s">
        <v>412</v>
      </c>
      <c r="S52" s="13">
        <f>4052.63</f>
        <v>4052.63</v>
      </c>
      <c r="T52" s="14">
        <f>408548</f>
        <v>408548</v>
      </c>
      <c r="U52" s="14">
        <v>95</v>
      </c>
      <c r="V52" s="14">
        <v>19278</v>
      </c>
      <c r="W52" s="14">
        <f>783951513500</f>
        <v>783951513500</v>
      </c>
      <c r="X52" s="14">
        <v>188506000</v>
      </c>
      <c r="Y52" s="14">
        <v>37877206500</v>
      </c>
      <c r="Z52" s="11"/>
      <c r="AA52" s="15">
        <f>2017</f>
        <v>2017</v>
      </c>
      <c r="AB52" s="15" t="str">
        <f t="shared" si="1"/>
        <v>－</v>
      </c>
      <c r="AC52" s="16">
        <f>127</f>
        <v>127</v>
      </c>
    </row>
    <row r="53" spans="1:29">
      <c r="A53" s="8" t="s">
        <v>46</v>
      </c>
      <c r="B53" s="9" t="s">
        <v>348</v>
      </c>
      <c r="C53" s="9" t="s">
        <v>349</v>
      </c>
      <c r="D53" s="9" t="s">
        <v>154</v>
      </c>
      <c r="E53" s="10" t="s">
        <v>155</v>
      </c>
      <c r="F53" s="10" t="s">
        <v>156</v>
      </c>
      <c r="G53" s="11" t="s">
        <v>157</v>
      </c>
      <c r="H53" s="12" t="s">
        <v>413</v>
      </c>
      <c r="I53" s="11" t="s">
        <v>385</v>
      </c>
      <c r="J53" s="12" t="s">
        <v>414</v>
      </c>
      <c r="K53" s="11" t="s">
        <v>147</v>
      </c>
      <c r="L53" s="12" t="s">
        <v>415</v>
      </c>
      <c r="M53" s="11" t="s">
        <v>329</v>
      </c>
      <c r="N53" s="12" t="s">
        <v>416</v>
      </c>
      <c r="O53" s="11" t="s">
        <v>417</v>
      </c>
      <c r="P53" s="12" t="s">
        <v>418</v>
      </c>
      <c r="Q53" s="11" t="s">
        <v>126</v>
      </c>
      <c r="R53" s="12" t="s">
        <v>383</v>
      </c>
      <c r="S53" s="13">
        <f>4161.13</f>
        <v>4161.13</v>
      </c>
      <c r="T53" s="14">
        <f>442929</f>
        <v>442929</v>
      </c>
      <c r="U53" s="14">
        <v>157</v>
      </c>
      <c r="V53" s="14">
        <v>23245</v>
      </c>
      <c r="W53" s="14">
        <f>891226384500</f>
        <v>891226384500</v>
      </c>
      <c r="X53" s="14">
        <v>321681000</v>
      </c>
      <c r="Y53" s="14">
        <v>48366955500</v>
      </c>
      <c r="Z53" s="11"/>
      <c r="AA53" s="15">
        <f>6536</f>
        <v>6536</v>
      </c>
      <c r="AB53" s="15" t="str">
        <f t="shared" si="1"/>
        <v>－</v>
      </c>
      <c r="AC53" s="16">
        <f>85</f>
        <v>85</v>
      </c>
    </row>
    <row r="54" spans="1:29">
      <c r="A54" s="8" t="s">
        <v>46</v>
      </c>
      <c r="B54" s="9" t="s">
        <v>348</v>
      </c>
      <c r="C54" s="9" t="s">
        <v>349</v>
      </c>
      <c r="D54" s="9" t="s">
        <v>165</v>
      </c>
      <c r="E54" s="10" t="s">
        <v>166</v>
      </c>
      <c r="F54" s="10" t="s">
        <v>167</v>
      </c>
      <c r="G54" s="11" t="s">
        <v>168</v>
      </c>
      <c r="H54" s="12" t="s">
        <v>419</v>
      </c>
      <c r="I54" s="11" t="s">
        <v>385</v>
      </c>
      <c r="J54" s="12" t="s">
        <v>420</v>
      </c>
      <c r="K54" s="11" t="s">
        <v>421</v>
      </c>
      <c r="L54" s="12" t="s">
        <v>422</v>
      </c>
      <c r="M54" s="11" t="s">
        <v>113</v>
      </c>
      <c r="N54" s="12" t="s">
        <v>423</v>
      </c>
      <c r="O54" s="11" t="s">
        <v>341</v>
      </c>
      <c r="P54" s="12" t="s">
        <v>424</v>
      </c>
      <c r="Q54" s="11" t="s">
        <v>126</v>
      </c>
      <c r="R54" s="12" t="s">
        <v>425</v>
      </c>
      <c r="S54" s="13">
        <f>4336.44</f>
        <v>4336.4399999999996</v>
      </c>
      <c r="T54" s="14">
        <f>314431</f>
        <v>314431</v>
      </c>
      <c r="U54" s="14">
        <v>29</v>
      </c>
      <c r="V54" s="14">
        <v>14048</v>
      </c>
      <c r="W54" s="14">
        <f>683209663500</f>
        <v>683209663500</v>
      </c>
      <c r="X54" s="14">
        <v>63119500</v>
      </c>
      <c r="Y54" s="14">
        <v>30533154000</v>
      </c>
      <c r="Z54" s="11"/>
      <c r="AA54" s="15">
        <f>17599</f>
        <v>17599</v>
      </c>
      <c r="AB54" s="15" t="str">
        <f t="shared" si="1"/>
        <v>－</v>
      </c>
      <c r="AC54" s="16">
        <f>45</f>
        <v>45</v>
      </c>
    </row>
    <row r="55" spans="1:29">
      <c r="A55" s="8" t="s">
        <v>46</v>
      </c>
      <c r="B55" s="9" t="s">
        <v>348</v>
      </c>
      <c r="C55" s="9" t="s">
        <v>349</v>
      </c>
      <c r="D55" s="9" t="s">
        <v>176</v>
      </c>
      <c r="E55" s="10" t="s">
        <v>177</v>
      </c>
      <c r="F55" s="10" t="s">
        <v>178</v>
      </c>
      <c r="G55" s="11" t="s">
        <v>179</v>
      </c>
      <c r="H55" s="12" t="s">
        <v>426</v>
      </c>
      <c r="I55" s="11" t="s">
        <v>126</v>
      </c>
      <c r="J55" s="12" t="s">
        <v>427</v>
      </c>
      <c r="K55" s="11"/>
      <c r="L55" s="12"/>
      <c r="M55" s="11" t="s">
        <v>428</v>
      </c>
      <c r="N55" s="12" t="s">
        <v>429</v>
      </c>
      <c r="O55" s="11"/>
      <c r="P55" s="12"/>
      <c r="Q55" s="11" t="s">
        <v>126</v>
      </c>
      <c r="R55" s="12" t="s">
        <v>430</v>
      </c>
      <c r="S55" s="13">
        <f>4306.8</f>
        <v>4306.8</v>
      </c>
      <c r="T55" s="14">
        <f>21044</f>
        <v>21044</v>
      </c>
      <c r="U55" s="14"/>
      <c r="V55" s="14">
        <v>1653</v>
      </c>
      <c r="W55" s="14">
        <f>45346068500</f>
        <v>45346068500</v>
      </c>
      <c r="X55" s="14"/>
      <c r="Y55" s="14">
        <v>3550344500</v>
      </c>
      <c r="Z55" s="11"/>
      <c r="AA55" s="15">
        <f>4887</f>
        <v>4887</v>
      </c>
      <c r="AB55" s="15" t="str">
        <f t="shared" si="1"/>
        <v>－</v>
      </c>
      <c r="AC55" s="16">
        <f>5</f>
        <v>5</v>
      </c>
    </row>
    <row r="56" spans="1:29">
      <c r="A56" s="8" t="s">
        <v>46</v>
      </c>
      <c r="B56" s="9" t="s">
        <v>431</v>
      </c>
      <c r="C56" s="9" t="s">
        <v>432</v>
      </c>
      <c r="D56" s="9" t="s">
        <v>49</v>
      </c>
      <c r="E56" s="10" t="s">
        <v>50</v>
      </c>
      <c r="F56" s="10" t="s">
        <v>188</v>
      </c>
      <c r="G56" s="11" t="s">
        <v>52</v>
      </c>
      <c r="H56" s="12" t="s">
        <v>433</v>
      </c>
      <c r="I56" s="11" t="s">
        <v>351</v>
      </c>
      <c r="J56" s="12" t="s">
        <v>434</v>
      </c>
      <c r="K56" s="11"/>
      <c r="L56" s="12"/>
      <c r="M56" s="11" t="s">
        <v>52</v>
      </c>
      <c r="N56" s="12" t="s">
        <v>435</v>
      </c>
      <c r="O56" s="11"/>
      <c r="P56" s="12"/>
      <c r="Q56" s="11" t="s">
        <v>54</v>
      </c>
      <c r="R56" s="12" t="s">
        <v>436</v>
      </c>
      <c r="S56" s="13">
        <f>3750.18</f>
        <v>3750.18</v>
      </c>
      <c r="T56" s="14">
        <f>450</f>
        <v>450</v>
      </c>
      <c r="U56" s="14"/>
      <c r="V56" s="14">
        <v>6</v>
      </c>
      <c r="W56" s="14">
        <f>170505500</f>
        <v>170505500</v>
      </c>
      <c r="X56" s="14"/>
      <c r="Y56" s="14">
        <v>2352800</v>
      </c>
      <c r="Z56" s="11" t="s">
        <v>60</v>
      </c>
      <c r="AA56" s="15">
        <f>130</f>
        <v>130</v>
      </c>
      <c r="AB56" s="15" t="str">
        <f t="shared" si="1"/>
        <v>－</v>
      </c>
      <c r="AC56" s="16">
        <f>27</f>
        <v>27</v>
      </c>
    </row>
    <row r="57" spans="1:29">
      <c r="A57" s="8" t="s">
        <v>46</v>
      </c>
      <c r="B57" s="9" t="s">
        <v>431</v>
      </c>
      <c r="C57" s="9" t="s">
        <v>432</v>
      </c>
      <c r="D57" s="9" t="s">
        <v>61</v>
      </c>
      <c r="E57" s="10" t="s">
        <v>62</v>
      </c>
      <c r="F57" s="10" t="s">
        <v>193</v>
      </c>
      <c r="G57" s="11" t="s">
        <v>52</v>
      </c>
      <c r="H57" s="12" t="s">
        <v>437</v>
      </c>
      <c r="I57" s="11" t="s">
        <v>357</v>
      </c>
      <c r="J57" s="12" t="s">
        <v>438</v>
      </c>
      <c r="K57" s="11"/>
      <c r="L57" s="12"/>
      <c r="M57" s="11" t="s">
        <v>52</v>
      </c>
      <c r="N57" s="12" t="s">
        <v>437</v>
      </c>
      <c r="O57" s="11"/>
      <c r="P57" s="12"/>
      <c r="Q57" s="11" t="s">
        <v>197</v>
      </c>
      <c r="R57" s="12" t="s">
        <v>439</v>
      </c>
      <c r="S57" s="13">
        <f>3859.44</f>
        <v>3859.44</v>
      </c>
      <c r="T57" s="14">
        <f>1551</f>
        <v>1551</v>
      </c>
      <c r="U57" s="14"/>
      <c r="V57" s="14">
        <v>90</v>
      </c>
      <c r="W57" s="14">
        <f>613056800</f>
        <v>613056800</v>
      </c>
      <c r="X57" s="14"/>
      <c r="Y57" s="14">
        <v>35188000</v>
      </c>
      <c r="Z57" s="11" t="s">
        <v>60</v>
      </c>
      <c r="AA57" s="15">
        <f>76</f>
        <v>76</v>
      </c>
      <c r="AB57" s="15" t="str">
        <f t="shared" si="1"/>
        <v>－</v>
      </c>
      <c r="AC57" s="16">
        <f>65</f>
        <v>65</v>
      </c>
    </row>
    <row r="58" spans="1:29">
      <c r="A58" s="8" t="s">
        <v>46</v>
      </c>
      <c r="B58" s="9" t="s">
        <v>431</v>
      </c>
      <c r="C58" s="9" t="s">
        <v>432</v>
      </c>
      <c r="D58" s="9" t="s">
        <v>74</v>
      </c>
      <c r="E58" s="10" t="s">
        <v>75</v>
      </c>
      <c r="F58" s="10" t="s">
        <v>199</v>
      </c>
      <c r="G58" s="11" t="s">
        <v>52</v>
      </c>
      <c r="H58" s="12" t="s">
        <v>440</v>
      </c>
      <c r="I58" s="11" t="s">
        <v>110</v>
      </c>
      <c r="J58" s="12" t="s">
        <v>441</v>
      </c>
      <c r="K58" s="11"/>
      <c r="L58" s="12"/>
      <c r="M58" s="11" t="s">
        <v>361</v>
      </c>
      <c r="N58" s="12" t="s">
        <v>442</v>
      </c>
      <c r="O58" s="11"/>
      <c r="P58" s="12"/>
      <c r="Q58" s="11" t="s">
        <v>203</v>
      </c>
      <c r="R58" s="12" t="s">
        <v>443</v>
      </c>
      <c r="S58" s="13">
        <f>3899.25</f>
        <v>3899.25</v>
      </c>
      <c r="T58" s="14">
        <f>1182</f>
        <v>1182</v>
      </c>
      <c r="U58" s="14"/>
      <c r="V58" s="14">
        <v>134</v>
      </c>
      <c r="W58" s="14">
        <f>463958500</f>
        <v>463958500</v>
      </c>
      <c r="X58" s="14"/>
      <c r="Y58" s="14">
        <v>51330850</v>
      </c>
      <c r="Z58" s="11" t="s">
        <v>60</v>
      </c>
      <c r="AA58" s="15">
        <f>131</f>
        <v>131</v>
      </c>
      <c r="AB58" s="15" t="str">
        <f t="shared" si="1"/>
        <v>－</v>
      </c>
      <c r="AC58" s="16">
        <f>89</f>
        <v>89</v>
      </c>
    </row>
    <row r="59" spans="1:29">
      <c r="A59" s="8" t="s">
        <v>46</v>
      </c>
      <c r="B59" s="9" t="s">
        <v>431</v>
      </c>
      <c r="C59" s="9" t="s">
        <v>432</v>
      </c>
      <c r="D59" s="9" t="s">
        <v>81</v>
      </c>
      <c r="E59" s="10" t="s">
        <v>82</v>
      </c>
      <c r="F59" s="10" t="s">
        <v>205</v>
      </c>
      <c r="G59" s="11" t="s">
        <v>52</v>
      </c>
      <c r="H59" s="12" t="s">
        <v>440</v>
      </c>
      <c r="I59" s="11" t="s">
        <v>357</v>
      </c>
      <c r="J59" s="12" t="s">
        <v>444</v>
      </c>
      <c r="K59" s="11" t="s">
        <v>374</v>
      </c>
      <c r="L59" s="12" t="s">
        <v>375</v>
      </c>
      <c r="M59" s="11" t="s">
        <v>361</v>
      </c>
      <c r="N59" s="12" t="s">
        <v>445</v>
      </c>
      <c r="O59" s="11" t="s">
        <v>374</v>
      </c>
      <c r="P59" s="12" t="s">
        <v>375</v>
      </c>
      <c r="Q59" s="11" t="s">
        <v>209</v>
      </c>
      <c r="R59" s="12" t="s">
        <v>446</v>
      </c>
      <c r="S59" s="13">
        <f>3886.51</f>
        <v>3886.51</v>
      </c>
      <c r="T59" s="14">
        <f>1314</f>
        <v>1314</v>
      </c>
      <c r="U59" s="14">
        <v>45</v>
      </c>
      <c r="V59" s="14">
        <v>191</v>
      </c>
      <c r="W59" s="14">
        <f>513083100</f>
        <v>513083100</v>
      </c>
      <c r="X59" s="14">
        <v>17676000</v>
      </c>
      <c r="Y59" s="14">
        <v>73285000</v>
      </c>
      <c r="Z59" s="11" t="s">
        <v>60</v>
      </c>
      <c r="AA59" s="15">
        <f>19</f>
        <v>19</v>
      </c>
      <c r="AB59" s="15" t="str">
        <f t="shared" si="1"/>
        <v>－</v>
      </c>
      <c r="AC59" s="16">
        <f>111</f>
        <v>111</v>
      </c>
    </row>
    <row r="60" spans="1:29">
      <c r="A60" s="8" t="s">
        <v>46</v>
      </c>
      <c r="B60" s="9" t="s">
        <v>431</v>
      </c>
      <c r="C60" s="9" t="s">
        <v>432</v>
      </c>
      <c r="D60" s="9" t="s">
        <v>93</v>
      </c>
      <c r="E60" s="10" t="s">
        <v>94</v>
      </c>
      <c r="F60" s="10" t="s">
        <v>211</v>
      </c>
      <c r="G60" s="11" t="s">
        <v>52</v>
      </c>
      <c r="H60" s="12" t="s">
        <v>447</v>
      </c>
      <c r="I60" s="11" t="s">
        <v>448</v>
      </c>
      <c r="J60" s="12" t="s">
        <v>449</v>
      </c>
      <c r="K60" s="11"/>
      <c r="L60" s="12"/>
      <c r="M60" s="11" t="s">
        <v>361</v>
      </c>
      <c r="N60" s="12" t="s">
        <v>450</v>
      </c>
      <c r="O60" s="11"/>
      <c r="P60" s="12"/>
      <c r="Q60" s="11" t="s">
        <v>451</v>
      </c>
      <c r="R60" s="12" t="s">
        <v>452</v>
      </c>
      <c r="S60" s="13">
        <f>3909.74</f>
        <v>3909.74</v>
      </c>
      <c r="T60" s="14">
        <f>5131</f>
        <v>5131</v>
      </c>
      <c r="U60" s="14"/>
      <c r="V60" s="14">
        <v>37</v>
      </c>
      <c r="W60" s="14">
        <f>1962766050</f>
        <v>1962766050</v>
      </c>
      <c r="X60" s="14"/>
      <c r="Y60" s="14">
        <v>15208250</v>
      </c>
      <c r="Z60" s="11" t="s">
        <v>60</v>
      </c>
      <c r="AA60" s="15">
        <f>72</f>
        <v>72</v>
      </c>
      <c r="AB60" s="15" t="str">
        <f t="shared" si="1"/>
        <v>－</v>
      </c>
      <c r="AC60" s="16">
        <f>156</f>
        <v>156</v>
      </c>
    </row>
    <row r="61" spans="1:29">
      <c r="A61" s="8" t="s">
        <v>46</v>
      </c>
      <c r="B61" s="9" t="s">
        <v>431</v>
      </c>
      <c r="C61" s="9" t="s">
        <v>432</v>
      </c>
      <c r="D61" s="9" t="s">
        <v>105</v>
      </c>
      <c r="E61" s="10" t="s">
        <v>106</v>
      </c>
      <c r="F61" s="10" t="s">
        <v>216</v>
      </c>
      <c r="G61" s="11" t="s">
        <v>52</v>
      </c>
      <c r="H61" s="12" t="s">
        <v>453</v>
      </c>
      <c r="I61" s="11" t="s">
        <v>145</v>
      </c>
      <c r="J61" s="12" t="s">
        <v>454</v>
      </c>
      <c r="K61" s="11" t="s">
        <v>374</v>
      </c>
      <c r="L61" s="12" t="s">
        <v>387</v>
      </c>
      <c r="M61" s="11" t="s">
        <v>361</v>
      </c>
      <c r="N61" s="12" t="s">
        <v>455</v>
      </c>
      <c r="O61" s="11" t="s">
        <v>374</v>
      </c>
      <c r="P61" s="12" t="s">
        <v>387</v>
      </c>
      <c r="Q61" s="11" t="s">
        <v>219</v>
      </c>
      <c r="R61" s="12" t="s">
        <v>456</v>
      </c>
      <c r="S61" s="13">
        <f>3993.05</f>
        <v>3993.05</v>
      </c>
      <c r="T61" s="14">
        <f>88696</f>
        <v>88696</v>
      </c>
      <c r="U61" s="14">
        <v>15</v>
      </c>
      <c r="V61" s="14">
        <v>164</v>
      </c>
      <c r="W61" s="14">
        <f>33450384750</f>
        <v>33450384750</v>
      </c>
      <c r="X61" s="14">
        <v>5875500</v>
      </c>
      <c r="Y61" s="14">
        <v>69045100</v>
      </c>
      <c r="Z61" s="11" t="s">
        <v>60</v>
      </c>
      <c r="AA61" s="15">
        <f>18</f>
        <v>18</v>
      </c>
      <c r="AB61" s="15" t="str">
        <f t="shared" si="1"/>
        <v>－</v>
      </c>
      <c r="AC61" s="16">
        <f>191</f>
        <v>191</v>
      </c>
    </row>
    <row r="62" spans="1:29">
      <c r="A62" s="8" t="s">
        <v>46</v>
      </c>
      <c r="B62" s="9" t="s">
        <v>431</v>
      </c>
      <c r="C62" s="9" t="s">
        <v>432</v>
      </c>
      <c r="D62" s="9" t="s">
        <v>115</v>
      </c>
      <c r="E62" s="10" t="s">
        <v>116</v>
      </c>
      <c r="F62" s="10" t="s">
        <v>221</v>
      </c>
      <c r="G62" s="11" t="s">
        <v>118</v>
      </c>
      <c r="H62" s="12" t="s">
        <v>457</v>
      </c>
      <c r="I62" s="11" t="s">
        <v>458</v>
      </c>
      <c r="J62" s="12" t="s">
        <v>459</v>
      </c>
      <c r="K62" s="11"/>
      <c r="L62" s="12"/>
      <c r="M62" s="11" t="s">
        <v>299</v>
      </c>
      <c r="N62" s="12" t="s">
        <v>460</v>
      </c>
      <c r="O62" s="11"/>
      <c r="P62" s="12"/>
      <c r="Q62" s="11" t="s">
        <v>126</v>
      </c>
      <c r="R62" s="12" t="s">
        <v>461</v>
      </c>
      <c r="S62" s="13">
        <f>4034.28</f>
        <v>4034.28</v>
      </c>
      <c r="T62" s="14">
        <f>96524</f>
        <v>96524</v>
      </c>
      <c r="U62" s="14"/>
      <c r="V62" s="14">
        <v>122</v>
      </c>
      <c r="W62" s="14">
        <f>37974288000</f>
        <v>37974288000</v>
      </c>
      <c r="X62" s="14"/>
      <c r="Y62" s="14">
        <v>49126400</v>
      </c>
      <c r="Z62" s="11"/>
      <c r="AA62" s="15">
        <f>242</f>
        <v>242</v>
      </c>
      <c r="AB62" s="15" t="str">
        <f t="shared" si="1"/>
        <v>－</v>
      </c>
      <c r="AC62" s="16">
        <f>187</f>
        <v>187</v>
      </c>
    </row>
    <row r="63" spans="1:29">
      <c r="A63" s="8" t="s">
        <v>46</v>
      </c>
      <c r="B63" s="9" t="s">
        <v>431</v>
      </c>
      <c r="C63" s="9" t="s">
        <v>432</v>
      </c>
      <c r="D63" s="9" t="s">
        <v>128</v>
      </c>
      <c r="E63" s="10" t="s">
        <v>129</v>
      </c>
      <c r="F63" s="10" t="s">
        <v>228</v>
      </c>
      <c r="G63" s="11" t="s">
        <v>121</v>
      </c>
      <c r="H63" s="12" t="s">
        <v>462</v>
      </c>
      <c r="I63" s="11" t="s">
        <v>458</v>
      </c>
      <c r="J63" s="12" t="s">
        <v>463</v>
      </c>
      <c r="K63" s="11"/>
      <c r="L63" s="12"/>
      <c r="M63" s="11" t="s">
        <v>299</v>
      </c>
      <c r="N63" s="12" t="s">
        <v>464</v>
      </c>
      <c r="O63" s="11"/>
      <c r="P63" s="12"/>
      <c r="Q63" s="11" t="s">
        <v>126</v>
      </c>
      <c r="R63" s="12" t="s">
        <v>465</v>
      </c>
      <c r="S63" s="13">
        <f>4044.18</f>
        <v>4044.18</v>
      </c>
      <c r="T63" s="14">
        <f>78340</f>
        <v>78340</v>
      </c>
      <c r="U63" s="14"/>
      <c r="V63" s="14">
        <v>258</v>
      </c>
      <c r="W63" s="14">
        <f>30872382300</f>
        <v>30872382300</v>
      </c>
      <c r="X63" s="14"/>
      <c r="Y63" s="14">
        <v>110257850</v>
      </c>
      <c r="Z63" s="11"/>
      <c r="AA63" s="15">
        <f>362</f>
        <v>362</v>
      </c>
      <c r="AB63" s="15" t="str">
        <f t="shared" si="1"/>
        <v>－</v>
      </c>
      <c r="AC63" s="16">
        <f>163</f>
        <v>163</v>
      </c>
    </row>
    <row r="64" spans="1:29">
      <c r="A64" s="8" t="s">
        <v>46</v>
      </c>
      <c r="B64" s="9" t="s">
        <v>431</v>
      </c>
      <c r="C64" s="9" t="s">
        <v>432</v>
      </c>
      <c r="D64" s="9" t="s">
        <v>140</v>
      </c>
      <c r="E64" s="10" t="s">
        <v>141</v>
      </c>
      <c r="F64" s="10" t="s">
        <v>233</v>
      </c>
      <c r="G64" s="11" t="s">
        <v>143</v>
      </c>
      <c r="H64" s="12" t="s">
        <v>466</v>
      </c>
      <c r="I64" s="11" t="s">
        <v>385</v>
      </c>
      <c r="J64" s="12" t="s">
        <v>467</v>
      </c>
      <c r="K64" s="11" t="s">
        <v>147</v>
      </c>
      <c r="L64" s="12" t="s">
        <v>408</v>
      </c>
      <c r="M64" s="11" t="s">
        <v>395</v>
      </c>
      <c r="N64" s="12" t="s">
        <v>468</v>
      </c>
      <c r="O64" s="11" t="s">
        <v>147</v>
      </c>
      <c r="P64" s="12" t="s">
        <v>408</v>
      </c>
      <c r="Q64" s="11" t="s">
        <v>126</v>
      </c>
      <c r="R64" s="12" t="s">
        <v>469</v>
      </c>
      <c r="S64" s="13">
        <f>4052.63</f>
        <v>4052.63</v>
      </c>
      <c r="T64" s="14">
        <f>81387</f>
        <v>81387</v>
      </c>
      <c r="U64" s="14">
        <v>5</v>
      </c>
      <c r="V64" s="14">
        <v>273</v>
      </c>
      <c r="W64" s="14">
        <f>31000153150</f>
        <v>31000153150</v>
      </c>
      <c r="X64" s="14">
        <v>2148000</v>
      </c>
      <c r="Y64" s="14">
        <v>116577150</v>
      </c>
      <c r="Z64" s="11"/>
      <c r="AA64" s="15">
        <f>153</f>
        <v>153</v>
      </c>
      <c r="AB64" s="15" t="str">
        <f t="shared" si="1"/>
        <v>－</v>
      </c>
      <c r="AC64" s="16">
        <f>119</f>
        <v>119</v>
      </c>
    </row>
    <row r="65" spans="1:29">
      <c r="A65" s="8" t="s">
        <v>46</v>
      </c>
      <c r="B65" s="9" t="s">
        <v>431</v>
      </c>
      <c r="C65" s="9" t="s">
        <v>432</v>
      </c>
      <c r="D65" s="9" t="s">
        <v>154</v>
      </c>
      <c r="E65" s="10" t="s">
        <v>155</v>
      </c>
      <c r="F65" s="10" t="s">
        <v>243</v>
      </c>
      <c r="G65" s="11" t="s">
        <v>157</v>
      </c>
      <c r="H65" s="12" t="s">
        <v>470</v>
      </c>
      <c r="I65" s="11" t="s">
        <v>385</v>
      </c>
      <c r="J65" s="12" t="s">
        <v>471</v>
      </c>
      <c r="K65" s="11" t="s">
        <v>472</v>
      </c>
      <c r="L65" s="12" t="s">
        <v>473</v>
      </c>
      <c r="M65" s="11" t="s">
        <v>329</v>
      </c>
      <c r="N65" s="12" t="s">
        <v>474</v>
      </c>
      <c r="O65" s="11" t="s">
        <v>472</v>
      </c>
      <c r="P65" s="12" t="s">
        <v>473</v>
      </c>
      <c r="Q65" s="11" t="s">
        <v>126</v>
      </c>
      <c r="R65" s="12" t="s">
        <v>475</v>
      </c>
      <c r="S65" s="13">
        <f>4161.13</f>
        <v>4161.13</v>
      </c>
      <c r="T65" s="14">
        <f>73941</f>
        <v>73941</v>
      </c>
      <c r="U65" s="14">
        <v>1</v>
      </c>
      <c r="V65" s="14">
        <v>191</v>
      </c>
      <c r="W65" s="14">
        <f>29675020600</f>
        <v>29675020600</v>
      </c>
      <c r="X65" s="14">
        <v>406600</v>
      </c>
      <c r="Y65" s="14">
        <v>82454500</v>
      </c>
      <c r="Z65" s="11"/>
      <c r="AA65" s="15">
        <f>582</f>
        <v>582</v>
      </c>
      <c r="AB65" s="15" t="str">
        <f t="shared" si="1"/>
        <v>－</v>
      </c>
      <c r="AC65" s="16">
        <f>85</f>
        <v>85</v>
      </c>
    </row>
    <row r="66" spans="1:29">
      <c r="A66" s="8" t="s">
        <v>46</v>
      </c>
      <c r="B66" s="9" t="s">
        <v>431</v>
      </c>
      <c r="C66" s="9" t="s">
        <v>432</v>
      </c>
      <c r="D66" s="9" t="s">
        <v>165</v>
      </c>
      <c r="E66" s="10" t="s">
        <v>166</v>
      </c>
      <c r="F66" s="10" t="s">
        <v>250</v>
      </c>
      <c r="G66" s="11" t="s">
        <v>168</v>
      </c>
      <c r="H66" s="12" t="s">
        <v>476</v>
      </c>
      <c r="I66" s="11" t="s">
        <v>385</v>
      </c>
      <c r="J66" s="12" t="s">
        <v>477</v>
      </c>
      <c r="K66" s="11"/>
      <c r="L66" s="12"/>
      <c r="M66" s="11" t="s">
        <v>113</v>
      </c>
      <c r="N66" s="12" t="s">
        <v>478</v>
      </c>
      <c r="O66" s="11"/>
      <c r="P66" s="12"/>
      <c r="Q66" s="11" t="s">
        <v>126</v>
      </c>
      <c r="R66" s="12" t="s">
        <v>479</v>
      </c>
      <c r="S66" s="13">
        <f>4336.44</f>
        <v>4336.4399999999996</v>
      </c>
      <c r="T66" s="14">
        <f>59417</f>
        <v>59417</v>
      </c>
      <c r="U66" s="14"/>
      <c r="V66" s="14">
        <v>464</v>
      </c>
      <c r="W66" s="14">
        <f>25825934900</f>
        <v>25825934900</v>
      </c>
      <c r="X66" s="14"/>
      <c r="Y66" s="14">
        <v>200499150</v>
      </c>
      <c r="Z66" s="11"/>
      <c r="AA66" s="15">
        <f>1447</f>
        <v>1447</v>
      </c>
      <c r="AB66" s="15" t="str">
        <f t="shared" si="1"/>
        <v>－</v>
      </c>
      <c r="AC66" s="16">
        <f>45</f>
        <v>45</v>
      </c>
    </row>
    <row r="67" spans="1:29">
      <c r="A67" s="8" t="s">
        <v>46</v>
      </c>
      <c r="B67" s="9" t="s">
        <v>431</v>
      </c>
      <c r="C67" s="9" t="s">
        <v>432</v>
      </c>
      <c r="D67" s="9" t="s">
        <v>176</v>
      </c>
      <c r="E67" s="10" t="s">
        <v>177</v>
      </c>
      <c r="F67" s="10" t="s">
        <v>255</v>
      </c>
      <c r="G67" s="11" t="s">
        <v>179</v>
      </c>
      <c r="H67" s="12" t="s">
        <v>480</v>
      </c>
      <c r="I67" s="11" t="s">
        <v>126</v>
      </c>
      <c r="J67" s="12" t="s">
        <v>481</v>
      </c>
      <c r="K67" s="11"/>
      <c r="L67" s="12"/>
      <c r="M67" s="11" t="s">
        <v>179</v>
      </c>
      <c r="N67" s="12" t="s">
        <v>482</v>
      </c>
      <c r="O67" s="11"/>
      <c r="P67" s="12"/>
      <c r="Q67" s="11" t="s">
        <v>126</v>
      </c>
      <c r="R67" s="12" t="s">
        <v>483</v>
      </c>
      <c r="S67" s="13">
        <f>4306.8</f>
        <v>4306.8</v>
      </c>
      <c r="T67" s="14">
        <f>3236</f>
        <v>3236</v>
      </c>
      <c r="U67" s="14"/>
      <c r="V67" s="14"/>
      <c r="W67" s="14">
        <f>1393193950</f>
        <v>1393193950</v>
      </c>
      <c r="X67" s="14"/>
      <c r="Y67" s="14"/>
      <c r="Z67" s="11"/>
      <c r="AA67" s="15">
        <f>401</f>
        <v>401</v>
      </c>
      <c r="AB67" s="15" t="str">
        <f t="shared" si="1"/>
        <v>－</v>
      </c>
      <c r="AC67" s="16">
        <f>5</f>
        <v>5</v>
      </c>
    </row>
    <row r="68" spans="1:29">
      <c r="A68" s="8" t="s">
        <v>46</v>
      </c>
      <c r="B68" s="9" t="s">
        <v>484</v>
      </c>
      <c r="C68" s="9" t="s">
        <v>485</v>
      </c>
      <c r="D68" s="9" t="s">
        <v>261</v>
      </c>
      <c r="E68" s="10" t="s">
        <v>261</v>
      </c>
      <c r="F68" s="10" t="s">
        <v>261</v>
      </c>
      <c r="G68" s="11" t="s">
        <v>52</v>
      </c>
      <c r="H68" s="12" t="s">
        <v>486</v>
      </c>
      <c r="I68" s="11" t="s">
        <v>385</v>
      </c>
      <c r="J68" s="12" t="s">
        <v>487</v>
      </c>
      <c r="K68" s="11" t="s">
        <v>428</v>
      </c>
      <c r="L68" s="12" t="s">
        <v>488</v>
      </c>
      <c r="M68" s="11" t="s">
        <v>361</v>
      </c>
      <c r="N68" s="12" t="s">
        <v>489</v>
      </c>
      <c r="O68" s="11" t="s">
        <v>266</v>
      </c>
      <c r="P68" s="12" t="s">
        <v>490</v>
      </c>
      <c r="Q68" s="11" t="s">
        <v>126</v>
      </c>
      <c r="R68" s="12" t="s">
        <v>491</v>
      </c>
      <c r="S68" s="13">
        <f>4027.64</f>
        <v>4027.64</v>
      </c>
      <c r="T68" s="14">
        <f>200537</f>
        <v>200537</v>
      </c>
      <c r="U68" s="14">
        <v>88</v>
      </c>
      <c r="V68" s="14"/>
      <c r="W68" s="14">
        <f>81860869300</f>
        <v>81860869300</v>
      </c>
      <c r="X68" s="14">
        <v>34337700</v>
      </c>
      <c r="Y68" s="14"/>
      <c r="Z68" s="11"/>
      <c r="AA68" s="15">
        <f>21237</f>
        <v>21237</v>
      </c>
      <c r="AB68" s="15" t="str">
        <f t="shared" si="1"/>
        <v>－</v>
      </c>
      <c r="AC68" s="16">
        <f>244</f>
        <v>244</v>
      </c>
    </row>
    <row r="69" spans="1:29">
      <c r="A69" s="8" t="s">
        <v>46</v>
      </c>
      <c r="B69" s="9" t="s">
        <v>492</v>
      </c>
      <c r="C69" s="9" t="s">
        <v>493</v>
      </c>
      <c r="D69" s="9" t="s">
        <v>49</v>
      </c>
      <c r="E69" s="10" t="s">
        <v>50</v>
      </c>
      <c r="F69" s="10" t="s">
        <v>51</v>
      </c>
      <c r="G69" s="11" t="s">
        <v>494</v>
      </c>
      <c r="H69" s="12" t="s">
        <v>495</v>
      </c>
      <c r="I69" s="11" t="s">
        <v>494</v>
      </c>
      <c r="J69" s="12" t="s">
        <v>495</v>
      </c>
      <c r="K69" s="11"/>
      <c r="L69" s="12"/>
      <c r="M69" s="11" t="s">
        <v>494</v>
      </c>
      <c r="N69" s="12" t="s">
        <v>495</v>
      </c>
      <c r="O69" s="11"/>
      <c r="P69" s="12"/>
      <c r="Q69" s="11" t="s">
        <v>494</v>
      </c>
      <c r="R69" s="12" t="s">
        <v>495</v>
      </c>
      <c r="S69" s="13">
        <f>8014.71</f>
        <v>8014.71</v>
      </c>
      <c r="T69" s="14">
        <f>1</f>
        <v>1</v>
      </c>
      <c r="U69" s="14"/>
      <c r="V69" s="14"/>
      <c r="W69" s="14">
        <f>4350000</f>
        <v>4350000</v>
      </c>
      <c r="X69" s="14"/>
      <c r="Y69" s="14"/>
      <c r="Z69" s="11" t="s">
        <v>60</v>
      </c>
      <c r="AA69" s="15">
        <f>72</f>
        <v>72</v>
      </c>
      <c r="AB69" s="15" t="str">
        <f t="shared" si="1"/>
        <v>－</v>
      </c>
      <c r="AC69" s="16">
        <f>1</f>
        <v>1</v>
      </c>
    </row>
    <row r="70" spans="1:29">
      <c r="A70" s="8" t="s">
        <v>46</v>
      </c>
      <c r="B70" s="9" t="s">
        <v>492</v>
      </c>
      <c r="C70" s="9" t="s">
        <v>493</v>
      </c>
      <c r="D70" s="9" t="s">
        <v>61</v>
      </c>
      <c r="E70" s="10" t="s">
        <v>62</v>
      </c>
      <c r="F70" s="10" t="s">
        <v>63</v>
      </c>
      <c r="G70" s="11" t="s">
        <v>266</v>
      </c>
      <c r="H70" s="12" t="s">
        <v>496</v>
      </c>
      <c r="I70" s="11" t="s">
        <v>497</v>
      </c>
      <c r="J70" s="12" t="s">
        <v>498</v>
      </c>
      <c r="K70" s="11"/>
      <c r="L70" s="12"/>
      <c r="M70" s="11" t="s">
        <v>266</v>
      </c>
      <c r="N70" s="12" t="s">
        <v>496</v>
      </c>
      <c r="O70" s="11"/>
      <c r="P70" s="12"/>
      <c r="Q70" s="11" t="s">
        <v>499</v>
      </c>
      <c r="R70" s="12" t="s">
        <v>500</v>
      </c>
      <c r="S70" s="13">
        <f>8978.95</f>
        <v>8978.9500000000007</v>
      </c>
      <c r="T70" s="14">
        <f>10</f>
        <v>10</v>
      </c>
      <c r="U70" s="14"/>
      <c r="V70" s="14"/>
      <c r="W70" s="14">
        <f>41042000</f>
        <v>41042000</v>
      </c>
      <c r="X70" s="14"/>
      <c r="Y70" s="14"/>
      <c r="Z70" s="11" t="s">
        <v>60</v>
      </c>
      <c r="AA70" s="15">
        <f>6</f>
        <v>6</v>
      </c>
      <c r="AB70" s="15" t="str">
        <f t="shared" si="1"/>
        <v>－</v>
      </c>
      <c r="AC70" s="16">
        <f>5</f>
        <v>5</v>
      </c>
    </row>
    <row r="71" spans="1:29">
      <c r="A71" s="8" t="s">
        <v>46</v>
      </c>
      <c r="B71" s="9" t="s">
        <v>492</v>
      </c>
      <c r="C71" s="9" t="s">
        <v>493</v>
      </c>
      <c r="D71" s="9" t="s">
        <v>74</v>
      </c>
      <c r="E71" s="10" t="s">
        <v>75</v>
      </c>
      <c r="F71" s="10" t="s">
        <v>76</v>
      </c>
      <c r="G71" s="11" t="s">
        <v>501</v>
      </c>
      <c r="H71" s="12" t="s">
        <v>502</v>
      </c>
      <c r="I71" s="11" t="s">
        <v>86</v>
      </c>
      <c r="J71" s="12" t="s">
        <v>503</v>
      </c>
      <c r="K71" s="11"/>
      <c r="L71" s="12"/>
      <c r="M71" s="11" t="s">
        <v>501</v>
      </c>
      <c r="N71" s="12" t="s">
        <v>502</v>
      </c>
      <c r="O71" s="11"/>
      <c r="P71" s="12"/>
      <c r="Q71" s="11" t="s">
        <v>504</v>
      </c>
      <c r="R71" s="12" t="s">
        <v>505</v>
      </c>
      <c r="S71" s="13">
        <f>8853.4</f>
        <v>8853.4</v>
      </c>
      <c r="T71" s="14">
        <f>9</f>
        <v>9</v>
      </c>
      <c r="U71" s="14"/>
      <c r="V71" s="14"/>
      <c r="W71" s="14">
        <f>41975000</f>
        <v>41975000</v>
      </c>
      <c r="X71" s="14"/>
      <c r="Y71" s="14"/>
      <c r="Z71" s="11" t="s">
        <v>60</v>
      </c>
      <c r="AA71" s="15">
        <f>6</f>
        <v>6</v>
      </c>
      <c r="AB71" s="15" t="str">
        <f t="shared" ref="AB71:AB102" si="2">"－"</f>
        <v>－</v>
      </c>
      <c r="AC71" s="16">
        <f>7</f>
        <v>7</v>
      </c>
    </row>
    <row r="72" spans="1:29">
      <c r="A72" s="8" t="s">
        <v>46</v>
      </c>
      <c r="B72" s="9" t="s">
        <v>492</v>
      </c>
      <c r="C72" s="9" t="s">
        <v>493</v>
      </c>
      <c r="D72" s="9" t="s">
        <v>81</v>
      </c>
      <c r="E72" s="10" t="s">
        <v>82</v>
      </c>
      <c r="F72" s="10" t="s">
        <v>83</v>
      </c>
      <c r="G72" s="11" t="s">
        <v>506</v>
      </c>
      <c r="H72" s="12" t="s">
        <v>507</v>
      </c>
      <c r="I72" s="11" t="s">
        <v>497</v>
      </c>
      <c r="J72" s="12" t="s">
        <v>508</v>
      </c>
      <c r="K72" s="11"/>
      <c r="L72" s="12"/>
      <c r="M72" s="11" t="s">
        <v>506</v>
      </c>
      <c r="N72" s="12" t="s">
        <v>509</v>
      </c>
      <c r="O72" s="11"/>
      <c r="P72" s="12"/>
      <c r="Q72" s="11" t="s">
        <v>238</v>
      </c>
      <c r="R72" s="12" t="s">
        <v>510</v>
      </c>
      <c r="S72" s="13">
        <f>8845.43</f>
        <v>8845.43</v>
      </c>
      <c r="T72" s="14">
        <f>12</f>
        <v>12</v>
      </c>
      <c r="U72" s="14"/>
      <c r="V72" s="14"/>
      <c r="W72" s="14">
        <f>52715500</f>
        <v>52715500</v>
      </c>
      <c r="X72" s="14"/>
      <c r="Y72" s="14"/>
      <c r="Z72" s="11" t="s">
        <v>60</v>
      </c>
      <c r="AA72" s="15">
        <f>6</f>
        <v>6</v>
      </c>
      <c r="AB72" s="15" t="str">
        <f t="shared" si="2"/>
        <v>－</v>
      </c>
      <c r="AC72" s="16">
        <f>5</f>
        <v>5</v>
      </c>
    </row>
    <row r="73" spans="1:29">
      <c r="A73" s="8" t="s">
        <v>46</v>
      </c>
      <c r="B73" s="9" t="s">
        <v>492</v>
      </c>
      <c r="C73" s="9" t="s">
        <v>493</v>
      </c>
      <c r="D73" s="9" t="s">
        <v>93</v>
      </c>
      <c r="E73" s="10" t="s">
        <v>94</v>
      </c>
      <c r="F73" s="10" t="s">
        <v>95</v>
      </c>
      <c r="G73" s="11" t="s">
        <v>361</v>
      </c>
      <c r="H73" s="12" t="s">
        <v>507</v>
      </c>
      <c r="I73" s="11" t="s">
        <v>497</v>
      </c>
      <c r="J73" s="12" t="s">
        <v>511</v>
      </c>
      <c r="K73" s="11" t="s">
        <v>512</v>
      </c>
      <c r="L73" s="12" t="s">
        <v>513</v>
      </c>
      <c r="M73" s="11" t="s">
        <v>514</v>
      </c>
      <c r="N73" s="12" t="s">
        <v>515</v>
      </c>
      <c r="O73" s="11" t="s">
        <v>512</v>
      </c>
      <c r="P73" s="12" t="s">
        <v>513</v>
      </c>
      <c r="Q73" s="11" t="s">
        <v>214</v>
      </c>
      <c r="R73" s="12" t="s">
        <v>516</v>
      </c>
      <c r="S73" s="13">
        <f>9046.05</f>
        <v>9046.0499999999993</v>
      </c>
      <c r="T73" s="14">
        <f>30</f>
        <v>30</v>
      </c>
      <c r="U73" s="14">
        <v>1</v>
      </c>
      <c r="V73" s="14"/>
      <c r="W73" s="14">
        <f>132070500</f>
        <v>132070500</v>
      </c>
      <c r="X73" s="14">
        <v>3826000</v>
      </c>
      <c r="Y73" s="14"/>
      <c r="Z73" s="11" t="s">
        <v>60</v>
      </c>
      <c r="AA73" s="15">
        <f>6</f>
        <v>6</v>
      </c>
      <c r="AB73" s="15" t="str">
        <f t="shared" si="2"/>
        <v>－</v>
      </c>
      <c r="AC73" s="16">
        <f>21</f>
        <v>21</v>
      </c>
    </row>
    <row r="74" spans="1:29">
      <c r="A74" s="8" t="s">
        <v>46</v>
      </c>
      <c r="B74" s="9" t="s">
        <v>492</v>
      </c>
      <c r="C74" s="9" t="s">
        <v>493</v>
      </c>
      <c r="D74" s="9" t="s">
        <v>105</v>
      </c>
      <c r="E74" s="10" t="s">
        <v>106</v>
      </c>
      <c r="F74" s="10" t="s">
        <v>107</v>
      </c>
      <c r="G74" s="11" t="s">
        <v>276</v>
      </c>
      <c r="H74" s="12" t="s">
        <v>517</v>
      </c>
      <c r="I74" s="11" t="s">
        <v>518</v>
      </c>
      <c r="J74" s="12" t="s">
        <v>519</v>
      </c>
      <c r="K74" s="11"/>
      <c r="L74" s="12"/>
      <c r="M74" s="11" t="s">
        <v>266</v>
      </c>
      <c r="N74" s="12" t="s">
        <v>520</v>
      </c>
      <c r="O74" s="11"/>
      <c r="P74" s="12"/>
      <c r="Q74" s="11" t="s">
        <v>219</v>
      </c>
      <c r="R74" s="12" t="s">
        <v>507</v>
      </c>
      <c r="S74" s="13">
        <f>8935.87</f>
        <v>8935.8700000000008</v>
      </c>
      <c r="T74" s="14">
        <f>73</f>
        <v>73</v>
      </c>
      <c r="U74" s="14"/>
      <c r="V74" s="14"/>
      <c r="W74" s="14">
        <f>312803000</f>
        <v>312803000</v>
      </c>
      <c r="X74" s="14"/>
      <c r="Y74" s="14"/>
      <c r="Z74" s="11" t="s">
        <v>60</v>
      </c>
      <c r="AA74" s="15">
        <f>6</f>
        <v>6</v>
      </c>
      <c r="AB74" s="15" t="str">
        <f t="shared" si="2"/>
        <v>－</v>
      </c>
      <c r="AC74" s="16">
        <f>27</f>
        <v>27</v>
      </c>
    </row>
    <row r="75" spans="1:29">
      <c r="A75" s="8" t="s">
        <v>46</v>
      </c>
      <c r="B75" s="9" t="s">
        <v>492</v>
      </c>
      <c r="C75" s="9" t="s">
        <v>493</v>
      </c>
      <c r="D75" s="9" t="s">
        <v>115</v>
      </c>
      <c r="E75" s="10" t="s">
        <v>116</v>
      </c>
      <c r="F75" s="10" t="s">
        <v>117</v>
      </c>
      <c r="G75" s="11" t="s">
        <v>521</v>
      </c>
      <c r="H75" s="12" t="s">
        <v>522</v>
      </c>
      <c r="I75" s="11" t="s">
        <v>518</v>
      </c>
      <c r="J75" s="12" t="s">
        <v>523</v>
      </c>
      <c r="K75" s="11"/>
      <c r="L75" s="12"/>
      <c r="M75" s="11" t="s">
        <v>292</v>
      </c>
      <c r="N75" s="12" t="s">
        <v>524</v>
      </c>
      <c r="O75" s="11"/>
      <c r="P75" s="12"/>
      <c r="Q75" s="11" t="s">
        <v>525</v>
      </c>
      <c r="R75" s="12" t="s">
        <v>526</v>
      </c>
      <c r="S75" s="13">
        <f>9091.61</f>
        <v>9091.61</v>
      </c>
      <c r="T75" s="14">
        <f>52</f>
        <v>52</v>
      </c>
      <c r="U75" s="14"/>
      <c r="V75" s="14"/>
      <c r="W75" s="14">
        <f>259154500</f>
        <v>259154500</v>
      </c>
      <c r="X75" s="14"/>
      <c r="Y75" s="14"/>
      <c r="Z75" s="11"/>
      <c r="AA75" s="15">
        <f>6</f>
        <v>6</v>
      </c>
      <c r="AB75" s="15" t="str">
        <f t="shared" si="2"/>
        <v>－</v>
      </c>
      <c r="AC75" s="16">
        <f>24</f>
        <v>24</v>
      </c>
    </row>
    <row r="76" spans="1:29">
      <c r="A76" s="8" t="s">
        <v>46</v>
      </c>
      <c r="B76" s="9" t="s">
        <v>492</v>
      </c>
      <c r="C76" s="9" t="s">
        <v>493</v>
      </c>
      <c r="D76" s="9" t="s">
        <v>128</v>
      </c>
      <c r="E76" s="10" t="s">
        <v>129</v>
      </c>
      <c r="F76" s="10" t="s">
        <v>130</v>
      </c>
      <c r="G76" s="11" t="s">
        <v>527</v>
      </c>
      <c r="H76" s="12" t="s">
        <v>528</v>
      </c>
      <c r="I76" s="11" t="s">
        <v>525</v>
      </c>
      <c r="J76" s="12" t="s">
        <v>526</v>
      </c>
      <c r="K76" s="11"/>
      <c r="L76" s="12"/>
      <c r="M76" s="11" t="s">
        <v>143</v>
      </c>
      <c r="N76" s="12" t="s">
        <v>529</v>
      </c>
      <c r="O76" s="11"/>
      <c r="P76" s="12"/>
      <c r="Q76" s="11" t="s">
        <v>525</v>
      </c>
      <c r="R76" s="12" t="s">
        <v>526</v>
      </c>
      <c r="S76" s="13">
        <f>8915.22</f>
        <v>8915.2199999999993</v>
      </c>
      <c r="T76" s="14">
        <f>20</f>
        <v>20</v>
      </c>
      <c r="U76" s="14"/>
      <c r="V76" s="14"/>
      <c r="W76" s="14">
        <f>89713500</f>
        <v>89713500</v>
      </c>
      <c r="X76" s="14"/>
      <c r="Y76" s="14"/>
      <c r="Z76" s="11"/>
      <c r="AA76" s="15" t="str">
        <f>"－"</f>
        <v>－</v>
      </c>
      <c r="AB76" s="15" t="str">
        <f t="shared" si="2"/>
        <v>－</v>
      </c>
      <c r="AC76" s="16">
        <f>14</f>
        <v>14</v>
      </c>
    </row>
    <row r="77" spans="1:29">
      <c r="A77" s="8" t="s">
        <v>46</v>
      </c>
      <c r="B77" s="9" t="s">
        <v>492</v>
      </c>
      <c r="C77" s="9" t="s">
        <v>493</v>
      </c>
      <c r="D77" s="9" t="s">
        <v>140</v>
      </c>
      <c r="E77" s="10" t="s">
        <v>141</v>
      </c>
      <c r="F77" s="10" t="s">
        <v>142</v>
      </c>
      <c r="G77" s="11" t="s">
        <v>297</v>
      </c>
      <c r="H77" s="12" t="s">
        <v>530</v>
      </c>
      <c r="I77" s="11" t="s">
        <v>297</v>
      </c>
      <c r="J77" s="12" t="s">
        <v>530</v>
      </c>
      <c r="K77" s="11"/>
      <c r="L77" s="12"/>
      <c r="M77" s="11" t="s">
        <v>145</v>
      </c>
      <c r="N77" s="12" t="s">
        <v>531</v>
      </c>
      <c r="O77" s="11"/>
      <c r="P77" s="12"/>
      <c r="Q77" s="11" t="s">
        <v>145</v>
      </c>
      <c r="R77" s="12" t="s">
        <v>531</v>
      </c>
      <c r="S77" s="13">
        <f>9021.97</f>
        <v>9021.9699999999993</v>
      </c>
      <c r="T77" s="14">
        <f>3</f>
        <v>3</v>
      </c>
      <c r="U77" s="14"/>
      <c r="V77" s="14"/>
      <c r="W77" s="14">
        <f>13568500</f>
        <v>13568500</v>
      </c>
      <c r="X77" s="14"/>
      <c r="Y77" s="14"/>
      <c r="Z77" s="11"/>
      <c r="AA77" s="15" t="str">
        <f>"－"</f>
        <v>－</v>
      </c>
      <c r="AB77" s="15" t="str">
        <f t="shared" si="2"/>
        <v>－</v>
      </c>
      <c r="AC77" s="16">
        <f>3</f>
        <v>3</v>
      </c>
    </row>
    <row r="78" spans="1:29">
      <c r="A78" s="8" t="s">
        <v>46</v>
      </c>
      <c r="B78" s="9" t="s">
        <v>492</v>
      </c>
      <c r="C78" s="9" t="s">
        <v>493</v>
      </c>
      <c r="D78" s="9" t="s">
        <v>154</v>
      </c>
      <c r="E78" s="10" t="s">
        <v>155</v>
      </c>
      <c r="F78" s="10" t="s">
        <v>156</v>
      </c>
      <c r="G78" s="11"/>
      <c r="H78" s="12" t="s">
        <v>261</v>
      </c>
      <c r="I78" s="11"/>
      <c r="J78" s="12" t="s">
        <v>261</v>
      </c>
      <c r="K78" s="11"/>
      <c r="L78" s="12"/>
      <c r="M78" s="11"/>
      <c r="N78" s="12" t="s">
        <v>261</v>
      </c>
      <c r="O78" s="11"/>
      <c r="P78" s="12"/>
      <c r="Q78" s="11"/>
      <c r="R78" s="12" t="s">
        <v>261</v>
      </c>
      <c r="S78" s="13">
        <f>9090.59</f>
        <v>9090.59</v>
      </c>
      <c r="T78" s="14" t="str">
        <f>"－"</f>
        <v>－</v>
      </c>
      <c r="U78" s="14"/>
      <c r="V78" s="14"/>
      <c r="W78" s="14" t="str">
        <f>"－"</f>
        <v>－</v>
      </c>
      <c r="X78" s="14"/>
      <c r="Y78" s="14"/>
      <c r="Z78" s="11"/>
      <c r="AA78" s="15" t="str">
        <f>"－"</f>
        <v>－</v>
      </c>
      <c r="AB78" s="15" t="str">
        <f t="shared" si="2"/>
        <v>－</v>
      </c>
      <c r="AC78" s="16" t="str">
        <f>"－"</f>
        <v>－</v>
      </c>
    </row>
    <row r="79" spans="1:29">
      <c r="A79" s="8" t="s">
        <v>46</v>
      </c>
      <c r="B79" s="9" t="s">
        <v>492</v>
      </c>
      <c r="C79" s="9" t="s">
        <v>493</v>
      </c>
      <c r="D79" s="9" t="s">
        <v>165</v>
      </c>
      <c r="E79" s="10" t="s">
        <v>166</v>
      </c>
      <c r="F79" s="10" t="s">
        <v>167</v>
      </c>
      <c r="G79" s="11" t="s">
        <v>532</v>
      </c>
      <c r="H79" s="12" t="s">
        <v>533</v>
      </c>
      <c r="I79" s="11" t="s">
        <v>532</v>
      </c>
      <c r="J79" s="12" t="s">
        <v>533</v>
      </c>
      <c r="K79" s="11"/>
      <c r="L79" s="12"/>
      <c r="M79" s="11" t="s">
        <v>147</v>
      </c>
      <c r="N79" s="12" t="s">
        <v>534</v>
      </c>
      <c r="O79" s="11"/>
      <c r="P79" s="12"/>
      <c r="Q79" s="11" t="s">
        <v>147</v>
      </c>
      <c r="R79" s="12" t="s">
        <v>534</v>
      </c>
      <c r="S79" s="13">
        <f>8532.91</f>
        <v>8532.91</v>
      </c>
      <c r="T79" s="14">
        <f>3</f>
        <v>3</v>
      </c>
      <c r="U79" s="14"/>
      <c r="V79" s="14"/>
      <c r="W79" s="14">
        <f>12050500</f>
        <v>12050500</v>
      </c>
      <c r="X79" s="14"/>
      <c r="Y79" s="14"/>
      <c r="Z79" s="11"/>
      <c r="AA79" s="15">
        <f>3</f>
        <v>3</v>
      </c>
      <c r="AB79" s="15" t="str">
        <f t="shared" si="2"/>
        <v>－</v>
      </c>
      <c r="AC79" s="16">
        <f>3</f>
        <v>3</v>
      </c>
    </row>
    <row r="80" spans="1:29">
      <c r="A80" s="8" t="s">
        <v>46</v>
      </c>
      <c r="B80" s="9" t="s">
        <v>492</v>
      </c>
      <c r="C80" s="9" t="s">
        <v>493</v>
      </c>
      <c r="D80" s="9" t="s">
        <v>176</v>
      </c>
      <c r="E80" s="10" t="s">
        <v>177</v>
      </c>
      <c r="F80" s="10" t="s">
        <v>178</v>
      </c>
      <c r="G80" s="11"/>
      <c r="H80" s="12" t="s">
        <v>261</v>
      </c>
      <c r="I80" s="11"/>
      <c r="J80" s="12" t="s">
        <v>261</v>
      </c>
      <c r="K80" s="11"/>
      <c r="L80" s="12"/>
      <c r="M80" s="11"/>
      <c r="N80" s="12" t="s">
        <v>261</v>
      </c>
      <c r="O80" s="11"/>
      <c r="P80" s="12"/>
      <c r="Q80" s="11"/>
      <c r="R80" s="12" t="s">
        <v>261</v>
      </c>
      <c r="S80" s="13">
        <f>7660</f>
        <v>7660</v>
      </c>
      <c r="T80" s="14" t="str">
        <f>"－"</f>
        <v>－</v>
      </c>
      <c r="U80" s="14"/>
      <c r="V80" s="14"/>
      <c r="W80" s="14" t="str">
        <f>"－"</f>
        <v>－</v>
      </c>
      <c r="X80" s="14"/>
      <c r="Y80" s="14"/>
      <c r="Z80" s="11"/>
      <c r="AA80" s="15" t="str">
        <f>"－"</f>
        <v>－</v>
      </c>
      <c r="AB80" s="15" t="str">
        <f t="shared" si="2"/>
        <v>－</v>
      </c>
      <c r="AC80" s="16" t="str">
        <f>"－"</f>
        <v>－</v>
      </c>
    </row>
    <row r="81" spans="1:29">
      <c r="A81" s="8" t="s">
        <v>46</v>
      </c>
      <c r="B81" s="9" t="s">
        <v>535</v>
      </c>
      <c r="C81" s="9" t="s">
        <v>536</v>
      </c>
      <c r="D81" s="9" t="s">
        <v>537</v>
      </c>
      <c r="E81" s="10" t="s">
        <v>538</v>
      </c>
      <c r="F81" s="10" t="s">
        <v>539</v>
      </c>
      <c r="G81" s="11" t="s">
        <v>52</v>
      </c>
      <c r="H81" s="12" t="s">
        <v>540</v>
      </c>
      <c r="I81" s="11" t="s">
        <v>52</v>
      </c>
      <c r="J81" s="12" t="s">
        <v>540</v>
      </c>
      <c r="K81" s="11"/>
      <c r="L81" s="12"/>
      <c r="M81" s="11" t="s">
        <v>52</v>
      </c>
      <c r="N81" s="12" t="s">
        <v>541</v>
      </c>
      <c r="O81" s="11"/>
      <c r="P81" s="12"/>
      <c r="Q81" s="11" t="s">
        <v>52</v>
      </c>
      <c r="R81" s="12" t="s">
        <v>542</v>
      </c>
      <c r="S81" s="13">
        <f>186.55</f>
        <v>186.55</v>
      </c>
      <c r="T81" s="14">
        <f>27</f>
        <v>27</v>
      </c>
      <c r="U81" s="14"/>
      <c r="V81" s="14"/>
      <c r="W81" s="14">
        <f>50411000</f>
        <v>50411000</v>
      </c>
      <c r="X81" s="14"/>
      <c r="Y81" s="14"/>
      <c r="Z81" s="11" t="s">
        <v>60</v>
      </c>
      <c r="AA81" s="15" t="str">
        <f>"－"</f>
        <v>－</v>
      </c>
      <c r="AB81" s="15" t="str">
        <f t="shared" si="2"/>
        <v>－</v>
      </c>
      <c r="AC81" s="16">
        <f>1</f>
        <v>1</v>
      </c>
    </row>
    <row r="82" spans="1:29">
      <c r="A82" s="8" t="s">
        <v>46</v>
      </c>
      <c r="B82" s="9" t="s">
        <v>535</v>
      </c>
      <c r="C82" s="9" t="s">
        <v>536</v>
      </c>
      <c r="D82" s="9" t="s">
        <v>49</v>
      </c>
      <c r="E82" s="10" t="s">
        <v>538</v>
      </c>
      <c r="F82" s="10" t="s">
        <v>543</v>
      </c>
      <c r="G82" s="11" t="s">
        <v>52</v>
      </c>
      <c r="H82" s="12" t="s">
        <v>544</v>
      </c>
      <c r="I82" s="11" t="s">
        <v>70</v>
      </c>
      <c r="J82" s="12" t="s">
        <v>545</v>
      </c>
      <c r="K82" s="11"/>
      <c r="L82" s="12"/>
      <c r="M82" s="11" t="s">
        <v>546</v>
      </c>
      <c r="N82" s="12" t="s">
        <v>547</v>
      </c>
      <c r="O82" s="11"/>
      <c r="P82" s="12"/>
      <c r="Q82" s="11" t="s">
        <v>70</v>
      </c>
      <c r="R82" s="12" t="s">
        <v>545</v>
      </c>
      <c r="S82" s="13">
        <f>202.71</f>
        <v>202.71</v>
      </c>
      <c r="T82" s="14">
        <f>349</f>
        <v>349</v>
      </c>
      <c r="U82" s="14"/>
      <c r="V82" s="14"/>
      <c r="W82" s="14">
        <f>699743000</f>
        <v>699743000</v>
      </c>
      <c r="X82" s="14"/>
      <c r="Y82" s="14"/>
      <c r="Z82" s="11" t="s">
        <v>60</v>
      </c>
      <c r="AA82" s="15">
        <f>4</f>
        <v>4</v>
      </c>
      <c r="AB82" s="15" t="str">
        <f t="shared" si="2"/>
        <v>－</v>
      </c>
      <c r="AC82" s="16">
        <f>17</f>
        <v>17</v>
      </c>
    </row>
    <row r="83" spans="1:29">
      <c r="A83" s="8" t="s">
        <v>46</v>
      </c>
      <c r="B83" s="9" t="s">
        <v>535</v>
      </c>
      <c r="C83" s="9" t="s">
        <v>536</v>
      </c>
      <c r="D83" s="9" t="s">
        <v>548</v>
      </c>
      <c r="E83" s="10" t="s">
        <v>538</v>
      </c>
      <c r="F83" s="10" t="s">
        <v>549</v>
      </c>
      <c r="G83" s="11" t="s">
        <v>514</v>
      </c>
      <c r="H83" s="12" t="s">
        <v>550</v>
      </c>
      <c r="I83" s="11" t="s">
        <v>123</v>
      </c>
      <c r="J83" s="12" t="s">
        <v>551</v>
      </c>
      <c r="K83" s="11" t="s">
        <v>52</v>
      </c>
      <c r="L83" s="12" t="s">
        <v>552</v>
      </c>
      <c r="M83" s="11" t="s">
        <v>514</v>
      </c>
      <c r="N83" s="12" t="s">
        <v>550</v>
      </c>
      <c r="O83" s="11" t="s">
        <v>52</v>
      </c>
      <c r="P83" s="12" t="s">
        <v>552</v>
      </c>
      <c r="Q83" s="11" t="s">
        <v>553</v>
      </c>
      <c r="R83" s="12" t="s">
        <v>554</v>
      </c>
      <c r="S83" s="13">
        <f>212.39</f>
        <v>212.39</v>
      </c>
      <c r="T83" s="14">
        <f>1173</f>
        <v>1173</v>
      </c>
      <c r="U83" s="14">
        <v>9</v>
      </c>
      <c r="V83" s="14"/>
      <c r="W83" s="14">
        <f>2630550500</f>
        <v>2630550500</v>
      </c>
      <c r="X83" s="14">
        <v>16785000</v>
      </c>
      <c r="Y83" s="14"/>
      <c r="Z83" s="11" t="s">
        <v>60</v>
      </c>
      <c r="AA83" s="15">
        <f>41</f>
        <v>41</v>
      </c>
      <c r="AB83" s="15" t="str">
        <f t="shared" si="2"/>
        <v>－</v>
      </c>
      <c r="AC83" s="16">
        <f>24</f>
        <v>24</v>
      </c>
    </row>
    <row r="84" spans="1:29">
      <c r="A84" s="8" t="s">
        <v>46</v>
      </c>
      <c r="B84" s="9" t="s">
        <v>535</v>
      </c>
      <c r="C84" s="9" t="s">
        <v>536</v>
      </c>
      <c r="D84" s="9" t="s">
        <v>61</v>
      </c>
      <c r="E84" s="10" t="s">
        <v>555</v>
      </c>
      <c r="F84" s="10" t="s">
        <v>556</v>
      </c>
      <c r="G84" s="11" t="s">
        <v>546</v>
      </c>
      <c r="H84" s="12" t="s">
        <v>557</v>
      </c>
      <c r="I84" s="11" t="s">
        <v>499</v>
      </c>
      <c r="J84" s="12" t="s">
        <v>558</v>
      </c>
      <c r="K84" s="11"/>
      <c r="L84" s="12"/>
      <c r="M84" s="11" t="s">
        <v>546</v>
      </c>
      <c r="N84" s="12" t="s">
        <v>557</v>
      </c>
      <c r="O84" s="11"/>
      <c r="P84" s="12"/>
      <c r="Q84" s="11" t="s">
        <v>559</v>
      </c>
      <c r="R84" s="12" t="s">
        <v>560</v>
      </c>
      <c r="S84" s="13">
        <f>229.81</f>
        <v>229.81</v>
      </c>
      <c r="T84" s="14">
        <f>985</f>
        <v>985</v>
      </c>
      <c r="U84" s="14"/>
      <c r="V84" s="14"/>
      <c r="W84" s="14">
        <f>2341550500</f>
        <v>2341550500</v>
      </c>
      <c r="X84" s="14"/>
      <c r="Y84" s="14"/>
      <c r="Z84" s="11" t="s">
        <v>60</v>
      </c>
      <c r="AA84" s="15">
        <f>25</f>
        <v>25</v>
      </c>
      <c r="AB84" s="15" t="str">
        <f t="shared" si="2"/>
        <v>－</v>
      </c>
      <c r="AC84" s="16">
        <f>40</f>
        <v>40</v>
      </c>
    </row>
    <row r="85" spans="1:29">
      <c r="A85" s="8" t="s">
        <v>46</v>
      </c>
      <c r="B85" s="9" t="s">
        <v>535</v>
      </c>
      <c r="C85" s="9" t="s">
        <v>536</v>
      </c>
      <c r="D85" s="9" t="s">
        <v>561</v>
      </c>
      <c r="E85" s="10" t="s">
        <v>562</v>
      </c>
      <c r="F85" s="10" t="s">
        <v>563</v>
      </c>
      <c r="G85" s="11" t="s">
        <v>52</v>
      </c>
      <c r="H85" s="12" t="s">
        <v>564</v>
      </c>
      <c r="I85" s="11" t="s">
        <v>357</v>
      </c>
      <c r="J85" s="12" t="s">
        <v>565</v>
      </c>
      <c r="K85" s="11" t="s">
        <v>559</v>
      </c>
      <c r="L85" s="12" t="s">
        <v>566</v>
      </c>
      <c r="M85" s="11" t="s">
        <v>52</v>
      </c>
      <c r="N85" s="12" t="s">
        <v>564</v>
      </c>
      <c r="O85" s="11" t="s">
        <v>274</v>
      </c>
      <c r="P85" s="12" t="s">
        <v>567</v>
      </c>
      <c r="Q85" s="11" t="s">
        <v>403</v>
      </c>
      <c r="R85" s="12" t="s">
        <v>568</v>
      </c>
      <c r="S85" s="13">
        <f>232.27</f>
        <v>232.27</v>
      </c>
      <c r="T85" s="14">
        <f>211</f>
        <v>211</v>
      </c>
      <c r="U85" s="14">
        <v>32</v>
      </c>
      <c r="V85" s="14"/>
      <c r="W85" s="14">
        <f>502251500</f>
        <v>502251500</v>
      </c>
      <c r="X85" s="14">
        <v>76576000</v>
      </c>
      <c r="Y85" s="14"/>
      <c r="Z85" s="11" t="s">
        <v>60</v>
      </c>
      <c r="AA85" s="15">
        <f>12</f>
        <v>12</v>
      </c>
      <c r="AB85" s="15" t="str">
        <f t="shared" si="2"/>
        <v>－</v>
      </c>
      <c r="AC85" s="16">
        <f>31</f>
        <v>31</v>
      </c>
    </row>
    <row r="86" spans="1:29">
      <c r="A86" s="8" t="s">
        <v>46</v>
      </c>
      <c r="B86" s="9" t="s">
        <v>535</v>
      </c>
      <c r="C86" s="9" t="s">
        <v>536</v>
      </c>
      <c r="D86" s="9" t="s">
        <v>74</v>
      </c>
      <c r="E86" s="10" t="s">
        <v>569</v>
      </c>
      <c r="F86" s="10" t="s">
        <v>570</v>
      </c>
      <c r="G86" s="11" t="s">
        <v>52</v>
      </c>
      <c r="H86" s="12" t="s">
        <v>571</v>
      </c>
      <c r="I86" s="11" t="s">
        <v>497</v>
      </c>
      <c r="J86" s="12" t="s">
        <v>572</v>
      </c>
      <c r="K86" s="11"/>
      <c r="L86" s="12"/>
      <c r="M86" s="11" t="s">
        <v>52</v>
      </c>
      <c r="N86" s="12" t="s">
        <v>573</v>
      </c>
      <c r="O86" s="11"/>
      <c r="P86" s="12"/>
      <c r="Q86" s="11" t="s">
        <v>574</v>
      </c>
      <c r="R86" s="12" t="s">
        <v>575</v>
      </c>
      <c r="S86" s="13">
        <f>237.06</f>
        <v>237.06</v>
      </c>
      <c r="T86" s="14">
        <f>104</f>
        <v>104</v>
      </c>
      <c r="U86" s="14"/>
      <c r="V86" s="14"/>
      <c r="W86" s="14">
        <f>241366500</f>
        <v>241366500</v>
      </c>
      <c r="X86" s="14"/>
      <c r="Y86" s="14"/>
      <c r="Z86" s="11" t="s">
        <v>60</v>
      </c>
      <c r="AA86" s="15">
        <f>10</f>
        <v>10</v>
      </c>
      <c r="AB86" s="15" t="str">
        <f t="shared" si="2"/>
        <v>－</v>
      </c>
      <c r="AC86" s="16">
        <f>24</f>
        <v>24</v>
      </c>
    </row>
    <row r="87" spans="1:29">
      <c r="A87" s="8" t="s">
        <v>46</v>
      </c>
      <c r="B87" s="9" t="s">
        <v>535</v>
      </c>
      <c r="C87" s="9" t="s">
        <v>536</v>
      </c>
      <c r="D87" s="9" t="s">
        <v>576</v>
      </c>
      <c r="E87" s="10" t="s">
        <v>577</v>
      </c>
      <c r="F87" s="10" t="s">
        <v>578</v>
      </c>
      <c r="G87" s="11" t="s">
        <v>546</v>
      </c>
      <c r="H87" s="12" t="s">
        <v>579</v>
      </c>
      <c r="I87" s="11" t="s">
        <v>580</v>
      </c>
      <c r="J87" s="12" t="s">
        <v>581</v>
      </c>
      <c r="K87" s="11"/>
      <c r="L87" s="12"/>
      <c r="M87" s="11" t="s">
        <v>582</v>
      </c>
      <c r="N87" s="12" t="s">
        <v>583</v>
      </c>
      <c r="O87" s="11"/>
      <c r="P87" s="12"/>
      <c r="Q87" s="11" t="s">
        <v>584</v>
      </c>
      <c r="R87" s="12" t="s">
        <v>585</v>
      </c>
      <c r="S87" s="13">
        <f>243.02</f>
        <v>243.02</v>
      </c>
      <c r="T87" s="14">
        <f>291</f>
        <v>291</v>
      </c>
      <c r="U87" s="14"/>
      <c r="V87" s="14"/>
      <c r="W87" s="14">
        <f>633540500</f>
        <v>633540500</v>
      </c>
      <c r="X87" s="14"/>
      <c r="Y87" s="14"/>
      <c r="Z87" s="11" t="s">
        <v>60</v>
      </c>
      <c r="AA87" s="15">
        <f>7</f>
        <v>7</v>
      </c>
      <c r="AB87" s="15" t="str">
        <f t="shared" si="2"/>
        <v>－</v>
      </c>
      <c r="AC87" s="16">
        <f>46</f>
        <v>46</v>
      </c>
    </row>
    <row r="88" spans="1:29">
      <c r="A88" s="8" t="s">
        <v>46</v>
      </c>
      <c r="B88" s="9" t="s">
        <v>535</v>
      </c>
      <c r="C88" s="9" t="s">
        <v>536</v>
      </c>
      <c r="D88" s="9" t="s">
        <v>81</v>
      </c>
      <c r="E88" s="10" t="s">
        <v>586</v>
      </c>
      <c r="F88" s="10" t="s">
        <v>587</v>
      </c>
      <c r="G88" s="11" t="s">
        <v>588</v>
      </c>
      <c r="H88" s="12" t="s">
        <v>589</v>
      </c>
      <c r="I88" s="11" t="s">
        <v>580</v>
      </c>
      <c r="J88" s="12" t="s">
        <v>590</v>
      </c>
      <c r="K88" s="11" t="s">
        <v>591</v>
      </c>
      <c r="L88" s="12" t="s">
        <v>592</v>
      </c>
      <c r="M88" s="11" t="s">
        <v>494</v>
      </c>
      <c r="N88" s="12" t="s">
        <v>593</v>
      </c>
      <c r="O88" s="11" t="s">
        <v>591</v>
      </c>
      <c r="P88" s="12" t="s">
        <v>592</v>
      </c>
      <c r="Q88" s="11" t="s">
        <v>594</v>
      </c>
      <c r="R88" s="12" t="s">
        <v>595</v>
      </c>
      <c r="S88" s="13">
        <f>246.33</f>
        <v>246.33</v>
      </c>
      <c r="T88" s="14">
        <f>158</f>
        <v>158</v>
      </c>
      <c r="U88" s="14">
        <v>1</v>
      </c>
      <c r="V88" s="14"/>
      <c r="W88" s="14">
        <f>342980500</f>
        <v>342980500</v>
      </c>
      <c r="X88" s="14">
        <v>2176000</v>
      </c>
      <c r="Y88" s="14"/>
      <c r="Z88" s="11" t="s">
        <v>60</v>
      </c>
      <c r="AA88" s="15">
        <f>4</f>
        <v>4</v>
      </c>
      <c r="AB88" s="15" t="str">
        <f t="shared" si="2"/>
        <v>－</v>
      </c>
      <c r="AC88" s="16">
        <f>33</f>
        <v>33</v>
      </c>
    </row>
    <row r="89" spans="1:29">
      <c r="A89" s="8" t="s">
        <v>46</v>
      </c>
      <c r="B89" s="9" t="s">
        <v>535</v>
      </c>
      <c r="C89" s="9" t="s">
        <v>536</v>
      </c>
      <c r="D89" s="9" t="s">
        <v>596</v>
      </c>
      <c r="E89" s="10" t="s">
        <v>597</v>
      </c>
      <c r="F89" s="10" t="s">
        <v>598</v>
      </c>
      <c r="G89" s="11" t="s">
        <v>599</v>
      </c>
      <c r="H89" s="12" t="s">
        <v>600</v>
      </c>
      <c r="I89" s="11" t="s">
        <v>601</v>
      </c>
      <c r="J89" s="12" t="s">
        <v>602</v>
      </c>
      <c r="K89" s="11" t="s">
        <v>603</v>
      </c>
      <c r="L89" s="12" t="s">
        <v>604</v>
      </c>
      <c r="M89" s="11" t="s">
        <v>599</v>
      </c>
      <c r="N89" s="12" t="s">
        <v>605</v>
      </c>
      <c r="O89" s="11" t="s">
        <v>603</v>
      </c>
      <c r="P89" s="12" t="s">
        <v>604</v>
      </c>
      <c r="Q89" s="11" t="s">
        <v>606</v>
      </c>
      <c r="R89" s="12" t="s">
        <v>607</v>
      </c>
      <c r="S89" s="13">
        <f>243.93</f>
        <v>243.93</v>
      </c>
      <c r="T89" s="14">
        <f>36</f>
        <v>36</v>
      </c>
      <c r="U89" s="14">
        <v>1</v>
      </c>
      <c r="V89" s="14"/>
      <c r="W89" s="14">
        <f>87522500</f>
        <v>87522500</v>
      </c>
      <c r="X89" s="14">
        <v>2399500</v>
      </c>
      <c r="Y89" s="14"/>
      <c r="Z89" s="11" t="s">
        <v>60</v>
      </c>
      <c r="AA89" s="15">
        <f>3</f>
        <v>3</v>
      </c>
      <c r="AB89" s="15" t="str">
        <f t="shared" si="2"/>
        <v>－</v>
      </c>
      <c r="AC89" s="16">
        <f>11</f>
        <v>11</v>
      </c>
    </row>
    <row r="90" spans="1:29">
      <c r="A90" s="8" t="s">
        <v>46</v>
      </c>
      <c r="B90" s="9" t="s">
        <v>535</v>
      </c>
      <c r="C90" s="9" t="s">
        <v>536</v>
      </c>
      <c r="D90" s="9" t="s">
        <v>93</v>
      </c>
      <c r="E90" s="10" t="s">
        <v>608</v>
      </c>
      <c r="F90" s="10" t="s">
        <v>609</v>
      </c>
      <c r="G90" s="11" t="s">
        <v>157</v>
      </c>
      <c r="H90" s="12" t="s">
        <v>610</v>
      </c>
      <c r="I90" s="11" t="s">
        <v>603</v>
      </c>
      <c r="J90" s="12" t="s">
        <v>611</v>
      </c>
      <c r="K90" s="11" t="s">
        <v>603</v>
      </c>
      <c r="L90" s="12" t="s">
        <v>612</v>
      </c>
      <c r="M90" s="11" t="s">
        <v>335</v>
      </c>
      <c r="N90" s="12" t="s">
        <v>613</v>
      </c>
      <c r="O90" s="11" t="s">
        <v>603</v>
      </c>
      <c r="P90" s="12" t="s">
        <v>612</v>
      </c>
      <c r="Q90" s="11" t="s">
        <v>335</v>
      </c>
      <c r="R90" s="12" t="s">
        <v>613</v>
      </c>
      <c r="S90" s="13">
        <f>237.31</f>
        <v>237.31</v>
      </c>
      <c r="T90" s="14">
        <f>86</f>
        <v>86</v>
      </c>
      <c r="U90" s="14">
        <v>2</v>
      </c>
      <c r="V90" s="14"/>
      <c r="W90" s="14">
        <f>199851000</f>
        <v>199851000</v>
      </c>
      <c r="X90" s="14">
        <v>4814000</v>
      </c>
      <c r="Y90" s="14"/>
      <c r="Z90" s="11" t="s">
        <v>60</v>
      </c>
      <c r="AA90" s="15" t="str">
        <f>"－"</f>
        <v>－</v>
      </c>
      <c r="AB90" s="15" t="str">
        <f t="shared" si="2"/>
        <v>－</v>
      </c>
      <c r="AC90" s="16">
        <f>5</f>
        <v>5</v>
      </c>
    </row>
    <row r="91" spans="1:29">
      <c r="A91" s="8" t="s">
        <v>46</v>
      </c>
      <c r="B91" s="9" t="s">
        <v>535</v>
      </c>
      <c r="C91" s="9" t="s">
        <v>536</v>
      </c>
      <c r="D91" s="9" t="s">
        <v>614</v>
      </c>
      <c r="E91" s="10" t="s">
        <v>615</v>
      </c>
      <c r="F91" s="10" t="s">
        <v>616</v>
      </c>
      <c r="G91" s="11" t="s">
        <v>162</v>
      </c>
      <c r="H91" s="12" t="s">
        <v>617</v>
      </c>
      <c r="I91" s="11" t="s">
        <v>618</v>
      </c>
      <c r="J91" s="12" t="s">
        <v>619</v>
      </c>
      <c r="K91" s="11"/>
      <c r="L91" s="12"/>
      <c r="M91" s="11" t="s">
        <v>620</v>
      </c>
      <c r="N91" s="12" t="s">
        <v>621</v>
      </c>
      <c r="O91" s="11"/>
      <c r="P91" s="12"/>
      <c r="Q91" s="11" t="s">
        <v>618</v>
      </c>
      <c r="R91" s="12" t="s">
        <v>619</v>
      </c>
      <c r="S91" s="13">
        <f>231.64</f>
        <v>231.64</v>
      </c>
      <c r="T91" s="14">
        <f>20</f>
        <v>20</v>
      </c>
      <c r="U91" s="14"/>
      <c r="V91" s="14"/>
      <c r="W91" s="14">
        <f>41502500</f>
        <v>41502500</v>
      </c>
      <c r="X91" s="14"/>
      <c r="Y91" s="14"/>
      <c r="Z91" s="11" t="s">
        <v>60</v>
      </c>
      <c r="AA91" s="15" t="str">
        <f>"－"</f>
        <v>－</v>
      </c>
      <c r="AB91" s="15" t="str">
        <f t="shared" si="2"/>
        <v>－</v>
      </c>
      <c r="AC91" s="16">
        <f>3</f>
        <v>3</v>
      </c>
    </row>
    <row r="92" spans="1:29">
      <c r="A92" s="8" t="s">
        <v>46</v>
      </c>
      <c r="B92" s="9" t="s">
        <v>535</v>
      </c>
      <c r="C92" s="9" t="s">
        <v>536</v>
      </c>
      <c r="D92" s="9" t="s">
        <v>105</v>
      </c>
      <c r="E92" s="10" t="s">
        <v>622</v>
      </c>
      <c r="F92" s="10" t="s">
        <v>623</v>
      </c>
      <c r="G92" s="11"/>
      <c r="H92" s="12" t="s">
        <v>261</v>
      </c>
      <c r="I92" s="11"/>
      <c r="J92" s="12" t="s">
        <v>261</v>
      </c>
      <c r="K92" s="11"/>
      <c r="L92" s="12"/>
      <c r="M92" s="11"/>
      <c r="N92" s="12" t="s">
        <v>261</v>
      </c>
      <c r="O92" s="11"/>
      <c r="P92" s="12"/>
      <c r="Q92" s="11"/>
      <c r="R92" s="12" t="s">
        <v>261</v>
      </c>
      <c r="S92" s="13">
        <f>223.85</f>
        <v>223.85</v>
      </c>
      <c r="T92" s="14" t="str">
        <f>"－"</f>
        <v>－</v>
      </c>
      <c r="U92" s="14"/>
      <c r="V92" s="14"/>
      <c r="W92" s="14" t="str">
        <f>"－"</f>
        <v>－</v>
      </c>
      <c r="X92" s="14"/>
      <c r="Y92" s="14"/>
      <c r="Z92" s="11" t="s">
        <v>60</v>
      </c>
      <c r="AA92" s="15" t="str">
        <f>"－"</f>
        <v>－</v>
      </c>
      <c r="AB92" s="15" t="str">
        <f t="shared" si="2"/>
        <v>－</v>
      </c>
      <c r="AC92" s="16" t="str">
        <f>"－"</f>
        <v>－</v>
      </c>
    </row>
    <row r="93" spans="1:29">
      <c r="A93" s="8" t="s">
        <v>46</v>
      </c>
      <c r="B93" s="9" t="s">
        <v>535</v>
      </c>
      <c r="C93" s="9" t="s">
        <v>536</v>
      </c>
      <c r="D93" s="9" t="s">
        <v>624</v>
      </c>
      <c r="E93" s="10" t="s">
        <v>625</v>
      </c>
      <c r="F93" s="10" t="s">
        <v>626</v>
      </c>
      <c r="G93" s="11" t="s">
        <v>627</v>
      </c>
      <c r="H93" s="12" t="s">
        <v>628</v>
      </c>
      <c r="I93" s="11" t="s">
        <v>629</v>
      </c>
      <c r="J93" s="12" t="s">
        <v>630</v>
      </c>
      <c r="K93" s="11"/>
      <c r="L93" s="12"/>
      <c r="M93" s="11" t="s">
        <v>627</v>
      </c>
      <c r="N93" s="12" t="s">
        <v>631</v>
      </c>
      <c r="O93" s="11"/>
      <c r="P93" s="12"/>
      <c r="Q93" s="11" t="s">
        <v>629</v>
      </c>
      <c r="R93" s="12" t="s">
        <v>630</v>
      </c>
      <c r="S93" s="13">
        <f>211.47</f>
        <v>211.47</v>
      </c>
      <c r="T93" s="14">
        <f>21</f>
        <v>21</v>
      </c>
      <c r="U93" s="14"/>
      <c r="V93" s="14"/>
      <c r="W93" s="14">
        <f>40152000</f>
        <v>40152000</v>
      </c>
      <c r="X93" s="14"/>
      <c r="Y93" s="14"/>
      <c r="Z93" s="11"/>
      <c r="AA93" s="15">
        <f>1</f>
        <v>1</v>
      </c>
      <c r="AB93" s="15" t="str">
        <f t="shared" si="2"/>
        <v>－</v>
      </c>
      <c r="AC93" s="16">
        <f>2</f>
        <v>2</v>
      </c>
    </row>
    <row r="94" spans="1:29">
      <c r="A94" s="8" t="s">
        <v>46</v>
      </c>
      <c r="B94" s="9" t="s">
        <v>535</v>
      </c>
      <c r="C94" s="9" t="s">
        <v>536</v>
      </c>
      <c r="D94" s="9" t="s">
        <v>115</v>
      </c>
      <c r="E94" s="10" t="s">
        <v>632</v>
      </c>
      <c r="F94" s="10" t="s">
        <v>633</v>
      </c>
      <c r="G94" s="11"/>
      <c r="H94" s="12" t="s">
        <v>261</v>
      </c>
      <c r="I94" s="11"/>
      <c r="J94" s="12" t="s">
        <v>261</v>
      </c>
      <c r="K94" s="11"/>
      <c r="L94" s="12"/>
      <c r="M94" s="11"/>
      <c r="N94" s="12" t="s">
        <v>261</v>
      </c>
      <c r="O94" s="11"/>
      <c r="P94" s="12"/>
      <c r="Q94" s="11"/>
      <c r="R94" s="12" t="s">
        <v>261</v>
      </c>
      <c r="S94" s="13">
        <f>207.36</f>
        <v>207.36</v>
      </c>
      <c r="T94" s="14" t="str">
        <f>"－"</f>
        <v>－</v>
      </c>
      <c r="U94" s="14"/>
      <c r="V94" s="14"/>
      <c r="W94" s="14" t="str">
        <f>"－"</f>
        <v>－</v>
      </c>
      <c r="X94" s="14"/>
      <c r="Y94" s="14"/>
      <c r="Z94" s="11"/>
      <c r="AA94" s="15" t="str">
        <f>"－"</f>
        <v>－</v>
      </c>
      <c r="AB94" s="15" t="str">
        <f t="shared" si="2"/>
        <v>－</v>
      </c>
      <c r="AC94" s="16" t="str">
        <f>"－"</f>
        <v>－</v>
      </c>
    </row>
    <row r="95" spans="1:29">
      <c r="A95" s="8" t="s">
        <v>46</v>
      </c>
      <c r="B95" s="9" t="s">
        <v>535</v>
      </c>
      <c r="C95" s="9" t="s">
        <v>536</v>
      </c>
      <c r="D95" s="9" t="s">
        <v>634</v>
      </c>
      <c r="E95" s="10" t="s">
        <v>635</v>
      </c>
      <c r="F95" s="10" t="s">
        <v>636</v>
      </c>
      <c r="G95" s="11"/>
      <c r="H95" s="12" t="s">
        <v>261</v>
      </c>
      <c r="I95" s="11"/>
      <c r="J95" s="12" t="s">
        <v>261</v>
      </c>
      <c r="K95" s="11"/>
      <c r="L95" s="12"/>
      <c r="M95" s="11"/>
      <c r="N95" s="12" t="s">
        <v>261</v>
      </c>
      <c r="O95" s="11"/>
      <c r="P95" s="12"/>
      <c r="Q95" s="11"/>
      <c r="R95" s="12" t="s">
        <v>261</v>
      </c>
      <c r="S95" s="13">
        <f>203.79</f>
        <v>203.79</v>
      </c>
      <c r="T95" s="14" t="str">
        <f>"－"</f>
        <v>－</v>
      </c>
      <c r="U95" s="14"/>
      <c r="V95" s="14"/>
      <c r="W95" s="14" t="str">
        <f>"－"</f>
        <v>－</v>
      </c>
      <c r="X95" s="14"/>
      <c r="Y95" s="14"/>
      <c r="Z95" s="11"/>
      <c r="AA95" s="15" t="str">
        <f>"－"</f>
        <v>－</v>
      </c>
      <c r="AB95" s="15" t="str">
        <f t="shared" si="2"/>
        <v>－</v>
      </c>
      <c r="AC95" s="16" t="str">
        <f>"－"</f>
        <v>－</v>
      </c>
    </row>
    <row r="96" spans="1:29">
      <c r="A96" s="8" t="s">
        <v>46</v>
      </c>
      <c r="B96" s="9" t="s">
        <v>535</v>
      </c>
      <c r="C96" s="9" t="s">
        <v>536</v>
      </c>
      <c r="D96" s="9" t="s">
        <v>128</v>
      </c>
      <c r="E96" s="10" t="s">
        <v>637</v>
      </c>
      <c r="F96" s="10" t="s">
        <v>638</v>
      </c>
      <c r="G96" s="11" t="s">
        <v>378</v>
      </c>
      <c r="H96" s="12" t="s">
        <v>639</v>
      </c>
      <c r="I96" s="11" t="s">
        <v>378</v>
      </c>
      <c r="J96" s="12" t="s">
        <v>639</v>
      </c>
      <c r="K96" s="11"/>
      <c r="L96" s="12"/>
      <c r="M96" s="11" t="s">
        <v>629</v>
      </c>
      <c r="N96" s="12" t="s">
        <v>640</v>
      </c>
      <c r="O96" s="11"/>
      <c r="P96" s="12"/>
      <c r="Q96" s="11" t="s">
        <v>629</v>
      </c>
      <c r="R96" s="12" t="s">
        <v>640</v>
      </c>
      <c r="S96" s="13">
        <f>202.11</f>
        <v>202.11</v>
      </c>
      <c r="T96" s="14">
        <f>2</f>
        <v>2</v>
      </c>
      <c r="U96" s="14"/>
      <c r="V96" s="14"/>
      <c r="W96" s="14">
        <f>3937500</f>
        <v>3937500</v>
      </c>
      <c r="X96" s="14"/>
      <c r="Y96" s="14"/>
      <c r="Z96" s="11"/>
      <c r="AA96" s="15" t="str">
        <f>"－"</f>
        <v>－</v>
      </c>
      <c r="AB96" s="15" t="str">
        <f t="shared" si="2"/>
        <v>－</v>
      </c>
      <c r="AC96" s="16">
        <f>2</f>
        <v>2</v>
      </c>
    </row>
    <row r="97" spans="1:29">
      <c r="A97" s="8" t="s">
        <v>46</v>
      </c>
      <c r="B97" s="9" t="s">
        <v>535</v>
      </c>
      <c r="C97" s="9" t="s">
        <v>536</v>
      </c>
      <c r="D97" s="9" t="s">
        <v>641</v>
      </c>
      <c r="E97" s="10" t="s">
        <v>642</v>
      </c>
      <c r="F97" s="10" t="s">
        <v>643</v>
      </c>
      <c r="G97" s="11"/>
      <c r="H97" s="12" t="s">
        <v>261</v>
      </c>
      <c r="I97" s="11"/>
      <c r="J97" s="12" t="s">
        <v>261</v>
      </c>
      <c r="K97" s="11"/>
      <c r="L97" s="12"/>
      <c r="M97" s="11"/>
      <c r="N97" s="12" t="s">
        <v>261</v>
      </c>
      <c r="O97" s="11"/>
      <c r="P97" s="12"/>
      <c r="Q97" s="11"/>
      <c r="R97" s="12" t="s">
        <v>261</v>
      </c>
      <c r="S97" s="13">
        <f>198.99</f>
        <v>198.99</v>
      </c>
      <c r="T97" s="14" t="str">
        <f>"－"</f>
        <v>－</v>
      </c>
      <c r="U97" s="14"/>
      <c r="V97" s="14"/>
      <c r="W97" s="14" t="str">
        <f>"－"</f>
        <v>－</v>
      </c>
      <c r="X97" s="14"/>
      <c r="Y97" s="14"/>
      <c r="Z97" s="11"/>
      <c r="AA97" s="15" t="str">
        <f>"－"</f>
        <v>－</v>
      </c>
      <c r="AB97" s="15" t="str">
        <f t="shared" si="2"/>
        <v>－</v>
      </c>
      <c r="AC97" s="16" t="str">
        <f>"－"</f>
        <v>－</v>
      </c>
    </row>
    <row r="98" spans="1:29">
      <c r="A98" s="8" t="s">
        <v>46</v>
      </c>
      <c r="B98" s="9" t="s">
        <v>535</v>
      </c>
      <c r="C98" s="9" t="s">
        <v>536</v>
      </c>
      <c r="D98" s="9" t="s">
        <v>140</v>
      </c>
      <c r="E98" s="10" t="s">
        <v>644</v>
      </c>
      <c r="F98" s="10" t="s">
        <v>645</v>
      </c>
      <c r="G98" s="11"/>
      <c r="H98" s="12" t="s">
        <v>261</v>
      </c>
      <c r="I98" s="11"/>
      <c r="J98" s="12" t="s">
        <v>261</v>
      </c>
      <c r="K98" s="11"/>
      <c r="L98" s="12"/>
      <c r="M98" s="11"/>
      <c r="N98" s="12" t="s">
        <v>261</v>
      </c>
      <c r="O98" s="11"/>
      <c r="P98" s="12"/>
      <c r="Q98" s="11"/>
      <c r="R98" s="12" t="s">
        <v>261</v>
      </c>
      <c r="S98" s="13">
        <f>192.85</f>
        <v>192.85</v>
      </c>
      <c r="T98" s="14" t="str">
        <f>"－"</f>
        <v>－</v>
      </c>
      <c r="U98" s="14"/>
      <c r="V98" s="14"/>
      <c r="W98" s="14" t="str">
        <f>"－"</f>
        <v>－</v>
      </c>
      <c r="X98" s="14"/>
      <c r="Y98" s="14"/>
      <c r="Z98" s="11"/>
      <c r="AA98" s="15" t="str">
        <f>"－"</f>
        <v>－</v>
      </c>
      <c r="AB98" s="15" t="str">
        <f t="shared" si="2"/>
        <v>－</v>
      </c>
      <c r="AC98" s="16" t="str">
        <f>"－"</f>
        <v>－</v>
      </c>
    </row>
    <row r="99" spans="1:29">
      <c r="A99" s="8" t="s">
        <v>46</v>
      </c>
      <c r="B99" s="9" t="s">
        <v>646</v>
      </c>
      <c r="C99" s="9" t="s">
        <v>647</v>
      </c>
      <c r="D99" s="9" t="s">
        <v>537</v>
      </c>
      <c r="E99" s="10" t="s">
        <v>648</v>
      </c>
      <c r="F99" s="10" t="s">
        <v>649</v>
      </c>
      <c r="G99" s="11" t="s">
        <v>52</v>
      </c>
      <c r="H99" s="12" t="s">
        <v>650</v>
      </c>
      <c r="I99" s="11" t="s">
        <v>651</v>
      </c>
      <c r="J99" s="12" t="s">
        <v>652</v>
      </c>
      <c r="K99" s="11" t="s">
        <v>653</v>
      </c>
      <c r="L99" s="12" t="s">
        <v>654</v>
      </c>
      <c r="M99" s="11" t="s">
        <v>52</v>
      </c>
      <c r="N99" s="12" t="s">
        <v>655</v>
      </c>
      <c r="O99" s="11" t="s">
        <v>653</v>
      </c>
      <c r="P99" s="12" t="s">
        <v>654</v>
      </c>
      <c r="Q99" s="11" t="s">
        <v>501</v>
      </c>
      <c r="R99" s="12" t="s">
        <v>656</v>
      </c>
      <c r="S99" s="13">
        <f>229.89</f>
        <v>229.89</v>
      </c>
      <c r="T99" s="14">
        <f>962</f>
        <v>962</v>
      </c>
      <c r="U99" s="14">
        <v>2</v>
      </c>
      <c r="V99" s="14">
        <v>276</v>
      </c>
      <c r="W99" s="14">
        <f>1097991000</f>
        <v>1097991000</v>
      </c>
      <c r="X99" s="14">
        <v>2282000</v>
      </c>
      <c r="Y99" s="14">
        <v>313232500</v>
      </c>
      <c r="Z99" s="11" t="s">
        <v>60</v>
      </c>
      <c r="AA99" s="15">
        <f>110</f>
        <v>110</v>
      </c>
      <c r="AB99" s="15" t="str">
        <f t="shared" si="2"/>
        <v>－</v>
      </c>
      <c r="AC99" s="16">
        <f>14</f>
        <v>14</v>
      </c>
    </row>
    <row r="100" spans="1:29">
      <c r="A100" s="8" t="s">
        <v>46</v>
      </c>
      <c r="B100" s="9" t="s">
        <v>646</v>
      </c>
      <c r="C100" s="9" t="s">
        <v>647</v>
      </c>
      <c r="D100" s="9" t="s">
        <v>49</v>
      </c>
      <c r="E100" s="10" t="s">
        <v>657</v>
      </c>
      <c r="F100" s="10" t="s">
        <v>188</v>
      </c>
      <c r="G100" s="11" t="s">
        <v>52</v>
      </c>
      <c r="H100" s="12" t="s">
        <v>658</v>
      </c>
      <c r="I100" s="11" t="s">
        <v>54</v>
      </c>
      <c r="J100" s="12" t="s">
        <v>659</v>
      </c>
      <c r="K100" s="11" t="s">
        <v>54</v>
      </c>
      <c r="L100" s="12" t="s">
        <v>660</v>
      </c>
      <c r="M100" s="11" t="s">
        <v>70</v>
      </c>
      <c r="N100" s="12" t="s">
        <v>661</v>
      </c>
      <c r="O100" s="11" t="s">
        <v>662</v>
      </c>
      <c r="P100" s="12" t="s">
        <v>663</v>
      </c>
      <c r="Q100" s="11" t="s">
        <v>54</v>
      </c>
      <c r="R100" s="12" t="s">
        <v>659</v>
      </c>
      <c r="S100" s="13">
        <f>233.92</f>
        <v>233.92</v>
      </c>
      <c r="T100" s="14">
        <f>2255</f>
        <v>2255</v>
      </c>
      <c r="U100" s="14">
        <v>42</v>
      </c>
      <c r="V100" s="14">
        <v>1069</v>
      </c>
      <c r="W100" s="14">
        <f>2613160000</f>
        <v>2613160000</v>
      </c>
      <c r="X100" s="14">
        <v>50793500</v>
      </c>
      <c r="Y100" s="14">
        <v>1224631500</v>
      </c>
      <c r="Z100" s="11" t="s">
        <v>60</v>
      </c>
      <c r="AA100" s="15">
        <f>143</f>
        <v>143</v>
      </c>
      <c r="AB100" s="15" t="str">
        <f t="shared" si="2"/>
        <v>－</v>
      </c>
      <c r="AC100" s="16">
        <f>33</f>
        <v>33</v>
      </c>
    </row>
    <row r="101" spans="1:29">
      <c r="A101" s="8" t="s">
        <v>46</v>
      </c>
      <c r="B101" s="9" t="s">
        <v>646</v>
      </c>
      <c r="C101" s="9" t="s">
        <v>647</v>
      </c>
      <c r="D101" s="9" t="s">
        <v>548</v>
      </c>
      <c r="E101" s="10" t="s">
        <v>538</v>
      </c>
      <c r="F101" s="10" t="s">
        <v>664</v>
      </c>
      <c r="G101" s="11" t="s">
        <v>52</v>
      </c>
      <c r="H101" s="12" t="s">
        <v>665</v>
      </c>
      <c r="I101" s="11" t="s">
        <v>521</v>
      </c>
      <c r="J101" s="12" t="s">
        <v>666</v>
      </c>
      <c r="K101" s="11" t="s">
        <v>553</v>
      </c>
      <c r="L101" s="12" t="s">
        <v>667</v>
      </c>
      <c r="M101" s="11" t="s">
        <v>70</v>
      </c>
      <c r="N101" s="12" t="s">
        <v>668</v>
      </c>
      <c r="O101" s="11" t="s">
        <v>70</v>
      </c>
      <c r="P101" s="12" t="s">
        <v>669</v>
      </c>
      <c r="Q101" s="11" t="s">
        <v>670</v>
      </c>
      <c r="R101" s="12" t="s">
        <v>671</v>
      </c>
      <c r="S101" s="13">
        <f>241.89</f>
        <v>241.89</v>
      </c>
      <c r="T101" s="14">
        <f>3676</f>
        <v>3676</v>
      </c>
      <c r="U101" s="14">
        <v>386</v>
      </c>
      <c r="V101" s="14">
        <v>1498</v>
      </c>
      <c r="W101" s="14">
        <f>4469320000</f>
        <v>4469320000</v>
      </c>
      <c r="X101" s="14">
        <v>503602500</v>
      </c>
      <c r="Y101" s="14">
        <v>1794078000</v>
      </c>
      <c r="Z101" s="11" t="s">
        <v>60</v>
      </c>
      <c r="AA101" s="15">
        <f>140</f>
        <v>140</v>
      </c>
      <c r="AB101" s="15" t="str">
        <f t="shared" si="2"/>
        <v>－</v>
      </c>
      <c r="AC101" s="16">
        <f>55</f>
        <v>55</v>
      </c>
    </row>
    <row r="102" spans="1:29">
      <c r="A102" s="8" t="s">
        <v>46</v>
      </c>
      <c r="B102" s="9" t="s">
        <v>646</v>
      </c>
      <c r="C102" s="9" t="s">
        <v>647</v>
      </c>
      <c r="D102" s="9" t="s">
        <v>61</v>
      </c>
      <c r="E102" s="10" t="s">
        <v>538</v>
      </c>
      <c r="F102" s="10" t="s">
        <v>193</v>
      </c>
      <c r="G102" s="11" t="s">
        <v>52</v>
      </c>
      <c r="H102" s="12" t="s">
        <v>672</v>
      </c>
      <c r="I102" s="11" t="s">
        <v>281</v>
      </c>
      <c r="J102" s="12" t="s">
        <v>673</v>
      </c>
      <c r="K102" s="11" t="s">
        <v>197</v>
      </c>
      <c r="L102" s="12" t="s">
        <v>674</v>
      </c>
      <c r="M102" s="11" t="s">
        <v>70</v>
      </c>
      <c r="N102" s="12" t="s">
        <v>675</v>
      </c>
      <c r="O102" s="11" t="s">
        <v>582</v>
      </c>
      <c r="P102" s="12" t="s">
        <v>676</v>
      </c>
      <c r="Q102" s="11" t="s">
        <v>65</v>
      </c>
      <c r="R102" s="12" t="s">
        <v>677</v>
      </c>
      <c r="S102" s="13">
        <f>249.38</f>
        <v>249.38</v>
      </c>
      <c r="T102" s="14">
        <f>5554</f>
        <v>5554</v>
      </c>
      <c r="U102" s="14">
        <v>251</v>
      </c>
      <c r="V102" s="14">
        <v>1777</v>
      </c>
      <c r="W102" s="14">
        <f>6848622000</f>
        <v>6848622000</v>
      </c>
      <c r="X102" s="14">
        <v>305871000</v>
      </c>
      <c r="Y102" s="14">
        <v>2174618000</v>
      </c>
      <c r="Z102" s="11" t="s">
        <v>60</v>
      </c>
      <c r="AA102" s="15">
        <f>94</f>
        <v>94</v>
      </c>
      <c r="AB102" s="15" t="str">
        <f t="shared" si="2"/>
        <v>－</v>
      </c>
      <c r="AC102" s="16">
        <f>73</f>
        <v>73</v>
      </c>
    </row>
    <row r="103" spans="1:29">
      <c r="A103" s="8" t="s">
        <v>46</v>
      </c>
      <c r="B103" s="9" t="s">
        <v>646</v>
      </c>
      <c r="C103" s="9" t="s">
        <v>647</v>
      </c>
      <c r="D103" s="9" t="s">
        <v>561</v>
      </c>
      <c r="E103" s="10" t="s">
        <v>538</v>
      </c>
      <c r="F103" s="10" t="s">
        <v>678</v>
      </c>
      <c r="G103" s="11" t="s">
        <v>52</v>
      </c>
      <c r="H103" s="12" t="s">
        <v>679</v>
      </c>
      <c r="I103" s="11" t="s">
        <v>281</v>
      </c>
      <c r="J103" s="12" t="s">
        <v>680</v>
      </c>
      <c r="K103" s="11" t="s">
        <v>224</v>
      </c>
      <c r="L103" s="12" t="s">
        <v>681</v>
      </c>
      <c r="M103" s="11" t="s">
        <v>70</v>
      </c>
      <c r="N103" s="12" t="s">
        <v>682</v>
      </c>
      <c r="O103" s="11" t="s">
        <v>653</v>
      </c>
      <c r="P103" s="12" t="s">
        <v>683</v>
      </c>
      <c r="Q103" s="11" t="s">
        <v>684</v>
      </c>
      <c r="R103" s="12" t="s">
        <v>685</v>
      </c>
      <c r="S103" s="13">
        <f>249.21</f>
        <v>249.21</v>
      </c>
      <c r="T103" s="14">
        <f>14552</f>
        <v>14552</v>
      </c>
      <c r="U103" s="14">
        <v>204</v>
      </c>
      <c r="V103" s="14">
        <v>4861</v>
      </c>
      <c r="W103" s="14">
        <f>17684651500</f>
        <v>17684651500</v>
      </c>
      <c r="X103" s="14">
        <v>252013500</v>
      </c>
      <c r="Y103" s="14">
        <v>5910345000</v>
      </c>
      <c r="Z103" s="11" t="s">
        <v>60</v>
      </c>
      <c r="AA103" s="15">
        <f>259</f>
        <v>259</v>
      </c>
      <c r="AB103" s="15" t="str">
        <f t="shared" ref="AB103:AB134" si="3">"－"</f>
        <v>－</v>
      </c>
      <c r="AC103" s="16">
        <f>94</f>
        <v>94</v>
      </c>
    </row>
    <row r="104" spans="1:29">
      <c r="A104" s="8" t="s">
        <v>46</v>
      </c>
      <c r="B104" s="9" t="s">
        <v>646</v>
      </c>
      <c r="C104" s="9" t="s">
        <v>647</v>
      </c>
      <c r="D104" s="9" t="s">
        <v>74</v>
      </c>
      <c r="E104" s="10" t="s">
        <v>538</v>
      </c>
      <c r="F104" s="10" t="s">
        <v>199</v>
      </c>
      <c r="G104" s="11" t="s">
        <v>52</v>
      </c>
      <c r="H104" s="12" t="s">
        <v>686</v>
      </c>
      <c r="I104" s="11" t="s">
        <v>286</v>
      </c>
      <c r="J104" s="12" t="s">
        <v>687</v>
      </c>
      <c r="K104" s="11" t="s">
        <v>203</v>
      </c>
      <c r="L104" s="12" t="s">
        <v>688</v>
      </c>
      <c r="M104" s="11" t="s">
        <v>70</v>
      </c>
      <c r="N104" s="12" t="s">
        <v>689</v>
      </c>
      <c r="O104" s="11" t="s">
        <v>690</v>
      </c>
      <c r="P104" s="12" t="s">
        <v>691</v>
      </c>
      <c r="Q104" s="11" t="s">
        <v>203</v>
      </c>
      <c r="R104" s="12" t="s">
        <v>692</v>
      </c>
      <c r="S104" s="13">
        <f>251.29</f>
        <v>251.29</v>
      </c>
      <c r="T104" s="14">
        <f>45901</f>
        <v>45901</v>
      </c>
      <c r="U104" s="14">
        <v>100</v>
      </c>
      <c r="V104" s="14">
        <v>11858</v>
      </c>
      <c r="W104" s="14">
        <f>56066931500</f>
        <v>56066931500</v>
      </c>
      <c r="X104" s="14">
        <v>124932000</v>
      </c>
      <c r="Y104" s="14">
        <v>14504790500</v>
      </c>
      <c r="Z104" s="11" t="s">
        <v>60</v>
      </c>
      <c r="AA104" s="15">
        <f>320</f>
        <v>320</v>
      </c>
      <c r="AB104" s="15" t="str">
        <f t="shared" si="3"/>
        <v>－</v>
      </c>
      <c r="AC104" s="16">
        <f>116</f>
        <v>116</v>
      </c>
    </row>
    <row r="105" spans="1:29">
      <c r="A105" s="8" t="s">
        <v>46</v>
      </c>
      <c r="B105" s="9" t="s">
        <v>646</v>
      </c>
      <c r="C105" s="9" t="s">
        <v>647</v>
      </c>
      <c r="D105" s="9" t="s">
        <v>576</v>
      </c>
      <c r="E105" s="10" t="s">
        <v>538</v>
      </c>
      <c r="F105" s="10" t="s">
        <v>693</v>
      </c>
      <c r="G105" s="11" t="s">
        <v>52</v>
      </c>
      <c r="H105" s="12" t="s">
        <v>694</v>
      </c>
      <c r="I105" s="11" t="s">
        <v>67</v>
      </c>
      <c r="J105" s="12" t="s">
        <v>677</v>
      </c>
      <c r="K105" s="11" t="s">
        <v>695</v>
      </c>
      <c r="L105" s="12" t="s">
        <v>696</v>
      </c>
      <c r="M105" s="11" t="s">
        <v>70</v>
      </c>
      <c r="N105" s="12" t="s">
        <v>697</v>
      </c>
      <c r="O105" s="11" t="s">
        <v>86</v>
      </c>
      <c r="P105" s="12" t="s">
        <v>698</v>
      </c>
      <c r="Q105" s="11" t="s">
        <v>311</v>
      </c>
      <c r="R105" s="12" t="s">
        <v>699</v>
      </c>
      <c r="S105" s="13">
        <f>251.02</f>
        <v>251.02</v>
      </c>
      <c r="T105" s="14">
        <f>55512</f>
        <v>55512</v>
      </c>
      <c r="U105" s="14">
        <v>166</v>
      </c>
      <c r="V105" s="14">
        <v>15743</v>
      </c>
      <c r="W105" s="14">
        <f>69592830500</f>
        <v>69592830500</v>
      </c>
      <c r="X105" s="14">
        <v>211084500</v>
      </c>
      <c r="Y105" s="14">
        <v>19694314000</v>
      </c>
      <c r="Z105" s="11" t="s">
        <v>60</v>
      </c>
      <c r="AA105" s="15">
        <f>305</f>
        <v>305</v>
      </c>
      <c r="AB105" s="15" t="str">
        <f t="shared" si="3"/>
        <v>－</v>
      </c>
      <c r="AC105" s="16">
        <f>136</f>
        <v>136</v>
      </c>
    </row>
    <row r="106" spans="1:29">
      <c r="A106" s="8" t="s">
        <v>46</v>
      </c>
      <c r="B106" s="9" t="s">
        <v>646</v>
      </c>
      <c r="C106" s="9" t="s">
        <v>647</v>
      </c>
      <c r="D106" s="9" t="s">
        <v>81</v>
      </c>
      <c r="E106" s="10" t="s">
        <v>538</v>
      </c>
      <c r="F106" s="10" t="s">
        <v>205</v>
      </c>
      <c r="G106" s="11" t="s">
        <v>52</v>
      </c>
      <c r="H106" s="12" t="s">
        <v>700</v>
      </c>
      <c r="I106" s="11" t="s">
        <v>67</v>
      </c>
      <c r="J106" s="12" t="s">
        <v>701</v>
      </c>
      <c r="K106" s="11" t="s">
        <v>695</v>
      </c>
      <c r="L106" s="12" t="s">
        <v>702</v>
      </c>
      <c r="M106" s="11" t="s">
        <v>301</v>
      </c>
      <c r="N106" s="12" t="s">
        <v>703</v>
      </c>
      <c r="O106" s="11" t="s">
        <v>297</v>
      </c>
      <c r="P106" s="12" t="s">
        <v>704</v>
      </c>
      <c r="Q106" s="11" t="s">
        <v>209</v>
      </c>
      <c r="R106" s="12" t="s">
        <v>705</v>
      </c>
      <c r="S106" s="13">
        <f>249.62</f>
        <v>249.62</v>
      </c>
      <c r="T106" s="14">
        <f>56222</f>
        <v>56222</v>
      </c>
      <c r="U106" s="14">
        <v>98</v>
      </c>
      <c r="V106" s="14">
        <v>14923</v>
      </c>
      <c r="W106" s="14">
        <f>71436085500</f>
        <v>71436085500</v>
      </c>
      <c r="X106" s="14">
        <v>114610500</v>
      </c>
      <c r="Y106" s="14">
        <v>19157403500</v>
      </c>
      <c r="Z106" s="11" t="s">
        <v>60</v>
      </c>
      <c r="AA106" s="15">
        <f>163</f>
        <v>163</v>
      </c>
      <c r="AB106" s="15" t="str">
        <f t="shared" si="3"/>
        <v>－</v>
      </c>
      <c r="AC106" s="16">
        <f>152</f>
        <v>152</v>
      </c>
    </row>
    <row r="107" spans="1:29">
      <c r="A107" s="8" t="s">
        <v>46</v>
      </c>
      <c r="B107" s="9" t="s">
        <v>646</v>
      </c>
      <c r="C107" s="9" t="s">
        <v>647</v>
      </c>
      <c r="D107" s="9" t="s">
        <v>596</v>
      </c>
      <c r="E107" s="10" t="s">
        <v>706</v>
      </c>
      <c r="F107" s="10" t="s">
        <v>707</v>
      </c>
      <c r="G107" s="11" t="s">
        <v>52</v>
      </c>
      <c r="H107" s="12" t="s">
        <v>700</v>
      </c>
      <c r="I107" s="11" t="s">
        <v>67</v>
      </c>
      <c r="J107" s="12" t="s">
        <v>708</v>
      </c>
      <c r="K107" s="11" t="s">
        <v>281</v>
      </c>
      <c r="L107" s="12" t="s">
        <v>709</v>
      </c>
      <c r="M107" s="11" t="s">
        <v>710</v>
      </c>
      <c r="N107" s="12" t="s">
        <v>711</v>
      </c>
      <c r="O107" s="11" t="s">
        <v>712</v>
      </c>
      <c r="P107" s="12" t="s">
        <v>713</v>
      </c>
      <c r="Q107" s="11" t="s">
        <v>714</v>
      </c>
      <c r="R107" s="12" t="s">
        <v>715</v>
      </c>
      <c r="S107" s="13">
        <f>246.54</f>
        <v>246.54</v>
      </c>
      <c r="T107" s="14">
        <f>52028</f>
        <v>52028</v>
      </c>
      <c r="U107" s="14">
        <v>441</v>
      </c>
      <c r="V107" s="14">
        <v>13255</v>
      </c>
      <c r="W107" s="14">
        <f>66589057500</f>
        <v>66589057500</v>
      </c>
      <c r="X107" s="14">
        <v>514809000</v>
      </c>
      <c r="Y107" s="14">
        <v>16898747000</v>
      </c>
      <c r="Z107" s="11" t="s">
        <v>60</v>
      </c>
      <c r="AA107" s="15">
        <f>236</f>
        <v>236</v>
      </c>
      <c r="AB107" s="15" t="str">
        <f t="shared" si="3"/>
        <v>－</v>
      </c>
      <c r="AC107" s="16">
        <f>166</f>
        <v>166</v>
      </c>
    </row>
    <row r="108" spans="1:29">
      <c r="A108" s="8" t="s">
        <v>46</v>
      </c>
      <c r="B108" s="9" t="s">
        <v>646</v>
      </c>
      <c r="C108" s="9" t="s">
        <v>647</v>
      </c>
      <c r="D108" s="9" t="s">
        <v>93</v>
      </c>
      <c r="E108" s="10" t="s">
        <v>716</v>
      </c>
      <c r="F108" s="10" t="s">
        <v>211</v>
      </c>
      <c r="G108" s="11" t="s">
        <v>52</v>
      </c>
      <c r="H108" s="12" t="s">
        <v>717</v>
      </c>
      <c r="I108" s="11" t="s">
        <v>718</v>
      </c>
      <c r="J108" s="12" t="s">
        <v>719</v>
      </c>
      <c r="K108" s="11" t="s">
        <v>720</v>
      </c>
      <c r="L108" s="12" t="s">
        <v>721</v>
      </c>
      <c r="M108" s="11" t="s">
        <v>722</v>
      </c>
      <c r="N108" s="12" t="s">
        <v>723</v>
      </c>
      <c r="O108" s="11" t="s">
        <v>724</v>
      </c>
      <c r="P108" s="12" t="s">
        <v>725</v>
      </c>
      <c r="Q108" s="11" t="s">
        <v>214</v>
      </c>
      <c r="R108" s="12" t="s">
        <v>726</v>
      </c>
      <c r="S108" s="13">
        <f>245.27</f>
        <v>245.27</v>
      </c>
      <c r="T108" s="14">
        <f>44857</f>
        <v>44857</v>
      </c>
      <c r="U108" s="14">
        <v>354</v>
      </c>
      <c r="V108" s="14">
        <v>13001</v>
      </c>
      <c r="W108" s="14">
        <f>55979898500</f>
        <v>55979898500</v>
      </c>
      <c r="X108" s="14">
        <v>401724000</v>
      </c>
      <c r="Y108" s="14">
        <v>16386238500</v>
      </c>
      <c r="Z108" s="11" t="s">
        <v>60</v>
      </c>
      <c r="AA108" s="15">
        <f>318</f>
        <v>318</v>
      </c>
      <c r="AB108" s="15" t="str">
        <f t="shared" si="3"/>
        <v>－</v>
      </c>
      <c r="AC108" s="16">
        <f>171</f>
        <v>171</v>
      </c>
    </row>
    <row r="109" spans="1:29">
      <c r="A109" s="8" t="s">
        <v>46</v>
      </c>
      <c r="B109" s="9" t="s">
        <v>646</v>
      </c>
      <c r="C109" s="9" t="s">
        <v>647</v>
      </c>
      <c r="D109" s="9" t="s">
        <v>614</v>
      </c>
      <c r="E109" s="10" t="s">
        <v>727</v>
      </c>
      <c r="F109" s="10" t="s">
        <v>728</v>
      </c>
      <c r="G109" s="11" t="s">
        <v>52</v>
      </c>
      <c r="H109" s="12" t="s">
        <v>729</v>
      </c>
      <c r="I109" s="11" t="s">
        <v>695</v>
      </c>
      <c r="J109" s="12" t="s">
        <v>730</v>
      </c>
      <c r="K109" s="11" t="s">
        <v>584</v>
      </c>
      <c r="L109" s="12" t="s">
        <v>731</v>
      </c>
      <c r="M109" s="11" t="s">
        <v>458</v>
      </c>
      <c r="N109" s="12" t="s">
        <v>732</v>
      </c>
      <c r="O109" s="11" t="s">
        <v>733</v>
      </c>
      <c r="P109" s="12" t="s">
        <v>734</v>
      </c>
      <c r="Q109" s="11" t="s">
        <v>735</v>
      </c>
      <c r="R109" s="12" t="s">
        <v>736</v>
      </c>
      <c r="S109" s="13">
        <f>242.51</f>
        <v>242.51</v>
      </c>
      <c r="T109" s="14">
        <f>43110</f>
        <v>43110</v>
      </c>
      <c r="U109" s="14">
        <v>300</v>
      </c>
      <c r="V109" s="14">
        <v>12576</v>
      </c>
      <c r="W109" s="14">
        <f>54485809000</f>
        <v>54485809000</v>
      </c>
      <c r="X109" s="14">
        <v>321701500</v>
      </c>
      <c r="Y109" s="14">
        <v>15931747500</v>
      </c>
      <c r="Z109" s="11" t="s">
        <v>60</v>
      </c>
      <c r="AA109" s="15">
        <f>253</f>
        <v>253</v>
      </c>
      <c r="AB109" s="15" t="str">
        <f t="shared" si="3"/>
        <v>－</v>
      </c>
      <c r="AC109" s="16">
        <f>182</f>
        <v>182</v>
      </c>
    </row>
    <row r="110" spans="1:29">
      <c r="A110" s="8" t="s">
        <v>46</v>
      </c>
      <c r="B110" s="9" t="s">
        <v>646</v>
      </c>
      <c r="C110" s="9" t="s">
        <v>647</v>
      </c>
      <c r="D110" s="9" t="s">
        <v>105</v>
      </c>
      <c r="E110" s="10" t="s">
        <v>737</v>
      </c>
      <c r="F110" s="10" t="s">
        <v>216</v>
      </c>
      <c r="G110" s="11" t="s">
        <v>52</v>
      </c>
      <c r="H110" s="12" t="s">
        <v>738</v>
      </c>
      <c r="I110" s="11" t="s">
        <v>67</v>
      </c>
      <c r="J110" s="12" t="s">
        <v>677</v>
      </c>
      <c r="K110" s="11" t="s">
        <v>584</v>
      </c>
      <c r="L110" s="12" t="s">
        <v>739</v>
      </c>
      <c r="M110" s="11" t="s">
        <v>740</v>
      </c>
      <c r="N110" s="12" t="s">
        <v>741</v>
      </c>
      <c r="O110" s="11" t="s">
        <v>219</v>
      </c>
      <c r="P110" s="12" t="s">
        <v>742</v>
      </c>
      <c r="Q110" s="11" t="s">
        <v>219</v>
      </c>
      <c r="R110" s="12" t="s">
        <v>743</v>
      </c>
      <c r="S110" s="13">
        <f>240.89</f>
        <v>240.89</v>
      </c>
      <c r="T110" s="14">
        <f>38031</f>
        <v>38031</v>
      </c>
      <c r="U110" s="14">
        <v>181</v>
      </c>
      <c r="V110" s="14">
        <v>12570</v>
      </c>
      <c r="W110" s="14">
        <f>45743424000</f>
        <v>45743424000</v>
      </c>
      <c r="X110" s="14">
        <v>204009500</v>
      </c>
      <c r="Y110" s="14">
        <v>15145855000</v>
      </c>
      <c r="Z110" s="11" t="s">
        <v>60</v>
      </c>
      <c r="AA110" s="15">
        <f>175</f>
        <v>175</v>
      </c>
      <c r="AB110" s="15" t="str">
        <f t="shared" si="3"/>
        <v>－</v>
      </c>
      <c r="AC110" s="16">
        <f>201</f>
        <v>201</v>
      </c>
    </row>
    <row r="111" spans="1:29">
      <c r="A111" s="8" t="s">
        <v>46</v>
      </c>
      <c r="B111" s="9" t="s">
        <v>646</v>
      </c>
      <c r="C111" s="9" t="s">
        <v>647</v>
      </c>
      <c r="D111" s="9" t="s">
        <v>624</v>
      </c>
      <c r="E111" s="10" t="s">
        <v>744</v>
      </c>
      <c r="F111" s="10" t="s">
        <v>745</v>
      </c>
      <c r="G111" s="11" t="s">
        <v>746</v>
      </c>
      <c r="H111" s="12" t="s">
        <v>747</v>
      </c>
      <c r="I111" s="11" t="s">
        <v>123</v>
      </c>
      <c r="J111" s="12" t="s">
        <v>748</v>
      </c>
      <c r="K111" s="11" t="s">
        <v>749</v>
      </c>
      <c r="L111" s="12" t="s">
        <v>750</v>
      </c>
      <c r="M111" s="11" t="s">
        <v>179</v>
      </c>
      <c r="N111" s="12" t="s">
        <v>751</v>
      </c>
      <c r="O111" s="11" t="s">
        <v>749</v>
      </c>
      <c r="P111" s="12" t="s">
        <v>750</v>
      </c>
      <c r="Q111" s="11" t="s">
        <v>126</v>
      </c>
      <c r="R111" s="12" t="s">
        <v>752</v>
      </c>
      <c r="S111" s="13">
        <f>240.21</f>
        <v>240.21</v>
      </c>
      <c r="T111" s="14">
        <f>43549</f>
        <v>43549</v>
      </c>
      <c r="U111" s="14">
        <v>2</v>
      </c>
      <c r="V111" s="14">
        <v>16036</v>
      </c>
      <c r="W111" s="14">
        <f>49299634000</f>
        <v>49299634000</v>
      </c>
      <c r="X111" s="14">
        <v>2180000</v>
      </c>
      <c r="Y111" s="14">
        <v>18099880500</v>
      </c>
      <c r="Z111" s="11"/>
      <c r="AA111" s="15">
        <f>421</f>
        <v>421</v>
      </c>
      <c r="AB111" s="15" t="str">
        <f t="shared" si="3"/>
        <v>－</v>
      </c>
      <c r="AC111" s="16">
        <f>170</f>
        <v>170</v>
      </c>
    </row>
    <row r="112" spans="1:29">
      <c r="A112" s="8" t="s">
        <v>46</v>
      </c>
      <c r="B112" s="9" t="s">
        <v>646</v>
      </c>
      <c r="C112" s="9" t="s">
        <v>647</v>
      </c>
      <c r="D112" s="9" t="s">
        <v>115</v>
      </c>
      <c r="E112" s="10" t="s">
        <v>51</v>
      </c>
      <c r="F112" s="10" t="s">
        <v>221</v>
      </c>
      <c r="G112" s="11" t="s">
        <v>58</v>
      </c>
      <c r="H112" s="12" t="s">
        <v>753</v>
      </c>
      <c r="I112" s="11" t="s">
        <v>123</v>
      </c>
      <c r="J112" s="12" t="s">
        <v>748</v>
      </c>
      <c r="K112" s="11"/>
      <c r="L112" s="12"/>
      <c r="M112" s="11" t="s">
        <v>126</v>
      </c>
      <c r="N112" s="12" t="s">
        <v>754</v>
      </c>
      <c r="O112" s="11"/>
      <c r="P112" s="12"/>
      <c r="Q112" s="11" t="s">
        <v>126</v>
      </c>
      <c r="R112" s="12" t="s">
        <v>755</v>
      </c>
      <c r="S112" s="13">
        <f>240.11</f>
        <v>240.11</v>
      </c>
      <c r="T112" s="14">
        <f>47727</f>
        <v>47727</v>
      </c>
      <c r="U112" s="14"/>
      <c r="V112" s="14">
        <v>17846</v>
      </c>
      <c r="W112" s="14">
        <f>53369714500</f>
        <v>53369714500</v>
      </c>
      <c r="X112" s="14"/>
      <c r="Y112" s="14">
        <v>19919092500</v>
      </c>
      <c r="Z112" s="11"/>
      <c r="AA112" s="15">
        <f>661</f>
        <v>661</v>
      </c>
      <c r="AB112" s="15" t="str">
        <f t="shared" si="3"/>
        <v>－</v>
      </c>
      <c r="AC112" s="16">
        <f>154</f>
        <v>154</v>
      </c>
    </row>
    <row r="113" spans="1:29">
      <c r="A113" s="8" t="s">
        <v>46</v>
      </c>
      <c r="B113" s="9" t="s">
        <v>646</v>
      </c>
      <c r="C113" s="9" t="s">
        <v>647</v>
      </c>
      <c r="D113" s="9" t="s">
        <v>634</v>
      </c>
      <c r="E113" s="10" t="s">
        <v>756</v>
      </c>
      <c r="F113" s="10" t="s">
        <v>757</v>
      </c>
      <c r="G113" s="11" t="s">
        <v>758</v>
      </c>
      <c r="H113" s="12" t="s">
        <v>759</v>
      </c>
      <c r="I113" s="11" t="s">
        <v>695</v>
      </c>
      <c r="J113" s="12" t="s">
        <v>760</v>
      </c>
      <c r="K113" s="11"/>
      <c r="L113" s="12"/>
      <c r="M113" s="11" t="s">
        <v>740</v>
      </c>
      <c r="N113" s="12" t="s">
        <v>761</v>
      </c>
      <c r="O113" s="11"/>
      <c r="P113" s="12"/>
      <c r="Q113" s="11" t="s">
        <v>126</v>
      </c>
      <c r="R113" s="12" t="s">
        <v>762</v>
      </c>
      <c r="S113" s="13">
        <f>238.43</f>
        <v>238.43</v>
      </c>
      <c r="T113" s="14">
        <f>42831</f>
        <v>42831</v>
      </c>
      <c r="U113" s="14"/>
      <c r="V113" s="14">
        <v>15873</v>
      </c>
      <c r="W113" s="14">
        <f>47627886000</f>
        <v>47627886000</v>
      </c>
      <c r="X113" s="14"/>
      <c r="Y113" s="14">
        <v>17519773500</v>
      </c>
      <c r="Z113" s="11"/>
      <c r="AA113" s="15">
        <f>1238</f>
        <v>1238</v>
      </c>
      <c r="AB113" s="15" t="str">
        <f t="shared" si="3"/>
        <v>－</v>
      </c>
      <c r="AC113" s="16">
        <f>122</f>
        <v>122</v>
      </c>
    </row>
    <row r="114" spans="1:29">
      <c r="A114" s="8" t="s">
        <v>46</v>
      </c>
      <c r="B114" s="9" t="s">
        <v>646</v>
      </c>
      <c r="C114" s="9" t="s">
        <v>647</v>
      </c>
      <c r="D114" s="9" t="s">
        <v>128</v>
      </c>
      <c r="E114" s="10" t="s">
        <v>63</v>
      </c>
      <c r="F114" s="10" t="s">
        <v>228</v>
      </c>
      <c r="G114" s="11" t="s">
        <v>72</v>
      </c>
      <c r="H114" s="12" t="s">
        <v>763</v>
      </c>
      <c r="I114" s="11" t="s">
        <v>764</v>
      </c>
      <c r="J114" s="12" t="s">
        <v>765</v>
      </c>
      <c r="K114" s="11" t="s">
        <v>103</v>
      </c>
      <c r="L114" s="12" t="s">
        <v>766</v>
      </c>
      <c r="M114" s="11" t="s">
        <v>740</v>
      </c>
      <c r="N114" s="12" t="s">
        <v>767</v>
      </c>
      <c r="O114" s="11" t="s">
        <v>768</v>
      </c>
      <c r="P114" s="12" t="s">
        <v>769</v>
      </c>
      <c r="Q114" s="11" t="s">
        <v>126</v>
      </c>
      <c r="R114" s="12" t="s">
        <v>770</v>
      </c>
      <c r="S114" s="13">
        <f>236.3</f>
        <v>236.3</v>
      </c>
      <c r="T114" s="14">
        <f>44085</f>
        <v>44085</v>
      </c>
      <c r="U114" s="14">
        <v>5</v>
      </c>
      <c r="V114" s="14">
        <v>15666</v>
      </c>
      <c r="W114" s="14">
        <f>47890251000</f>
        <v>47890251000</v>
      </c>
      <c r="X114" s="14">
        <v>5312000</v>
      </c>
      <c r="Y114" s="14">
        <v>16956880000</v>
      </c>
      <c r="Z114" s="11"/>
      <c r="AA114" s="15">
        <f>1438</f>
        <v>1438</v>
      </c>
      <c r="AB114" s="15" t="str">
        <f t="shared" si="3"/>
        <v>－</v>
      </c>
      <c r="AC114" s="16">
        <f>89</f>
        <v>89</v>
      </c>
    </row>
    <row r="115" spans="1:29">
      <c r="A115" s="8" t="s">
        <v>46</v>
      </c>
      <c r="B115" s="9" t="s">
        <v>646</v>
      </c>
      <c r="C115" s="9" t="s">
        <v>647</v>
      </c>
      <c r="D115" s="9" t="s">
        <v>641</v>
      </c>
      <c r="E115" s="10" t="s">
        <v>771</v>
      </c>
      <c r="F115" s="10" t="s">
        <v>772</v>
      </c>
      <c r="G115" s="11" t="s">
        <v>773</v>
      </c>
      <c r="H115" s="12" t="s">
        <v>774</v>
      </c>
      <c r="I115" s="11" t="s">
        <v>580</v>
      </c>
      <c r="J115" s="12" t="s">
        <v>692</v>
      </c>
      <c r="K115" s="11" t="s">
        <v>113</v>
      </c>
      <c r="L115" s="12" t="s">
        <v>775</v>
      </c>
      <c r="M115" s="11" t="s">
        <v>341</v>
      </c>
      <c r="N115" s="12" t="s">
        <v>776</v>
      </c>
      <c r="O115" s="11" t="s">
        <v>113</v>
      </c>
      <c r="P115" s="12" t="s">
        <v>775</v>
      </c>
      <c r="Q115" s="11" t="s">
        <v>126</v>
      </c>
      <c r="R115" s="12" t="s">
        <v>777</v>
      </c>
      <c r="S115" s="13">
        <f>234.58</f>
        <v>234.58</v>
      </c>
      <c r="T115" s="14">
        <f>35064</f>
        <v>35064</v>
      </c>
      <c r="U115" s="14">
        <v>185</v>
      </c>
      <c r="V115" s="14">
        <v>11367</v>
      </c>
      <c r="W115" s="14">
        <f>38984082500</f>
        <v>38984082500</v>
      </c>
      <c r="X115" s="14">
        <v>212750000</v>
      </c>
      <c r="Y115" s="14">
        <v>12460378500</v>
      </c>
      <c r="Z115" s="11"/>
      <c r="AA115" s="15">
        <f>4942</f>
        <v>4942</v>
      </c>
      <c r="AB115" s="15" t="str">
        <f t="shared" si="3"/>
        <v>－</v>
      </c>
      <c r="AC115" s="16">
        <f>74</f>
        <v>74</v>
      </c>
    </row>
    <row r="116" spans="1:29">
      <c r="A116" s="8" t="s">
        <v>46</v>
      </c>
      <c r="B116" s="9" t="s">
        <v>646</v>
      </c>
      <c r="C116" s="9" t="s">
        <v>647</v>
      </c>
      <c r="D116" s="9" t="s">
        <v>140</v>
      </c>
      <c r="E116" s="10" t="s">
        <v>76</v>
      </c>
      <c r="F116" s="10" t="s">
        <v>233</v>
      </c>
      <c r="G116" s="11" t="s">
        <v>79</v>
      </c>
      <c r="H116" s="12" t="s">
        <v>778</v>
      </c>
      <c r="I116" s="11" t="s">
        <v>779</v>
      </c>
      <c r="J116" s="12" t="s">
        <v>780</v>
      </c>
      <c r="K116" s="11"/>
      <c r="L116" s="12"/>
      <c r="M116" s="11" t="s">
        <v>421</v>
      </c>
      <c r="N116" s="12" t="s">
        <v>781</v>
      </c>
      <c r="O116" s="11"/>
      <c r="P116" s="12"/>
      <c r="Q116" s="11" t="s">
        <v>126</v>
      </c>
      <c r="R116" s="12" t="s">
        <v>782</v>
      </c>
      <c r="S116" s="13">
        <f>232.33</f>
        <v>232.33</v>
      </c>
      <c r="T116" s="14">
        <f>8312</f>
        <v>8312</v>
      </c>
      <c r="U116" s="14"/>
      <c r="V116" s="14">
        <v>4554</v>
      </c>
      <c r="W116" s="14">
        <f>9147821000</f>
        <v>9147821000</v>
      </c>
      <c r="X116" s="14"/>
      <c r="Y116" s="14">
        <v>4995352000</v>
      </c>
      <c r="Z116" s="11"/>
      <c r="AA116" s="15">
        <f>3090</f>
        <v>3090</v>
      </c>
      <c r="AB116" s="15" t="str">
        <f t="shared" si="3"/>
        <v>－</v>
      </c>
      <c r="AC116" s="16">
        <f>43</f>
        <v>43</v>
      </c>
    </row>
    <row r="117" spans="1:29">
      <c r="A117" s="8" t="s">
        <v>46</v>
      </c>
      <c r="B117" s="9" t="s">
        <v>646</v>
      </c>
      <c r="C117" s="9" t="s">
        <v>647</v>
      </c>
      <c r="D117" s="9" t="s">
        <v>783</v>
      </c>
      <c r="E117" s="10" t="s">
        <v>784</v>
      </c>
      <c r="F117" s="10" t="s">
        <v>785</v>
      </c>
      <c r="G117" s="11" t="s">
        <v>786</v>
      </c>
      <c r="H117" s="12" t="s">
        <v>787</v>
      </c>
      <c r="I117" s="11" t="s">
        <v>788</v>
      </c>
      <c r="J117" s="12" t="s">
        <v>789</v>
      </c>
      <c r="K117" s="11"/>
      <c r="L117" s="12"/>
      <c r="M117" s="11" t="s">
        <v>428</v>
      </c>
      <c r="N117" s="12" t="s">
        <v>790</v>
      </c>
      <c r="O117" s="11"/>
      <c r="P117" s="12"/>
      <c r="Q117" s="11" t="s">
        <v>324</v>
      </c>
      <c r="R117" s="12" t="s">
        <v>723</v>
      </c>
      <c r="S117" s="13">
        <f>229.23</f>
        <v>229.23</v>
      </c>
      <c r="T117" s="14">
        <f>73</f>
        <v>73</v>
      </c>
      <c r="U117" s="14"/>
      <c r="V117" s="14">
        <v>19</v>
      </c>
      <c r="W117" s="14">
        <f>82336500</f>
        <v>82336500</v>
      </c>
      <c r="X117" s="14"/>
      <c r="Y117" s="14">
        <v>21268500</v>
      </c>
      <c r="Z117" s="11"/>
      <c r="AA117" s="15">
        <f>37</f>
        <v>37</v>
      </c>
      <c r="AB117" s="15" t="str">
        <f t="shared" si="3"/>
        <v>－</v>
      </c>
      <c r="AC117" s="16">
        <f>20</f>
        <v>20</v>
      </c>
    </row>
    <row r="118" spans="1:29">
      <c r="A118" s="8" t="s">
        <v>46</v>
      </c>
      <c r="B118" s="9" t="s">
        <v>646</v>
      </c>
      <c r="C118" s="9" t="s">
        <v>647</v>
      </c>
      <c r="D118" s="9" t="s">
        <v>154</v>
      </c>
      <c r="E118" s="10" t="s">
        <v>83</v>
      </c>
      <c r="F118" s="10" t="s">
        <v>243</v>
      </c>
      <c r="G118" s="11" t="s">
        <v>335</v>
      </c>
      <c r="H118" s="12" t="s">
        <v>791</v>
      </c>
      <c r="I118" s="11" t="s">
        <v>792</v>
      </c>
      <c r="J118" s="12" t="s">
        <v>793</v>
      </c>
      <c r="K118" s="11"/>
      <c r="L118" s="12"/>
      <c r="M118" s="11" t="s">
        <v>458</v>
      </c>
      <c r="N118" s="12" t="s">
        <v>794</v>
      </c>
      <c r="O118" s="11"/>
      <c r="P118" s="12"/>
      <c r="Q118" s="11" t="s">
        <v>458</v>
      </c>
      <c r="R118" s="12" t="s">
        <v>794</v>
      </c>
      <c r="S118" s="13">
        <f>226.54</f>
        <v>226.54</v>
      </c>
      <c r="T118" s="14">
        <f>21</f>
        <v>21</v>
      </c>
      <c r="U118" s="14"/>
      <c r="V118" s="14">
        <v>4</v>
      </c>
      <c r="W118" s="14">
        <f>23879500</f>
        <v>23879500</v>
      </c>
      <c r="X118" s="14"/>
      <c r="Y118" s="14">
        <v>4572000</v>
      </c>
      <c r="Z118" s="11"/>
      <c r="AA118" s="15">
        <f>4</f>
        <v>4</v>
      </c>
      <c r="AB118" s="15" t="str">
        <f t="shared" si="3"/>
        <v>－</v>
      </c>
      <c r="AC118" s="16">
        <f>12</f>
        <v>12</v>
      </c>
    </row>
    <row r="119" spans="1:29">
      <c r="A119" s="8" t="s">
        <v>46</v>
      </c>
      <c r="B119" s="9" t="s">
        <v>646</v>
      </c>
      <c r="C119" s="9" t="s">
        <v>647</v>
      </c>
      <c r="D119" s="9" t="s">
        <v>795</v>
      </c>
      <c r="E119" s="10" t="s">
        <v>796</v>
      </c>
      <c r="F119" s="10" t="s">
        <v>797</v>
      </c>
      <c r="G119" s="11" t="s">
        <v>798</v>
      </c>
      <c r="H119" s="12" t="s">
        <v>675</v>
      </c>
      <c r="I119" s="11" t="s">
        <v>799</v>
      </c>
      <c r="J119" s="12" t="s">
        <v>800</v>
      </c>
      <c r="K119" s="11"/>
      <c r="L119" s="12"/>
      <c r="M119" s="11" t="s">
        <v>417</v>
      </c>
      <c r="N119" s="12" t="s">
        <v>801</v>
      </c>
      <c r="O119" s="11"/>
      <c r="P119" s="12"/>
      <c r="Q119" s="11" t="s">
        <v>145</v>
      </c>
      <c r="R119" s="12" t="s">
        <v>802</v>
      </c>
      <c r="S119" s="13">
        <f>225.98</f>
        <v>225.98</v>
      </c>
      <c r="T119" s="14">
        <f>43</f>
        <v>43</v>
      </c>
      <c r="U119" s="14"/>
      <c r="V119" s="14">
        <v>2</v>
      </c>
      <c r="W119" s="14">
        <f>50105500</f>
        <v>50105500</v>
      </c>
      <c r="X119" s="14"/>
      <c r="Y119" s="14">
        <v>2232500</v>
      </c>
      <c r="Z119" s="11"/>
      <c r="AA119" s="15">
        <f>16</f>
        <v>16</v>
      </c>
      <c r="AB119" s="15" t="str">
        <f t="shared" si="3"/>
        <v>－</v>
      </c>
      <c r="AC119" s="16">
        <f>12</f>
        <v>12</v>
      </c>
    </row>
    <row r="120" spans="1:29">
      <c r="A120" s="8" t="s">
        <v>46</v>
      </c>
      <c r="B120" s="9" t="s">
        <v>646</v>
      </c>
      <c r="C120" s="9" t="s">
        <v>647</v>
      </c>
      <c r="D120" s="9" t="s">
        <v>165</v>
      </c>
      <c r="E120" s="10" t="s">
        <v>95</v>
      </c>
      <c r="F120" s="10" t="s">
        <v>250</v>
      </c>
      <c r="G120" s="11" t="s">
        <v>803</v>
      </c>
      <c r="H120" s="12" t="s">
        <v>804</v>
      </c>
      <c r="I120" s="11" t="s">
        <v>803</v>
      </c>
      <c r="J120" s="12" t="s">
        <v>804</v>
      </c>
      <c r="K120" s="11"/>
      <c r="L120" s="12"/>
      <c r="M120" s="11" t="s">
        <v>805</v>
      </c>
      <c r="N120" s="12" t="s">
        <v>806</v>
      </c>
      <c r="O120" s="11"/>
      <c r="P120" s="12"/>
      <c r="Q120" s="11" t="s">
        <v>807</v>
      </c>
      <c r="R120" s="12" t="s">
        <v>808</v>
      </c>
      <c r="S120" s="13">
        <f>225.52</f>
        <v>225.52</v>
      </c>
      <c r="T120" s="14">
        <f>9</f>
        <v>9</v>
      </c>
      <c r="U120" s="14"/>
      <c r="V120" s="14"/>
      <c r="W120" s="14">
        <f>10285000</f>
        <v>10285000</v>
      </c>
      <c r="X120" s="14"/>
      <c r="Y120" s="14"/>
      <c r="Z120" s="11"/>
      <c r="AA120" s="15">
        <f>1</f>
        <v>1</v>
      </c>
      <c r="AB120" s="15" t="str">
        <f t="shared" si="3"/>
        <v>－</v>
      </c>
      <c r="AC120" s="16">
        <f>5</f>
        <v>5</v>
      </c>
    </row>
    <row r="121" spans="1:29">
      <c r="A121" s="8" t="s">
        <v>46</v>
      </c>
      <c r="B121" s="9" t="s">
        <v>646</v>
      </c>
      <c r="C121" s="9" t="s">
        <v>647</v>
      </c>
      <c r="D121" s="9" t="s">
        <v>809</v>
      </c>
      <c r="E121" s="10" t="s">
        <v>810</v>
      </c>
      <c r="F121" s="10" t="s">
        <v>811</v>
      </c>
      <c r="G121" s="11" t="s">
        <v>421</v>
      </c>
      <c r="H121" s="12" t="s">
        <v>812</v>
      </c>
      <c r="I121" s="11" t="s">
        <v>813</v>
      </c>
      <c r="J121" s="12" t="s">
        <v>814</v>
      </c>
      <c r="K121" s="11"/>
      <c r="L121" s="12"/>
      <c r="M121" s="11" t="s">
        <v>815</v>
      </c>
      <c r="N121" s="12" t="s">
        <v>816</v>
      </c>
      <c r="O121" s="11"/>
      <c r="P121" s="12"/>
      <c r="Q121" s="11" t="s">
        <v>428</v>
      </c>
      <c r="R121" s="12" t="s">
        <v>817</v>
      </c>
      <c r="S121" s="13">
        <f>230.6</f>
        <v>230.6</v>
      </c>
      <c r="T121" s="14">
        <f>46</f>
        <v>46</v>
      </c>
      <c r="U121" s="14"/>
      <c r="V121" s="14"/>
      <c r="W121" s="14">
        <f>54158500</f>
        <v>54158500</v>
      </c>
      <c r="X121" s="14"/>
      <c r="Y121" s="14"/>
      <c r="Z121" s="11"/>
      <c r="AA121" s="15">
        <f>8</f>
        <v>8</v>
      </c>
      <c r="AB121" s="15" t="str">
        <f t="shared" si="3"/>
        <v>－</v>
      </c>
      <c r="AC121" s="16">
        <f>11</f>
        <v>11</v>
      </c>
    </row>
    <row r="122" spans="1:29">
      <c r="A122" s="8" t="s">
        <v>46</v>
      </c>
      <c r="B122" s="9" t="s">
        <v>646</v>
      </c>
      <c r="C122" s="9" t="s">
        <v>647</v>
      </c>
      <c r="D122" s="9" t="s">
        <v>176</v>
      </c>
      <c r="E122" s="10" t="s">
        <v>107</v>
      </c>
      <c r="F122" s="10" t="s">
        <v>255</v>
      </c>
      <c r="G122" s="11" t="s">
        <v>428</v>
      </c>
      <c r="H122" s="12" t="s">
        <v>818</v>
      </c>
      <c r="I122" s="11" t="s">
        <v>428</v>
      </c>
      <c r="J122" s="12" t="s">
        <v>818</v>
      </c>
      <c r="K122" s="11"/>
      <c r="L122" s="12"/>
      <c r="M122" s="11" t="s">
        <v>428</v>
      </c>
      <c r="N122" s="12" t="s">
        <v>818</v>
      </c>
      <c r="O122" s="11"/>
      <c r="P122" s="12"/>
      <c r="Q122" s="11" t="s">
        <v>428</v>
      </c>
      <c r="R122" s="12" t="s">
        <v>818</v>
      </c>
      <c r="S122" s="13">
        <f>232.67</f>
        <v>232.67</v>
      </c>
      <c r="T122" s="14">
        <f>1</f>
        <v>1</v>
      </c>
      <c r="U122" s="14"/>
      <c r="V122" s="14"/>
      <c r="W122" s="14">
        <f>1175000</f>
        <v>1175000</v>
      </c>
      <c r="X122" s="14"/>
      <c r="Y122" s="14"/>
      <c r="Z122" s="11"/>
      <c r="AA122" s="15">
        <f>1</f>
        <v>1</v>
      </c>
      <c r="AB122" s="15" t="str">
        <f t="shared" si="3"/>
        <v>－</v>
      </c>
      <c r="AC122" s="16">
        <f>1</f>
        <v>1</v>
      </c>
    </row>
    <row r="123" spans="1:29">
      <c r="A123" s="8" t="s">
        <v>46</v>
      </c>
      <c r="B123" s="9" t="s">
        <v>819</v>
      </c>
      <c r="C123" s="9" t="s">
        <v>820</v>
      </c>
      <c r="D123" s="9" t="s">
        <v>49</v>
      </c>
      <c r="E123" s="10" t="s">
        <v>821</v>
      </c>
      <c r="F123" s="10" t="s">
        <v>822</v>
      </c>
      <c r="G123" s="11"/>
      <c r="H123" s="12" t="s">
        <v>261</v>
      </c>
      <c r="I123" s="11"/>
      <c r="J123" s="12" t="s">
        <v>261</v>
      </c>
      <c r="K123" s="11"/>
      <c r="L123" s="12"/>
      <c r="M123" s="11"/>
      <c r="N123" s="12" t="s">
        <v>261</v>
      </c>
      <c r="O123" s="11"/>
      <c r="P123" s="12"/>
      <c r="Q123" s="11"/>
      <c r="R123" s="12" t="s">
        <v>261</v>
      </c>
      <c r="S123" s="13">
        <f>201.79</f>
        <v>201.79</v>
      </c>
      <c r="T123" s="14" t="str">
        <f>"－"</f>
        <v>－</v>
      </c>
      <c r="U123" s="14"/>
      <c r="V123" s="14"/>
      <c r="W123" s="14" t="str">
        <f>"－"</f>
        <v>－</v>
      </c>
      <c r="X123" s="14"/>
      <c r="Y123" s="14"/>
      <c r="Z123" s="11" t="s">
        <v>60</v>
      </c>
      <c r="AA123" s="15" t="str">
        <f t="shared" ref="AA123:AA145" si="4">"－"</f>
        <v>－</v>
      </c>
      <c r="AB123" s="15" t="str">
        <f t="shared" si="3"/>
        <v>－</v>
      </c>
      <c r="AC123" s="16" t="str">
        <f>"－"</f>
        <v>－</v>
      </c>
    </row>
    <row r="124" spans="1:29">
      <c r="A124" s="8" t="s">
        <v>46</v>
      </c>
      <c r="B124" s="9" t="s">
        <v>819</v>
      </c>
      <c r="C124" s="9" t="s">
        <v>820</v>
      </c>
      <c r="D124" s="9" t="s">
        <v>548</v>
      </c>
      <c r="E124" s="10" t="s">
        <v>823</v>
      </c>
      <c r="F124" s="10" t="s">
        <v>824</v>
      </c>
      <c r="G124" s="11"/>
      <c r="H124" s="12" t="s">
        <v>261</v>
      </c>
      <c r="I124" s="11"/>
      <c r="J124" s="12" t="s">
        <v>261</v>
      </c>
      <c r="K124" s="11"/>
      <c r="L124" s="12"/>
      <c r="M124" s="11"/>
      <c r="N124" s="12" t="s">
        <v>261</v>
      </c>
      <c r="O124" s="11"/>
      <c r="P124" s="12"/>
      <c r="Q124" s="11"/>
      <c r="R124" s="12" t="s">
        <v>261</v>
      </c>
      <c r="S124" s="13">
        <f>203.3</f>
        <v>203.3</v>
      </c>
      <c r="T124" s="14" t="str">
        <f>"－"</f>
        <v>－</v>
      </c>
      <c r="U124" s="14"/>
      <c r="V124" s="14"/>
      <c r="W124" s="14" t="str">
        <f>"－"</f>
        <v>－</v>
      </c>
      <c r="X124" s="14"/>
      <c r="Y124" s="14"/>
      <c r="Z124" s="11" t="s">
        <v>60</v>
      </c>
      <c r="AA124" s="15" t="str">
        <f t="shared" si="4"/>
        <v>－</v>
      </c>
      <c r="AB124" s="15" t="str">
        <f t="shared" si="3"/>
        <v>－</v>
      </c>
      <c r="AC124" s="16" t="str">
        <f>"－"</f>
        <v>－</v>
      </c>
    </row>
    <row r="125" spans="1:29">
      <c r="A125" s="8" t="s">
        <v>46</v>
      </c>
      <c r="B125" s="9" t="s">
        <v>819</v>
      </c>
      <c r="C125" s="9" t="s">
        <v>820</v>
      </c>
      <c r="D125" s="9" t="s">
        <v>61</v>
      </c>
      <c r="E125" s="10" t="s">
        <v>538</v>
      </c>
      <c r="F125" s="10" t="s">
        <v>825</v>
      </c>
      <c r="G125" s="11" t="s">
        <v>52</v>
      </c>
      <c r="H125" s="12" t="s">
        <v>826</v>
      </c>
      <c r="I125" s="11" t="s">
        <v>651</v>
      </c>
      <c r="J125" s="12" t="s">
        <v>827</v>
      </c>
      <c r="K125" s="11" t="s">
        <v>546</v>
      </c>
      <c r="L125" s="12" t="s">
        <v>828</v>
      </c>
      <c r="M125" s="11" t="s">
        <v>70</v>
      </c>
      <c r="N125" s="12" t="s">
        <v>829</v>
      </c>
      <c r="O125" s="11" t="s">
        <v>546</v>
      </c>
      <c r="P125" s="12" t="s">
        <v>828</v>
      </c>
      <c r="Q125" s="11" t="s">
        <v>70</v>
      </c>
      <c r="R125" s="12" t="s">
        <v>829</v>
      </c>
      <c r="S125" s="13">
        <f>204.23</f>
        <v>204.23</v>
      </c>
      <c r="T125" s="14">
        <f>63</f>
        <v>63</v>
      </c>
      <c r="U125" s="14">
        <v>3</v>
      </c>
      <c r="V125" s="14"/>
      <c r="W125" s="14">
        <f>64590000</f>
        <v>64590000</v>
      </c>
      <c r="X125" s="14">
        <v>3069000</v>
      </c>
      <c r="Y125" s="14"/>
      <c r="Z125" s="11" t="s">
        <v>60</v>
      </c>
      <c r="AA125" s="15" t="str">
        <f t="shared" si="4"/>
        <v>－</v>
      </c>
      <c r="AB125" s="15" t="str">
        <f t="shared" si="3"/>
        <v>－</v>
      </c>
      <c r="AC125" s="16">
        <f>8</f>
        <v>8</v>
      </c>
    </row>
    <row r="126" spans="1:29">
      <c r="A126" s="8" t="s">
        <v>46</v>
      </c>
      <c r="B126" s="9" t="s">
        <v>819</v>
      </c>
      <c r="C126" s="9" t="s">
        <v>820</v>
      </c>
      <c r="D126" s="9" t="s">
        <v>561</v>
      </c>
      <c r="E126" s="10" t="s">
        <v>538</v>
      </c>
      <c r="F126" s="10" t="s">
        <v>830</v>
      </c>
      <c r="G126" s="11" t="s">
        <v>52</v>
      </c>
      <c r="H126" s="12" t="s">
        <v>831</v>
      </c>
      <c r="I126" s="11" t="s">
        <v>506</v>
      </c>
      <c r="J126" s="12" t="s">
        <v>832</v>
      </c>
      <c r="K126" s="11"/>
      <c r="L126" s="12"/>
      <c r="M126" s="11" t="s">
        <v>70</v>
      </c>
      <c r="N126" s="12" t="s">
        <v>833</v>
      </c>
      <c r="O126" s="11"/>
      <c r="P126" s="12"/>
      <c r="Q126" s="11" t="s">
        <v>272</v>
      </c>
      <c r="R126" s="12" t="s">
        <v>834</v>
      </c>
      <c r="S126" s="13">
        <f>206.75</f>
        <v>206.75</v>
      </c>
      <c r="T126" s="14">
        <f>114</f>
        <v>114</v>
      </c>
      <c r="U126" s="14"/>
      <c r="V126" s="14"/>
      <c r="W126" s="14">
        <f>115519500</f>
        <v>115519500</v>
      </c>
      <c r="X126" s="14"/>
      <c r="Y126" s="14"/>
      <c r="Z126" s="11" t="s">
        <v>60</v>
      </c>
      <c r="AA126" s="15" t="str">
        <f t="shared" si="4"/>
        <v>－</v>
      </c>
      <c r="AB126" s="15" t="str">
        <f t="shared" si="3"/>
        <v>－</v>
      </c>
      <c r="AC126" s="16">
        <f>9</f>
        <v>9</v>
      </c>
    </row>
    <row r="127" spans="1:29">
      <c r="A127" s="8" t="s">
        <v>46</v>
      </c>
      <c r="B127" s="9" t="s">
        <v>819</v>
      </c>
      <c r="C127" s="9" t="s">
        <v>820</v>
      </c>
      <c r="D127" s="9" t="s">
        <v>74</v>
      </c>
      <c r="E127" s="10" t="s">
        <v>538</v>
      </c>
      <c r="F127" s="10" t="s">
        <v>835</v>
      </c>
      <c r="G127" s="11" t="s">
        <v>690</v>
      </c>
      <c r="H127" s="12" t="s">
        <v>836</v>
      </c>
      <c r="I127" s="11" t="s">
        <v>89</v>
      </c>
      <c r="J127" s="12" t="s">
        <v>837</v>
      </c>
      <c r="K127" s="11"/>
      <c r="L127" s="12"/>
      <c r="M127" s="11" t="s">
        <v>690</v>
      </c>
      <c r="N127" s="12" t="s">
        <v>838</v>
      </c>
      <c r="O127" s="11"/>
      <c r="P127" s="12"/>
      <c r="Q127" s="11" t="s">
        <v>499</v>
      </c>
      <c r="R127" s="12" t="s">
        <v>839</v>
      </c>
      <c r="S127" s="13">
        <f>206.82</f>
        <v>206.82</v>
      </c>
      <c r="T127" s="14">
        <f>90</f>
        <v>90</v>
      </c>
      <c r="U127" s="14"/>
      <c r="V127" s="14"/>
      <c r="W127" s="14">
        <f>91902000</f>
        <v>91902000</v>
      </c>
      <c r="X127" s="14"/>
      <c r="Y127" s="14"/>
      <c r="Z127" s="11" t="s">
        <v>60</v>
      </c>
      <c r="AA127" s="15" t="str">
        <f t="shared" si="4"/>
        <v>－</v>
      </c>
      <c r="AB127" s="15" t="str">
        <f t="shared" si="3"/>
        <v>－</v>
      </c>
      <c r="AC127" s="16">
        <f>7</f>
        <v>7</v>
      </c>
    </row>
    <row r="128" spans="1:29">
      <c r="A128" s="8" t="s">
        <v>46</v>
      </c>
      <c r="B128" s="9" t="s">
        <v>819</v>
      </c>
      <c r="C128" s="9" t="s">
        <v>820</v>
      </c>
      <c r="D128" s="9" t="s">
        <v>576</v>
      </c>
      <c r="E128" s="10" t="s">
        <v>538</v>
      </c>
      <c r="F128" s="10" t="s">
        <v>840</v>
      </c>
      <c r="G128" s="11" t="s">
        <v>499</v>
      </c>
      <c r="H128" s="12" t="s">
        <v>841</v>
      </c>
      <c r="I128" s="11" t="s">
        <v>286</v>
      </c>
      <c r="J128" s="12" t="s">
        <v>842</v>
      </c>
      <c r="K128" s="11"/>
      <c r="L128" s="12"/>
      <c r="M128" s="11" t="s">
        <v>499</v>
      </c>
      <c r="N128" s="12" t="s">
        <v>843</v>
      </c>
      <c r="O128" s="11"/>
      <c r="P128" s="12"/>
      <c r="Q128" s="11" t="s">
        <v>286</v>
      </c>
      <c r="R128" s="12" t="s">
        <v>736</v>
      </c>
      <c r="S128" s="13">
        <f>208.74</f>
        <v>208.74</v>
      </c>
      <c r="T128" s="14">
        <f>21</f>
        <v>21</v>
      </c>
      <c r="U128" s="14"/>
      <c r="V128" s="14"/>
      <c r="W128" s="14">
        <f>22015500</f>
        <v>22015500</v>
      </c>
      <c r="X128" s="14"/>
      <c r="Y128" s="14"/>
      <c r="Z128" s="11" t="s">
        <v>60</v>
      </c>
      <c r="AA128" s="15" t="str">
        <f t="shared" si="4"/>
        <v>－</v>
      </c>
      <c r="AB128" s="15" t="str">
        <f t="shared" si="3"/>
        <v>－</v>
      </c>
      <c r="AC128" s="16">
        <f>3</f>
        <v>3</v>
      </c>
    </row>
    <row r="129" spans="1:29">
      <c r="A129" s="8" t="s">
        <v>46</v>
      </c>
      <c r="B129" s="9" t="s">
        <v>819</v>
      </c>
      <c r="C129" s="9" t="s">
        <v>820</v>
      </c>
      <c r="D129" s="9" t="s">
        <v>81</v>
      </c>
      <c r="E129" s="10" t="s">
        <v>538</v>
      </c>
      <c r="F129" s="10" t="s">
        <v>844</v>
      </c>
      <c r="G129" s="11" t="s">
        <v>286</v>
      </c>
      <c r="H129" s="12" t="s">
        <v>782</v>
      </c>
      <c r="I129" s="11" t="s">
        <v>288</v>
      </c>
      <c r="J129" s="12" t="s">
        <v>845</v>
      </c>
      <c r="K129" s="11"/>
      <c r="L129" s="12"/>
      <c r="M129" s="11" t="s">
        <v>846</v>
      </c>
      <c r="N129" s="12" t="s">
        <v>847</v>
      </c>
      <c r="O129" s="11"/>
      <c r="P129" s="12"/>
      <c r="Q129" s="11" t="s">
        <v>848</v>
      </c>
      <c r="R129" s="12" t="s">
        <v>841</v>
      </c>
      <c r="S129" s="13">
        <f>209.14</f>
        <v>209.14</v>
      </c>
      <c r="T129" s="14">
        <f>33</f>
        <v>33</v>
      </c>
      <c r="U129" s="14"/>
      <c r="V129" s="14"/>
      <c r="W129" s="14">
        <f>34998000</f>
        <v>34998000</v>
      </c>
      <c r="X129" s="14"/>
      <c r="Y129" s="14"/>
      <c r="Z129" s="11" t="s">
        <v>60</v>
      </c>
      <c r="AA129" s="15" t="str">
        <f t="shared" si="4"/>
        <v>－</v>
      </c>
      <c r="AB129" s="15" t="str">
        <f t="shared" si="3"/>
        <v>－</v>
      </c>
      <c r="AC129" s="16">
        <f>4</f>
        <v>4</v>
      </c>
    </row>
    <row r="130" spans="1:29">
      <c r="A130" s="8" t="s">
        <v>46</v>
      </c>
      <c r="B130" s="9" t="s">
        <v>819</v>
      </c>
      <c r="C130" s="9" t="s">
        <v>820</v>
      </c>
      <c r="D130" s="9" t="s">
        <v>596</v>
      </c>
      <c r="E130" s="10" t="s">
        <v>538</v>
      </c>
      <c r="F130" s="10" t="s">
        <v>849</v>
      </c>
      <c r="G130" s="11" t="s">
        <v>850</v>
      </c>
      <c r="H130" s="12" t="s">
        <v>851</v>
      </c>
      <c r="I130" s="11" t="s">
        <v>366</v>
      </c>
      <c r="J130" s="12" t="s">
        <v>806</v>
      </c>
      <c r="K130" s="11"/>
      <c r="L130" s="12"/>
      <c r="M130" s="11" t="s">
        <v>850</v>
      </c>
      <c r="N130" s="12" t="s">
        <v>851</v>
      </c>
      <c r="O130" s="11"/>
      <c r="P130" s="12"/>
      <c r="Q130" s="11" t="s">
        <v>852</v>
      </c>
      <c r="R130" s="12" t="s">
        <v>853</v>
      </c>
      <c r="S130" s="13">
        <f>207.85</f>
        <v>207.85</v>
      </c>
      <c r="T130" s="14">
        <f>33</f>
        <v>33</v>
      </c>
      <c r="U130" s="14"/>
      <c r="V130" s="14"/>
      <c r="W130" s="14">
        <f>35145000</f>
        <v>35145000</v>
      </c>
      <c r="X130" s="14"/>
      <c r="Y130" s="14"/>
      <c r="Z130" s="11" t="s">
        <v>60</v>
      </c>
      <c r="AA130" s="15" t="str">
        <f t="shared" si="4"/>
        <v>－</v>
      </c>
      <c r="AB130" s="15" t="str">
        <f t="shared" si="3"/>
        <v>－</v>
      </c>
      <c r="AC130" s="16">
        <f>6</f>
        <v>6</v>
      </c>
    </row>
    <row r="131" spans="1:29">
      <c r="A131" s="8" t="s">
        <v>46</v>
      </c>
      <c r="B131" s="9" t="s">
        <v>819</v>
      </c>
      <c r="C131" s="9" t="s">
        <v>820</v>
      </c>
      <c r="D131" s="9" t="s">
        <v>93</v>
      </c>
      <c r="E131" s="10" t="s">
        <v>854</v>
      </c>
      <c r="F131" s="10" t="s">
        <v>855</v>
      </c>
      <c r="G131" s="11" t="s">
        <v>504</v>
      </c>
      <c r="H131" s="12" t="s">
        <v>856</v>
      </c>
      <c r="I131" s="11" t="s">
        <v>857</v>
      </c>
      <c r="J131" s="12" t="s">
        <v>858</v>
      </c>
      <c r="K131" s="11"/>
      <c r="L131" s="12"/>
      <c r="M131" s="11" t="s">
        <v>504</v>
      </c>
      <c r="N131" s="12" t="s">
        <v>856</v>
      </c>
      <c r="O131" s="11"/>
      <c r="P131" s="12"/>
      <c r="Q131" s="11" t="s">
        <v>292</v>
      </c>
      <c r="R131" s="12" t="s">
        <v>859</v>
      </c>
      <c r="S131" s="13">
        <f>205.71</f>
        <v>205.71</v>
      </c>
      <c r="T131" s="14">
        <f>24</f>
        <v>24</v>
      </c>
      <c r="U131" s="14"/>
      <c r="V131" s="14"/>
      <c r="W131" s="14">
        <f>25965000</f>
        <v>25965000</v>
      </c>
      <c r="X131" s="14"/>
      <c r="Y131" s="14"/>
      <c r="Z131" s="11" t="s">
        <v>60</v>
      </c>
      <c r="AA131" s="15" t="str">
        <f t="shared" si="4"/>
        <v>－</v>
      </c>
      <c r="AB131" s="15" t="str">
        <f t="shared" si="3"/>
        <v>－</v>
      </c>
      <c r="AC131" s="16">
        <f>5</f>
        <v>5</v>
      </c>
    </row>
    <row r="132" spans="1:29">
      <c r="A132" s="8" t="s">
        <v>46</v>
      </c>
      <c r="B132" s="9" t="s">
        <v>819</v>
      </c>
      <c r="C132" s="9" t="s">
        <v>820</v>
      </c>
      <c r="D132" s="9" t="s">
        <v>614</v>
      </c>
      <c r="E132" s="10" t="s">
        <v>860</v>
      </c>
      <c r="F132" s="10" t="s">
        <v>861</v>
      </c>
      <c r="G132" s="11" t="s">
        <v>157</v>
      </c>
      <c r="H132" s="12" t="s">
        <v>862</v>
      </c>
      <c r="I132" s="11" t="s">
        <v>157</v>
      </c>
      <c r="J132" s="12" t="s">
        <v>863</v>
      </c>
      <c r="K132" s="11"/>
      <c r="L132" s="12"/>
      <c r="M132" s="11" t="s">
        <v>157</v>
      </c>
      <c r="N132" s="12" t="s">
        <v>862</v>
      </c>
      <c r="O132" s="11"/>
      <c r="P132" s="12"/>
      <c r="Q132" s="11" t="s">
        <v>157</v>
      </c>
      <c r="R132" s="12" t="s">
        <v>863</v>
      </c>
      <c r="S132" s="13">
        <f>204.14</f>
        <v>204.14</v>
      </c>
      <c r="T132" s="14">
        <f>6</f>
        <v>6</v>
      </c>
      <c r="U132" s="14"/>
      <c r="V132" s="14"/>
      <c r="W132" s="14">
        <f>5764500</f>
        <v>5764500</v>
      </c>
      <c r="X132" s="14"/>
      <c r="Y132" s="14"/>
      <c r="Z132" s="11" t="s">
        <v>60</v>
      </c>
      <c r="AA132" s="15" t="str">
        <f t="shared" si="4"/>
        <v>－</v>
      </c>
      <c r="AB132" s="15" t="str">
        <f t="shared" si="3"/>
        <v>－</v>
      </c>
      <c r="AC132" s="16">
        <f>1</f>
        <v>1</v>
      </c>
    </row>
    <row r="133" spans="1:29">
      <c r="A133" s="8" t="s">
        <v>46</v>
      </c>
      <c r="B133" s="9" t="s">
        <v>819</v>
      </c>
      <c r="C133" s="9" t="s">
        <v>820</v>
      </c>
      <c r="D133" s="9" t="s">
        <v>105</v>
      </c>
      <c r="E133" s="10" t="s">
        <v>864</v>
      </c>
      <c r="F133" s="10" t="s">
        <v>865</v>
      </c>
      <c r="G133" s="11" t="s">
        <v>866</v>
      </c>
      <c r="H133" s="12" t="s">
        <v>867</v>
      </c>
      <c r="I133" s="11" t="s">
        <v>866</v>
      </c>
      <c r="J133" s="12" t="s">
        <v>867</v>
      </c>
      <c r="K133" s="11"/>
      <c r="L133" s="12"/>
      <c r="M133" s="11" t="s">
        <v>868</v>
      </c>
      <c r="N133" s="12" t="s">
        <v>869</v>
      </c>
      <c r="O133" s="11"/>
      <c r="P133" s="12"/>
      <c r="Q133" s="11" t="s">
        <v>714</v>
      </c>
      <c r="R133" s="12" t="s">
        <v>870</v>
      </c>
      <c r="S133" s="13">
        <f>202.27</f>
        <v>202.27</v>
      </c>
      <c r="T133" s="14">
        <f>103</f>
        <v>103</v>
      </c>
      <c r="U133" s="14"/>
      <c r="V133" s="14"/>
      <c r="W133" s="14">
        <f>94836000</f>
        <v>94836000</v>
      </c>
      <c r="X133" s="14"/>
      <c r="Y133" s="14"/>
      <c r="Z133" s="11" t="s">
        <v>60</v>
      </c>
      <c r="AA133" s="15" t="str">
        <f t="shared" si="4"/>
        <v>－</v>
      </c>
      <c r="AB133" s="15" t="str">
        <f t="shared" si="3"/>
        <v>－</v>
      </c>
      <c r="AC133" s="16">
        <f>9</f>
        <v>9</v>
      </c>
    </row>
    <row r="134" spans="1:29">
      <c r="A134" s="8" t="s">
        <v>46</v>
      </c>
      <c r="B134" s="9" t="s">
        <v>819</v>
      </c>
      <c r="C134" s="9" t="s">
        <v>820</v>
      </c>
      <c r="D134" s="9" t="s">
        <v>624</v>
      </c>
      <c r="E134" s="10" t="s">
        <v>539</v>
      </c>
      <c r="F134" s="10" t="s">
        <v>871</v>
      </c>
      <c r="G134" s="11" t="s">
        <v>335</v>
      </c>
      <c r="H134" s="12" t="s">
        <v>872</v>
      </c>
      <c r="I134" s="11" t="s">
        <v>620</v>
      </c>
      <c r="J134" s="12" t="s">
        <v>873</v>
      </c>
      <c r="K134" s="11"/>
      <c r="L134" s="12"/>
      <c r="M134" s="11" t="s">
        <v>335</v>
      </c>
      <c r="N134" s="12" t="s">
        <v>874</v>
      </c>
      <c r="O134" s="11"/>
      <c r="P134" s="12"/>
      <c r="Q134" s="11" t="s">
        <v>448</v>
      </c>
      <c r="R134" s="12" t="s">
        <v>875</v>
      </c>
      <c r="S134" s="13">
        <f>200.51</f>
        <v>200.51</v>
      </c>
      <c r="T134" s="14">
        <f>42</f>
        <v>42</v>
      </c>
      <c r="U134" s="14"/>
      <c r="V134" s="14"/>
      <c r="W134" s="14">
        <f>39685500</f>
        <v>39685500</v>
      </c>
      <c r="X134" s="14"/>
      <c r="Y134" s="14"/>
      <c r="Z134" s="11" t="s">
        <v>60</v>
      </c>
      <c r="AA134" s="15" t="str">
        <f t="shared" si="4"/>
        <v>－</v>
      </c>
      <c r="AB134" s="15" t="str">
        <f t="shared" si="3"/>
        <v>－</v>
      </c>
      <c r="AC134" s="16">
        <f>5</f>
        <v>5</v>
      </c>
    </row>
    <row r="135" spans="1:29">
      <c r="A135" s="8" t="s">
        <v>46</v>
      </c>
      <c r="B135" s="9" t="s">
        <v>819</v>
      </c>
      <c r="C135" s="9" t="s">
        <v>820</v>
      </c>
      <c r="D135" s="9" t="s">
        <v>115</v>
      </c>
      <c r="E135" s="10" t="s">
        <v>543</v>
      </c>
      <c r="F135" s="10" t="s">
        <v>876</v>
      </c>
      <c r="G135" s="11" t="s">
        <v>620</v>
      </c>
      <c r="H135" s="12" t="s">
        <v>877</v>
      </c>
      <c r="I135" s="11" t="s">
        <v>620</v>
      </c>
      <c r="J135" s="12" t="s">
        <v>877</v>
      </c>
      <c r="K135" s="11"/>
      <c r="L135" s="12"/>
      <c r="M135" s="11" t="s">
        <v>448</v>
      </c>
      <c r="N135" s="12" t="s">
        <v>878</v>
      </c>
      <c r="O135" s="11"/>
      <c r="P135" s="12"/>
      <c r="Q135" s="11" t="s">
        <v>448</v>
      </c>
      <c r="R135" s="12" t="s">
        <v>875</v>
      </c>
      <c r="S135" s="13">
        <f>199.89</f>
        <v>199.89</v>
      </c>
      <c r="T135" s="14">
        <f>21</f>
        <v>21</v>
      </c>
      <c r="U135" s="14"/>
      <c r="V135" s="14"/>
      <c r="W135" s="14">
        <f>19969500</f>
        <v>19969500</v>
      </c>
      <c r="X135" s="14"/>
      <c r="Y135" s="14"/>
      <c r="Z135" s="11"/>
      <c r="AA135" s="15" t="str">
        <f t="shared" si="4"/>
        <v>－</v>
      </c>
      <c r="AB135" s="15" t="str">
        <f t="shared" ref="AB135:AB166" si="5">"－"</f>
        <v>－</v>
      </c>
      <c r="AC135" s="16">
        <f>2</f>
        <v>2</v>
      </c>
    </row>
    <row r="136" spans="1:29">
      <c r="A136" s="8" t="s">
        <v>46</v>
      </c>
      <c r="B136" s="9" t="s">
        <v>819</v>
      </c>
      <c r="C136" s="9" t="s">
        <v>820</v>
      </c>
      <c r="D136" s="9" t="s">
        <v>634</v>
      </c>
      <c r="E136" s="10" t="s">
        <v>549</v>
      </c>
      <c r="F136" s="10" t="s">
        <v>879</v>
      </c>
      <c r="G136" s="11" t="s">
        <v>880</v>
      </c>
      <c r="H136" s="12" t="s">
        <v>881</v>
      </c>
      <c r="I136" s="11" t="s">
        <v>882</v>
      </c>
      <c r="J136" s="12" t="s">
        <v>883</v>
      </c>
      <c r="K136" s="11"/>
      <c r="L136" s="12"/>
      <c r="M136" s="11" t="s">
        <v>880</v>
      </c>
      <c r="N136" s="12" t="s">
        <v>881</v>
      </c>
      <c r="O136" s="11"/>
      <c r="P136" s="12"/>
      <c r="Q136" s="11" t="s">
        <v>882</v>
      </c>
      <c r="R136" s="12" t="s">
        <v>884</v>
      </c>
      <c r="S136" s="13">
        <f>199.56</f>
        <v>199.56</v>
      </c>
      <c r="T136" s="14">
        <f>30</f>
        <v>30</v>
      </c>
      <c r="U136" s="14"/>
      <c r="V136" s="14"/>
      <c r="W136" s="14">
        <f>27951000</f>
        <v>27951000</v>
      </c>
      <c r="X136" s="14"/>
      <c r="Y136" s="14"/>
      <c r="Z136" s="11"/>
      <c r="AA136" s="15" t="str">
        <f t="shared" si="4"/>
        <v>－</v>
      </c>
      <c r="AB136" s="15" t="str">
        <f t="shared" si="5"/>
        <v>－</v>
      </c>
      <c r="AC136" s="16">
        <f>2</f>
        <v>2</v>
      </c>
    </row>
    <row r="137" spans="1:29">
      <c r="A137" s="8" t="s">
        <v>46</v>
      </c>
      <c r="B137" s="9" t="s">
        <v>819</v>
      </c>
      <c r="C137" s="9" t="s">
        <v>820</v>
      </c>
      <c r="D137" s="9" t="s">
        <v>128</v>
      </c>
      <c r="E137" s="10" t="s">
        <v>556</v>
      </c>
      <c r="F137" s="10" t="s">
        <v>885</v>
      </c>
      <c r="G137" s="11" t="s">
        <v>886</v>
      </c>
      <c r="H137" s="12" t="s">
        <v>887</v>
      </c>
      <c r="I137" s="11" t="s">
        <v>882</v>
      </c>
      <c r="J137" s="12" t="s">
        <v>883</v>
      </c>
      <c r="K137" s="11"/>
      <c r="L137" s="12"/>
      <c r="M137" s="11" t="s">
        <v>147</v>
      </c>
      <c r="N137" s="12" t="s">
        <v>888</v>
      </c>
      <c r="O137" s="11"/>
      <c r="P137" s="12"/>
      <c r="Q137" s="11" t="s">
        <v>147</v>
      </c>
      <c r="R137" s="12" t="s">
        <v>888</v>
      </c>
      <c r="S137" s="13">
        <f>198.61</f>
        <v>198.61</v>
      </c>
      <c r="T137" s="14">
        <f>57</f>
        <v>57</v>
      </c>
      <c r="U137" s="14"/>
      <c r="V137" s="14"/>
      <c r="W137" s="14">
        <f>51810000</f>
        <v>51810000</v>
      </c>
      <c r="X137" s="14"/>
      <c r="Y137" s="14"/>
      <c r="Z137" s="11"/>
      <c r="AA137" s="15" t="str">
        <f t="shared" si="4"/>
        <v>－</v>
      </c>
      <c r="AB137" s="15" t="str">
        <f t="shared" si="5"/>
        <v>－</v>
      </c>
      <c r="AC137" s="16">
        <f>3</f>
        <v>3</v>
      </c>
    </row>
    <row r="138" spans="1:29">
      <c r="A138" s="8" t="s">
        <v>46</v>
      </c>
      <c r="B138" s="9" t="s">
        <v>819</v>
      </c>
      <c r="C138" s="9" t="s">
        <v>820</v>
      </c>
      <c r="D138" s="9" t="s">
        <v>641</v>
      </c>
      <c r="E138" s="10" t="s">
        <v>563</v>
      </c>
      <c r="F138" s="10" t="s">
        <v>889</v>
      </c>
      <c r="G138" s="11"/>
      <c r="H138" s="12" t="s">
        <v>261</v>
      </c>
      <c r="I138" s="11"/>
      <c r="J138" s="12" t="s">
        <v>261</v>
      </c>
      <c r="K138" s="11"/>
      <c r="L138" s="12"/>
      <c r="M138" s="11"/>
      <c r="N138" s="12" t="s">
        <v>261</v>
      </c>
      <c r="O138" s="11"/>
      <c r="P138" s="12"/>
      <c r="Q138" s="11"/>
      <c r="R138" s="12" t="s">
        <v>261</v>
      </c>
      <c r="S138" s="13">
        <f>196.44</f>
        <v>196.44</v>
      </c>
      <c r="T138" s="14" t="str">
        <f t="shared" ref="T138:T145" si="6">"－"</f>
        <v>－</v>
      </c>
      <c r="U138" s="14"/>
      <c r="V138" s="14"/>
      <c r="W138" s="14" t="str">
        <f t="shared" ref="W138:W145" si="7">"－"</f>
        <v>－</v>
      </c>
      <c r="X138" s="14"/>
      <c r="Y138" s="14"/>
      <c r="Z138" s="11"/>
      <c r="AA138" s="15" t="str">
        <f t="shared" si="4"/>
        <v>－</v>
      </c>
      <c r="AB138" s="15" t="str">
        <f t="shared" si="5"/>
        <v>－</v>
      </c>
      <c r="AC138" s="16" t="str">
        <f t="shared" ref="AC138:AC145" si="8">"－"</f>
        <v>－</v>
      </c>
    </row>
    <row r="139" spans="1:29">
      <c r="A139" s="8" t="s">
        <v>46</v>
      </c>
      <c r="B139" s="9" t="s">
        <v>819</v>
      </c>
      <c r="C139" s="9" t="s">
        <v>820</v>
      </c>
      <c r="D139" s="9" t="s">
        <v>140</v>
      </c>
      <c r="E139" s="10" t="s">
        <v>570</v>
      </c>
      <c r="F139" s="10" t="s">
        <v>890</v>
      </c>
      <c r="G139" s="11"/>
      <c r="H139" s="12" t="s">
        <v>261</v>
      </c>
      <c r="I139" s="11"/>
      <c r="J139" s="12" t="s">
        <v>261</v>
      </c>
      <c r="K139" s="11"/>
      <c r="L139" s="12"/>
      <c r="M139" s="11"/>
      <c r="N139" s="12" t="s">
        <v>261</v>
      </c>
      <c r="O139" s="11"/>
      <c r="P139" s="12"/>
      <c r="Q139" s="11"/>
      <c r="R139" s="12" t="s">
        <v>261</v>
      </c>
      <c r="S139" s="13">
        <f>194.87</f>
        <v>194.87</v>
      </c>
      <c r="T139" s="14" t="str">
        <f t="shared" si="6"/>
        <v>－</v>
      </c>
      <c r="U139" s="14"/>
      <c r="V139" s="14"/>
      <c r="W139" s="14" t="str">
        <f t="shared" si="7"/>
        <v>－</v>
      </c>
      <c r="X139" s="14"/>
      <c r="Y139" s="14"/>
      <c r="Z139" s="11"/>
      <c r="AA139" s="15" t="str">
        <f t="shared" si="4"/>
        <v>－</v>
      </c>
      <c r="AB139" s="15" t="str">
        <f t="shared" si="5"/>
        <v>－</v>
      </c>
      <c r="AC139" s="16" t="str">
        <f t="shared" si="8"/>
        <v>－</v>
      </c>
    </row>
    <row r="140" spans="1:29">
      <c r="A140" s="8" t="s">
        <v>46</v>
      </c>
      <c r="B140" s="9" t="s">
        <v>819</v>
      </c>
      <c r="C140" s="9" t="s">
        <v>820</v>
      </c>
      <c r="D140" s="9" t="s">
        <v>783</v>
      </c>
      <c r="E140" s="10" t="s">
        <v>578</v>
      </c>
      <c r="F140" s="10" t="s">
        <v>891</v>
      </c>
      <c r="G140" s="11"/>
      <c r="H140" s="12" t="s">
        <v>261</v>
      </c>
      <c r="I140" s="11"/>
      <c r="J140" s="12" t="s">
        <v>261</v>
      </c>
      <c r="K140" s="11"/>
      <c r="L140" s="12"/>
      <c r="M140" s="11"/>
      <c r="N140" s="12" t="s">
        <v>261</v>
      </c>
      <c r="O140" s="11"/>
      <c r="P140" s="12"/>
      <c r="Q140" s="11"/>
      <c r="R140" s="12" t="s">
        <v>261</v>
      </c>
      <c r="S140" s="13">
        <f>190.56</f>
        <v>190.56</v>
      </c>
      <c r="T140" s="14" t="str">
        <f t="shared" si="6"/>
        <v>－</v>
      </c>
      <c r="U140" s="14"/>
      <c r="V140" s="14"/>
      <c r="W140" s="14" t="str">
        <f t="shared" si="7"/>
        <v>－</v>
      </c>
      <c r="X140" s="14"/>
      <c r="Y140" s="14"/>
      <c r="Z140" s="11"/>
      <c r="AA140" s="15" t="str">
        <f t="shared" si="4"/>
        <v>－</v>
      </c>
      <c r="AB140" s="15" t="str">
        <f t="shared" si="5"/>
        <v>－</v>
      </c>
      <c r="AC140" s="16" t="str">
        <f t="shared" si="8"/>
        <v>－</v>
      </c>
    </row>
    <row r="141" spans="1:29">
      <c r="A141" s="8" t="s">
        <v>46</v>
      </c>
      <c r="B141" s="9" t="s">
        <v>819</v>
      </c>
      <c r="C141" s="9" t="s">
        <v>820</v>
      </c>
      <c r="D141" s="9" t="s">
        <v>154</v>
      </c>
      <c r="E141" s="10" t="s">
        <v>587</v>
      </c>
      <c r="F141" s="10" t="s">
        <v>892</v>
      </c>
      <c r="G141" s="11"/>
      <c r="H141" s="12" t="s">
        <v>261</v>
      </c>
      <c r="I141" s="11"/>
      <c r="J141" s="12" t="s">
        <v>261</v>
      </c>
      <c r="K141" s="11"/>
      <c r="L141" s="12"/>
      <c r="M141" s="11"/>
      <c r="N141" s="12" t="s">
        <v>261</v>
      </c>
      <c r="O141" s="11"/>
      <c r="P141" s="12"/>
      <c r="Q141" s="11"/>
      <c r="R141" s="12" t="s">
        <v>261</v>
      </c>
      <c r="S141" s="13">
        <f>186.59</f>
        <v>186.59</v>
      </c>
      <c r="T141" s="14" t="str">
        <f t="shared" si="6"/>
        <v>－</v>
      </c>
      <c r="U141" s="14"/>
      <c r="V141" s="14"/>
      <c r="W141" s="14" t="str">
        <f t="shared" si="7"/>
        <v>－</v>
      </c>
      <c r="X141" s="14"/>
      <c r="Y141" s="14"/>
      <c r="Z141" s="11"/>
      <c r="AA141" s="15" t="str">
        <f t="shared" si="4"/>
        <v>－</v>
      </c>
      <c r="AB141" s="15" t="str">
        <f t="shared" si="5"/>
        <v>－</v>
      </c>
      <c r="AC141" s="16" t="str">
        <f t="shared" si="8"/>
        <v>－</v>
      </c>
    </row>
    <row r="142" spans="1:29">
      <c r="A142" s="8" t="s">
        <v>46</v>
      </c>
      <c r="B142" s="9" t="s">
        <v>819</v>
      </c>
      <c r="C142" s="9" t="s">
        <v>820</v>
      </c>
      <c r="D142" s="9" t="s">
        <v>795</v>
      </c>
      <c r="E142" s="10" t="s">
        <v>598</v>
      </c>
      <c r="F142" s="10" t="s">
        <v>893</v>
      </c>
      <c r="G142" s="11"/>
      <c r="H142" s="12" t="s">
        <v>261</v>
      </c>
      <c r="I142" s="11"/>
      <c r="J142" s="12" t="s">
        <v>261</v>
      </c>
      <c r="K142" s="11"/>
      <c r="L142" s="12"/>
      <c r="M142" s="11"/>
      <c r="N142" s="12" t="s">
        <v>261</v>
      </c>
      <c r="O142" s="11"/>
      <c r="P142" s="12"/>
      <c r="Q142" s="11"/>
      <c r="R142" s="12" t="s">
        <v>261</v>
      </c>
      <c r="S142" s="13">
        <f>183.89</f>
        <v>183.89</v>
      </c>
      <c r="T142" s="14" t="str">
        <f t="shared" si="6"/>
        <v>－</v>
      </c>
      <c r="U142" s="14"/>
      <c r="V142" s="14"/>
      <c r="W142" s="14" t="str">
        <f t="shared" si="7"/>
        <v>－</v>
      </c>
      <c r="X142" s="14"/>
      <c r="Y142" s="14"/>
      <c r="Z142" s="11"/>
      <c r="AA142" s="15" t="str">
        <f t="shared" si="4"/>
        <v>－</v>
      </c>
      <c r="AB142" s="15" t="str">
        <f t="shared" si="5"/>
        <v>－</v>
      </c>
      <c r="AC142" s="16" t="str">
        <f t="shared" si="8"/>
        <v>－</v>
      </c>
    </row>
    <row r="143" spans="1:29">
      <c r="A143" s="8" t="s">
        <v>46</v>
      </c>
      <c r="B143" s="9" t="s">
        <v>819</v>
      </c>
      <c r="C143" s="9" t="s">
        <v>820</v>
      </c>
      <c r="D143" s="9" t="s">
        <v>165</v>
      </c>
      <c r="E143" s="10" t="s">
        <v>609</v>
      </c>
      <c r="F143" s="10" t="s">
        <v>894</v>
      </c>
      <c r="G143" s="11"/>
      <c r="H143" s="12" t="s">
        <v>261</v>
      </c>
      <c r="I143" s="11"/>
      <c r="J143" s="12" t="s">
        <v>261</v>
      </c>
      <c r="K143" s="11"/>
      <c r="L143" s="12"/>
      <c r="M143" s="11"/>
      <c r="N143" s="12" t="s">
        <v>261</v>
      </c>
      <c r="O143" s="11"/>
      <c r="P143" s="12"/>
      <c r="Q143" s="11"/>
      <c r="R143" s="12" t="s">
        <v>261</v>
      </c>
      <c r="S143" s="13">
        <f>183.1</f>
        <v>183.1</v>
      </c>
      <c r="T143" s="14" t="str">
        <f t="shared" si="6"/>
        <v>－</v>
      </c>
      <c r="U143" s="14"/>
      <c r="V143" s="14"/>
      <c r="W143" s="14" t="str">
        <f t="shared" si="7"/>
        <v>－</v>
      </c>
      <c r="X143" s="14"/>
      <c r="Y143" s="14"/>
      <c r="Z143" s="11"/>
      <c r="AA143" s="15" t="str">
        <f t="shared" si="4"/>
        <v>－</v>
      </c>
      <c r="AB143" s="15" t="str">
        <f t="shared" si="5"/>
        <v>－</v>
      </c>
      <c r="AC143" s="16" t="str">
        <f t="shared" si="8"/>
        <v>－</v>
      </c>
    </row>
    <row r="144" spans="1:29">
      <c r="A144" s="8" t="s">
        <v>46</v>
      </c>
      <c r="B144" s="9" t="s">
        <v>819</v>
      </c>
      <c r="C144" s="9" t="s">
        <v>820</v>
      </c>
      <c r="D144" s="9" t="s">
        <v>809</v>
      </c>
      <c r="E144" s="10" t="s">
        <v>616</v>
      </c>
      <c r="F144" s="10" t="s">
        <v>895</v>
      </c>
      <c r="G144" s="11"/>
      <c r="H144" s="12" t="s">
        <v>261</v>
      </c>
      <c r="I144" s="11"/>
      <c r="J144" s="12" t="s">
        <v>261</v>
      </c>
      <c r="K144" s="11"/>
      <c r="L144" s="12"/>
      <c r="M144" s="11"/>
      <c r="N144" s="12" t="s">
        <v>261</v>
      </c>
      <c r="O144" s="11"/>
      <c r="P144" s="12"/>
      <c r="Q144" s="11"/>
      <c r="R144" s="12" t="s">
        <v>261</v>
      </c>
      <c r="S144" s="13">
        <f>180.08</f>
        <v>180.08</v>
      </c>
      <c r="T144" s="14" t="str">
        <f t="shared" si="6"/>
        <v>－</v>
      </c>
      <c r="U144" s="14"/>
      <c r="V144" s="14"/>
      <c r="W144" s="14" t="str">
        <f t="shared" si="7"/>
        <v>－</v>
      </c>
      <c r="X144" s="14"/>
      <c r="Y144" s="14"/>
      <c r="Z144" s="11"/>
      <c r="AA144" s="15" t="str">
        <f t="shared" si="4"/>
        <v>－</v>
      </c>
      <c r="AB144" s="15" t="str">
        <f t="shared" si="5"/>
        <v>－</v>
      </c>
      <c r="AC144" s="16" t="str">
        <f t="shared" si="8"/>
        <v>－</v>
      </c>
    </row>
    <row r="145" spans="1:29">
      <c r="A145" s="8" t="s">
        <v>46</v>
      </c>
      <c r="B145" s="9" t="s">
        <v>819</v>
      </c>
      <c r="C145" s="9" t="s">
        <v>820</v>
      </c>
      <c r="D145" s="9" t="s">
        <v>176</v>
      </c>
      <c r="E145" s="10" t="s">
        <v>623</v>
      </c>
      <c r="F145" s="10" t="s">
        <v>896</v>
      </c>
      <c r="G145" s="11"/>
      <c r="H145" s="12" t="s">
        <v>261</v>
      </c>
      <c r="I145" s="11"/>
      <c r="J145" s="12" t="s">
        <v>261</v>
      </c>
      <c r="K145" s="11"/>
      <c r="L145" s="12"/>
      <c r="M145" s="11"/>
      <c r="N145" s="12" t="s">
        <v>261</v>
      </c>
      <c r="O145" s="11"/>
      <c r="P145" s="12"/>
      <c r="Q145" s="11"/>
      <c r="R145" s="12" t="s">
        <v>261</v>
      </c>
      <c r="S145" s="13">
        <f>182.23</f>
        <v>182.23</v>
      </c>
      <c r="T145" s="14" t="str">
        <f t="shared" si="6"/>
        <v>－</v>
      </c>
      <c r="U145" s="14"/>
      <c r="V145" s="14"/>
      <c r="W145" s="14" t="str">
        <f t="shared" si="7"/>
        <v>－</v>
      </c>
      <c r="X145" s="14"/>
      <c r="Y145" s="14"/>
      <c r="Z145" s="11"/>
      <c r="AA145" s="15" t="str">
        <f t="shared" si="4"/>
        <v>－</v>
      </c>
      <c r="AB145" s="15" t="str">
        <f t="shared" si="5"/>
        <v>－</v>
      </c>
      <c r="AC145" s="16" t="str">
        <f t="shared" si="8"/>
        <v>－</v>
      </c>
    </row>
    <row r="146" spans="1:29">
      <c r="A146" s="8" t="s">
        <v>46</v>
      </c>
      <c r="B146" s="9" t="s">
        <v>897</v>
      </c>
      <c r="C146" s="9" t="s">
        <v>898</v>
      </c>
      <c r="D146" s="9" t="s">
        <v>548</v>
      </c>
      <c r="E146" s="10" t="s">
        <v>899</v>
      </c>
      <c r="F146" s="10" t="s">
        <v>900</v>
      </c>
      <c r="G146" s="11" t="s">
        <v>52</v>
      </c>
      <c r="H146" s="12" t="s">
        <v>901</v>
      </c>
      <c r="I146" s="11" t="s">
        <v>902</v>
      </c>
      <c r="J146" s="12" t="s">
        <v>903</v>
      </c>
      <c r="K146" s="11" t="s">
        <v>89</v>
      </c>
      <c r="L146" s="12" t="s">
        <v>904</v>
      </c>
      <c r="M146" s="11" t="s">
        <v>52</v>
      </c>
      <c r="N146" s="12" t="s">
        <v>901</v>
      </c>
      <c r="O146" s="11" t="s">
        <v>512</v>
      </c>
      <c r="P146" s="12" t="s">
        <v>905</v>
      </c>
      <c r="Q146" s="11" t="s">
        <v>902</v>
      </c>
      <c r="R146" s="12" t="s">
        <v>903</v>
      </c>
      <c r="S146" s="13">
        <f>43113.1</f>
        <v>43113.1</v>
      </c>
      <c r="T146" s="14">
        <f>186</f>
        <v>186</v>
      </c>
      <c r="U146" s="14">
        <v>58</v>
      </c>
      <c r="V146" s="14"/>
      <c r="W146" s="14">
        <f>415209000</f>
        <v>415209000</v>
      </c>
      <c r="X146" s="14">
        <v>150002500</v>
      </c>
      <c r="Y146" s="14"/>
      <c r="Z146" s="11" t="s">
        <v>60</v>
      </c>
      <c r="AA146" s="15">
        <f>11</f>
        <v>11</v>
      </c>
      <c r="AB146" s="15" t="str">
        <f t="shared" si="5"/>
        <v>－</v>
      </c>
      <c r="AC146" s="16">
        <f>24</f>
        <v>24</v>
      </c>
    </row>
    <row r="147" spans="1:29">
      <c r="A147" s="8" t="s">
        <v>46</v>
      </c>
      <c r="B147" s="9" t="s">
        <v>897</v>
      </c>
      <c r="C147" s="9" t="s">
        <v>898</v>
      </c>
      <c r="D147" s="9" t="s">
        <v>561</v>
      </c>
      <c r="E147" s="10" t="s">
        <v>906</v>
      </c>
      <c r="F147" s="10" t="s">
        <v>907</v>
      </c>
      <c r="G147" s="11" t="s">
        <v>52</v>
      </c>
      <c r="H147" s="12" t="s">
        <v>908</v>
      </c>
      <c r="I147" s="11" t="s">
        <v>67</v>
      </c>
      <c r="J147" s="12" t="s">
        <v>909</v>
      </c>
      <c r="K147" s="11" t="s">
        <v>281</v>
      </c>
      <c r="L147" s="12" t="s">
        <v>910</v>
      </c>
      <c r="M147" s="11" t="s">
        <v>582</v>
      </c>
      <c r="N147" s="12" t="s">
        <v>911</v>
      </c>
      <c r="O147" s="11" t="s">
        <v>512</v>
      </c>
      <c r="P147" s="12" t="s">
        <v>912</v>
      </c>
      <c r="Q147" s="11" t="s">
        <v>67</v>
      </c>
      <c r="R147" s="12" t="s">
        <v>909</v>
      </c>
      <c r="S147" s="13">
        <f>49142.14</f>
        <v>49142.14</v>
      </c>
      <c r="T147" s="14">
        <f>566</f>
        <v>566</v>
      </c>
      <c r="U147" s="14">
        <v>254</v>
      </c>
      <c r="V147" s="14"/>
      <c r="W147" s="14">
        <f>1495481500</f>
        <v>1495481500</v>
      </c>
      <c r="X147" s="14">
        <v>761025000</v>
      </c>
      <c r="Y147" s="14"/>
      <c r="Z147" s="11" t="s">
        <v>60</v>
      </c>
      <c r="AA147" s="15">
        <f>43</f>
        <v>43</v>
      </c>
      <c r="AB147" s="15" t="str">
        <f t="shared" si="5"/>
        <v>－</v>
      </c>
      <c r="AC147" s="16">
        <f>46</f>
        <v>46</v>
      </c>
    </row>
    <row r="148" spans="1:29">
      <c r="A148" s="8" t="s">
        <v>46</v>
      </c>
      <c r="B148" s="9" t="s">
        <v>897</v>
      </c>
      <c r="C148" s="9" t="s">
        <v>898</v>
      </c>
      <c r="D148" s="9" t="s">
        <v>576</v>
      </c>
      <c r="E148" s="10" t="s">
        <v>913</v>
      </c>
      <c r="F148" s="10" t="s">
        <v>914</v>
      </c>
      <c r="G148" s="11" t="s">
        <v>52</v>
      </c>
      <c r="H148" s="12" t="s">
        <v>915</v>
      </c>
      <c r="I148" s="11" t="s">
        <v>591</v>
      </c>
      <c r="J148" s="12" t="s">
        <v>916</v>
      </c>
      <c r="K148" s="11" t="s">
        <v>591</v>
      </c>
      <c r="L148" s="12" t="s">
        <v>917</v>
      </c>
      <c r="M148" s="11" t="s">
        <v>918</v>
      </c>
      <c r="N148" s="12" t="s">
        <v>919</v>
      </c>
      <c r="O148" s="11" t="s">
        <v>281</v>
      </c>
      <c r="P148" s="12" t="s">
        <v>920</v>
      </c>
      <c r="Q148" s="11" t="s">
        <v>921</v>
      </c>
      <c r="R148" s="12" t="s">
        <v>922</v>
      </c>
      <c r="S148" s="13">
        <f>51051.1</f>
        <v>51051.1</v>
      </c>
      <c r="T148" s="14">
        <f>345</f>
        <v>345</v>
      </c>
      <c r="U148" s="14">
        <v>23</v>
      </c>
      <c r="V148" s="14"/>
      <c r="W148" s="14">
        <f>905357000</f>
        <v>905357000</v>
      </c>
      <c r="X148" s="14">
        <v>67411500</v>
      </c>
      <c r="Y148" s="14"/>
      <c r="Z148" s="11" t="s">
        <v>60</v>
      </c>
      <c r="AA148" s="15" t="str">
        <f>"－"</f>
        <v>－</v>
      </c>
      <c r="AB148" s="15" t="str">
        <f t="shared" si="5"/>
        <v>－</v>
      </c>
      <c r="AC148" s="16">
        <f>65</f>
        <v>65</v>
      </c>
    </row>
    <row r="149" spans="1:29">
      <c r="A149" s="8" t="s">
        <v>46</v>
      </c>
      <c r="B149" s="9" t="s">
        <v>897</v>
      </c>
      <c r="C149" s="9" t="s">
        <v>898</v>
      </c>
      <c r="D149" s="9" t="s">
        <v>596</v>
      </c>
      <c r="E149" s="10" t="s">
        <v>923</v>
      </c>
      <c r="F149" s="10" t="s">
        <v>924</v>
      </c>
      <c r="G149" s="11" t="s">
        <v>52</v>
      </c>
      <c r="H149" s="12" t="s">
        <v>925</v>
      </c>
      <c r="I149" s="11" t="s">
        <v>926</v>
      </c>
      <c r="J149" s="12" t="s">
        <v>927</v>
      </c>
      <c r="K149" s="11" t="s">
        <v>788</v>
      </c>
      <c r="L149" s="12" t="s">
        <v>928</v>
      </c>
      <c r="M149" s="11" t="s">
        <v>52</v>
      </c>
      <c r="N149" s="12" t="s">
        <v>929</v>
      </c>
      <c r="O149" s="11" t="s">
        <v>930</v>
      </c>
      <c r="P149" s="12" t="s">
        <v>917</v>
      </c>
      <c r="Q149" s="11" t="s">
        <v>926</v>
      </c>
      <c r="R149" s="12" t="s">
        <v>927</v>
      </c>
      <c r="S149" s="13">
        <f>51324.07</f>
        <v>51324.07</v>
      </c>
      <c r="T149" s="14">
        <f>666</f>
        <v>666</v>
      </c>
      <c r="U149" s="14">
        <v>138</v>
      </c>
      <c r="V149" s="14">
        <v>1</v>
      </c>
      <c r="W149" s="14">
        <f>1703319500</f>
        <v>1703319500</v>
      </c>
      <c r="X149" s="14">
        <v>414397500</v>
      </c>
      <c r="Y149" s="14">
        <v>2652000</v>
      </c>
      <c r="Z149" s="11" t="s">
        <v>60</v>
      </c>
      <c r="AA149" s="15" t="str">
        <f>"－"</f>
        <v>－</v>
      </c>
      <c r="AB149" s="15" t="str">
        <f t="shared" si="5"/>
        <v>－</v>
      </c>
      <c r="AC149" s="16">
        <f>90</f>
        <v>90</v>
      </c>
    </row>
    <row r="150" spans="1:29">
      <c r="A150" s="8" t="s">
        <v>46</v>
      </c>
      <c r="B150" s="9" t="s">
        <v>897</v>
      </c>
      <c r="C150" s="9" t="s">
        <v>898</v>
      </c>
      <c r="D150" s="9" t="s">
        <v>614</v>
      </c>
      <c r="E150" s="10" t="s">
        <v>931</v>
      </c>
      <c r="F150" s="10" t="s">
        <v>932</v>
      </c>
      <c r="G150" s="11" t="s">
        <v>52</v>
      </c>
      <c r="H150" s="12" t="s">
        <v>933</v>
      </c>
      <c r="I150" s="11" t="s">
        <v>934</v>
      </c>
      <c r="J150" s="12" t="s">
        <v>935</v>
      </c>
      <c r="K150" s="11" t="s">
        <v>288</v>
      </c>
      <c r="L150" s="12" t="s">
        <v>936</v>
      </c>
      <c r="M150" s="11" t="s">
        <v>937</v>
      </c>
      <c r="N150" s="12" t="s">
        <v>938</v>
      </c>
      <c r="O150" s="11" t="s">
        <v>525</v>
      </c>
      <c r="P150" s="12" t="s">
        <v>939</v>
      </c>
      <c r="Q150" s="11" t="s">
        <v>937</v>
      </c>
      <c r="R150" s="12" t="s">
        <v>940</v>
      </c>
      <c r="S150" s="13">
        <f>48833.77</f>
        <v>48833.77</v>
      </c>
      <c r="T150" s="14">
        <f>3140</f>
        <v>3140</v>
      </c>
      <c r="U150" s="14">
        <v>586</v>
      </c>
      <c r="V150" s="14">
        <v>62</v>
      </c>
      <c r="W150" s="14">
        <f>7153236500</f>
        <v>7153236500</v>
      </c>
      <c r="X150" s="14">
        <v>1394242000</v>
      </c>
      <c r="Y150" s="14">
        <v>128520000</v>
      </c>
      <c r="Z150" s="11" t="s">
        <v>60</v>
      </c>
      <c r="AA150" s="15">
        <f>60</f>
        <v>60</v>
      </c>
      <c r="AB150" s="15" t="str">
        <f t="shared" si="5"/>
        <v>－</v>
      </c>
      <c r="AC150" s="16">
        <f>146</f>
        <v>146</v>
      </c>
    </row>
    <row r="151" spans="1:29">
      <c r="A151" s="8" t="s">
        <v>46</v>
      </c>
      <c r="B151" s="9" t="s">
        <v>897</v>
      </c>
      <c r="C151" s="9" t="s">
        <v>898</v>
      </c>
      <c r="D151" s="9" t="s">
        <v>624</v>
      </c>
      <c r="E151" s="10" t="s">
        <v>941</v>
      </c>
      <c r="F151" s="10" t="s">
        <v>942</v>
      </c>
      <c r="G151" s="11" t="s">
        <v>52</v>
      </c>
      <c r="H151" s="12" t="s">
        <v>943</v>
      </c>
      <c r="I151" s="11" t="s">
        <v>944</v>
      </c>
      <c r="J151" s="12" t="s">
        <v>945</v>
      </c>
      <c r="K151" s="11" t="s">
        <v>807</v>
      </c>
      <c r="L151" s="12" t="s">
        <v>946</v>
      </c>
      <c r="M151" s="11" t="s">
        <v>918</v>
      </c>
      <c r="N151" s="12" t="s">
        <v>947</v>
      </c>
      <c r="O151" s="11" t="s">
        <v>272</v>
      </c>
      <c r="P151" s="12" t="s">
        <v>948</v>
      </c>
      <c r="Q151" s="11" t="s">
        <v>944</v>
      </c>
      <c r="R151" s="12" t="s">
        <v>949</v>
      </c>
      <c r="S151" s="13">
        <f>51234.81</f>
        <v>51234.81</v>
      </c>
      <c r="T151" s="14">
        <f>5473</f>
        <v>5473</v>
      </c>
      <c r="U151" s="14">
        <v>117</v>
      </c>
      <c r="V151" s="14">
        <v>272</v>
      </c>
      <c r="W151" s="14">
        <f>12181936000</f>
        <v>12181936000</v>
      </c>
      <c r="X151" s="14">
        <v>317863500</v>
      </c>
      <c r="Y151" s="14">
        <v>667951500</v>
      </c>
      <c r="Z151" s="11" t="s">
        <v>60</v>
      </c>
      <c r="AA151" s="15">
        <f>8</f>
        <v>8</v>
      </c>
      <c r="AB151" s="15" t="str">
        <f t="shared" si="5"/>
        <v>－</v>
      </c>
      <c r="AC151" s="16">
        <f>164</f>
        <v>164</v>
      </c>
    </row>
    <row r="152" spans="1:29">
      <c r="A152" s="8" t="s">
        <v>46</v>
      </c>
      <c r="B152" s="9" t="s">
        <v>897</v>
      </c>
      <c r="C152" s="9" t="s">
        <v>898</v>
      </c>
      <c r="D152" s="9" t="s">
        <v>634</v>
      </c>
      <c r="E152" s="10" t="s">
        <v>950</v>
      </c>
      <c r="F152" s="10" t="s">
        <v>951</v>
      </c>
      <c r="G152" s="11" t="s">
        <v>278</v>
      </c>
      <c r="H152" s="12" t="s">
        <v>952</v>
      </c>
      <c r="I152" s="11" t="s">
        <v>934</v>
      </c>
      <c r="J152" s="12" t="s">
        <v>953</v>
      </c>
      <c r="K152" s="11" t="s">
        <v>954</v>
      </c>
      <c r="L152" s="12" t="s">
        <v>955</v>
      </c>
      <c r="M152" s="11" t="s">
        <v>278</v>
      </c>
      <c r="N152" s="12" t="s">
        <v>956</v>
      </c>
      <c r="O152" s="11" t="s">
        <v>357</v>
      </c>
      <c r="P152" s="12" t="s">
        <v>957</v>
      </c>
      <c r="Q152" s="11" t="s">
        <v>126</v>
      </c>
      <c r="R152" s="12" t="s">
        <v>958</v>
      </c>
      <c r="S152" s="13">
        <f>50828.47</f>
        <v>50828.47</v>
      </c>
      <c r="T152" s="14">
        <f>10462</f>
        <v>10462</v>
      </c>
      <c r="U152" s="14">
        <v>3</v>
      </c>
      <c r="V152" s="14">
        <v>334</v>
      </c>
      <c r="W152" s="14">
        <f>26659350000</f>
        <v>26659350000</v>
      </c>
      <c r="X152" s="14">
        <v>7784500</v>
      </c>
      <c r="Y152" s="14">
        <v>894213500</v>
      </c>
      <c r="Z152" s="11"/>
      <c r="AA152" s="15">
        <f>230</f>
        <v>230</v>
      </c>
      <c r="AB152" s="15" t="str">
        <f t="shared" si="5"/>
        <v>－</v>
      </c>
      <c r="AC152" s="16">
        <f>186</f>
        <v>186</v>
      </c>
    </row>
    <row r="153" spans="1:29">
      <c r="A153" s="8" t="s">
        <v>46</v>
      </c>
      <c r="B153" s="9" t="s">
        <v>897</v>
      </c>
      <c r="C153" s="9" t="s">
        <v>898</v>
      </c>
      <c r="D153" s="9" t="s">
        <v>641</v>
      </c>
      <c r="E153" s="10" t="s">
        <v>959</v>
      </c>
      <c r="F153" s="10" t="s">
        <v>960</v>
      </c>
      <c r="G153" s="11" t="s">
        <v>286</v>
      </c>
      <c r="H153" s="12" t="s">
        <v>961</v>
      </c>
      <c r="I153" s="11" t="s">
        <v>934</v>
      </c>
      <c r="J153" s="12" t="s">
        <v>962</v>
      </c>
      <c r="K153" s="11" t="s">
        <v>852</v>
      </c>
      <c r="L153" s="12" t="s">
        <v>963</v>
      </c>
      <c r="M153" s="11" t="s">
        <v>311</v>
      </c>
      <c r="N153" s="12" t="s">
        <v>964</v>
      </c>
      <c r="O153" s="11" t="s">
        <v>312</v>
      </c>
      <c r="P153" s="12" t="s">
        <v>965</v>
      </c>
      <c r="Q153" s="11" t="s">
        <v>126</v>
      </c>
      <c r="R153" s="12" t="s">
        <v>966</v>
      </c>
      <c r="S153" s="13">
        <f>51164.94</f>
        <v>51164.94</v>
      </c>
      <c r="T153" s="14">
        <f>11154</f>
        <v>11154</v>
      </c>
      <c r="U153" s="14">
        <v>2</v>
      </c>
      <c r="V153" s="14">
        <v>280</v>
      </c>
      <c r="W153" s="14">
        <f>30674499500</f>
        <v>30674499500</v>
      </c>
      <c r="X153" s="14">
        <v>5010000</v>
      </c>
      <c r="Y153" s="14">
        <v>796341500</v>
      </c>
      <c r="Z153" s="11"/>
      <c r="AA153" s="15">
        <f>308</f>
        <v>308</v>
      </c>
      <c r="AB153" s="15" t="str">
        <f t="shared" si="5"/>
        <v>－</v>
      </c>
      <c r="AC153" s="16">
        <f>150</f>
        <v>150</v>
      </c>
    </row>
    <row r="154" spans="1:29">
      <c r="A154" s="8" t="s">
        <v>46</v>
      </c>
      <c r="B154" s="9" t="s">
        <v>897</v>
      </c>
      <c r="C154" s="9" t="s">
        <v>898</v>
      </c>
      <c r="D154" s="9" t="s">
        <v>783</v>
      </c>
      <c r="E154" s="10" t="s">
        <v>967</v>
      </c>
      <c r="F154" s="10" t="s">
        <v>968</v>
      </c>
      <c r="G154" s="11" t="s">
        <v>292</v>
      </c>
      <c r="H154" s="12" t="s">
        <v>969</v>
      </c>
      <c r="I154" s="11" t="s">
        <v>290</v>
      </c>
      <c r="J154" s="12" t="s">
        <v>970</v>
      </c>
      <c r="K154" s="11" t="s">
        <v>606</v>
      </c>
      <c r="L154" s="12" t="s">
        <v>971</v>
      </c>
      <c r="M154" s="11" t="s">
        <v>972</v>
      </c>
      <c r="N154" s="12" t="s">
        <v>973</v>
      </c>
      <c r="O154" s="11" t="s">
        <v>882</v>
      </c>
      <c r="P154" s="12" t="s">
        <v>974</v>
      </c>
      <c r="Q154" s="11" t="s">
        <v>126</v>
      </c>
      <c r="R154" s="12" t="s">
        <v>958</v>
      </c>
      <c r="S154" s="13">
        <f>48536.52</f>
        <v>48536.52</v>
      </c>
      <c r="T154" s="14">
        <f>10136</f>
        <v>10136</v>
      </c>
      <c r="U154" s="14">
        <v>103</v>
      </c>
      <c r="V154" s="14">
        <v>25</v>
      </c>
      <c r="W154" s="14">
        <f>24317182000</f>
        <v>24317182000</v>
      </c>
      <c r="X154" s="14">
        <v>241228000</v>
      </c>
      <c r="Y154" s="14">
        <v>61473000</v>
      </c>
      <c r="Z154" s="11"/>
      <c r="AA154" s="15">
        <f>227</f>
        <v>227</v>
      </c>
      <c r="AB154" s="15" t="str">
        <f t="shared" si="5"/>
        <v>－</v>
      </c>
      <c r="AC154" s="16">
        <f>135</f>
        <v>135</v>
      </c>
    </row>
    <row r="155" spans="1:29">
      <c r="A155" s="8" t="s">
        <v>46</v>
      </c>
      <c r="B155" s="9" t="s">
        <v>897</v>
      </c>
      <c r="C155" s="9" t="s">
        <v>898</v>
      </c>
      <c r="D155" s="9" t="s">
        <v>795</v>
      </c>
      <c r="E155" s="10" t="s">
        <v>975</v>
      </c>
      <c r="F155" s="10" t="s">
        <v>976</v>
      </c>
      <c r="G155" s="11" t="s">
        <v>301</v>
      </c>
      <c r="H155" s="12" t="s">
        <v>977</v>
      </c>
      <c r="I155" s="11" t="s">
        <v>98</v>
      </c>
      <c r="J155" s="12" t="s">
        <v>978</v>
      </c>
      <c r="K155" s="11" t="s">
        <v>714</v>
      </c>
      <c r="L155" s="12" t="s">
        <v>979</v>
      </c>
      <c r="M155" s="11" t="s">
        <v>297</v>
      </c>
      <c r="N155" s="12" t="s">
        <v>980</v>
      </c>
      <c r="O155" s="11" t="s">
        <v>714</v>
      </c>
      <c r="P155" s="12" t="s">
        <v>979</v>
      </c>
      <c r="Q155" s="11" t="s">
        <v>126</v>
      </c>
      <c r="R155" s="12" t="s">
        <v>981</v>
      </c>
      <c r="S155" s="13">
        <f>48478.09</f>
        <v>48478.09</v>
      </c>
      <c r="T155" s="14">
        <f>6572</f>
        <v>6572</v>
      </c>
      <c r="U155" s="14">
        <v>1</v>
      </c>
      <c r="V155" s="14">
        <v>42</v>
      </c>
      <c r="W155" s="14">
        <f>16195986000</f>
        <v>16195986000</v>
      </c>
      <c r="X155" s="14">
        <v>2512000</v>
      </c>
      <c r="Y155" s="14">
        <v>103116000</v>
      </c>
      <c r="Z155" s="11"/>
      <c r="AA155" s="15">
        <f>275</f>
        <v>275</v>
      </c>
      <c r="AB155" s="15" t="str">
        <f t="shared" si="5"/>
        <v>－</v>
      </c>
      <c r="AC155" s="16">
        <f>94</f>
        <v>94</v>
      </c>
    </row>
    <row r="156" spans="1:29">
      <c r="A156" s="8" t="s">
        <v>46</v>
      </c>
      <c r="B156" s="9" t="s">
        <v>897</v>
      </c>
      <c r="C156" s="9" t="s">
        <v>898</v>
      </c>
      <c r="D156" s="9" t="s">
        <v>809</v>
      </c>
      <c r="E156" s="10" t="s">
        <v>982</v>
      </c>
      <c r="F156" s="10" t="s">
        <v>983</v>
      </c>
      <c r="G156" s="11" t="s">
        <v>307</v>
      </c>
      <c r="H156" s="12" t="s">
        <v>984</v>
      </c>
      <c r="I156" s="11" t="s">
        <v>307</v>
      </c>
      <c r="J156" s="12" t="s">
        <v>984</v>
      </c>
      <c r="K156" s="11"/>
      <c r="L156" s="12"/>
      <c r="M156" s="11" t="s">
        <v>219</v>
      </c>
      <c r="N156" s="12" t="s">
        <v>985</v>
      </c>
      <c r="O156" s="11"/>
      <c r="P156" s="12"/>
      <c r="Q156" s="11" t="s">
        <v>126</v>
      </c>
      <c r="R156" s="12" t="s">
        <v>986</v>
      </c>
      <c r="S156" s="13">
        <f>47349.62</f>
        <v>47349.62</v>
      </c>
      <c r="T156" s="14">
        <f>3658</f>
        <v>3658</v>
      </c>
      <c r="U156" s="14"/>
      <c r="V156" s="14">
        <v>34</v>
      </c>
      <c r="W156" s="14">
        <f>8628077500</f>
        <v>8628077500</v>
      </c>
      <c r="X156" s="14"/>
      <c r="Y156" s="14">
        <v>83827500</v>
      </c>
      <c r="Z156" s="11"/>
      <c r="AA156" s="15">
        <f>338</f>
        <v>338</v>
      </c>
      <c r="AB156" s="15" t="str">
        <f t="shared" si="5"/>
        <v>－</v>
      </c>
      <c r="AC156" s="16">
        <f>53</f>
        <v>53</v>
      </c>
    </row>
    <row r="157" spans="1:29">
      <c r="A157" s="8" t="s">
        <v>46</v>
      </c>
      <c r="B157" s="9" t="s">
        <v>897</v>
      </c>
      <c r="C157" s="9" t="s">
        <v>898</v>
      </c>
      <c r="D157" s="9" t="s">
        <v>987</v>
      </c>
      <c r="E157" s="10" t="s">
        <v>988</v>
      </c>
      <c r="F157" s="10" t="s">
        <v>989</v>
      </c>
      <c r="G157" s="11" t="s">
        <v>312</v>
      </c>
      <c r="H157" s="12" t="s">
        <v>990</v>
      </c>
      <c r="I157" s="11" t="s">
        <v>882</v>
      </c>
      <c r="J157" s="12" t="s">
        <v>991</v>
      </c>
      <c r="K157" s="11"/>
      <c r="L157" s="12"/>
      <c r="M157" s="11" t="s">
        <v>219</v>
      </c>
      <c r="N157" s="12" t="s">
        <v>992</v>
      </c>
      <c r="O157" s="11"/>
      <c r="P157" s="12"/>
      <c r="Q157" s="11" t="s">
        <v>126</v>
      </c>
      <c r="R157" s="12" t="s">
        <v>993</v>
      </c>
      <c r="S157" s="13">
        <f>44681.82</f>
        <v>44681.82</v>
      </c>
      <c r="T157" s="14">
        <f>836</f>
        <v>836</v>
      </c>
      <c r="U157" s="14"/>
      <c r="V157" s="14"/>
      <c r="W157" s="14">
        <f>1859907000</f>
        <v>1859907000</v>
      </c>
      <c r="X157" s="14"/>
      <c r="Y157" s="14"/>
      <c r="Z157" s="11"/>
      <c r="AA157" s="15">
        <f>198</f>
        <v>198</v>
      </c>
      <c r="AB157" s="15" t="str">
        <f t="shared" si="5"/>
        <v>－</v>
      </c>
      <c r="AC157" s="16">
        <f>11</f>
        <v>11</v>
      </c>
    </row>
    <row r="158" spans="1:29">
      <c r="A158" s="8" t="s">
        <v>46</v>
      </c>
      <c r="B158" s="9" t="s">
        <v>994</v>
      </c>
      <c r="C158" s="9" t="s">
        <v>995</v>
      </c>
      <c r="D158" s="9" t="s">
        <v>49</v>
      </c>
      <c r="E158" s="10" t="s">
        <v>899</v>
      </c>
      <c r="F158" s="10" t="s">
        <v>900</v>
      </c>
      <c r="G158" s="11"/>
      <c r="H158" s="12" t="s">
        <v>261</v>
      </c>
      <c r="I158" s="11"/>
      <c r="J158" s="12" t="s">
        <v>261</v>
      </c>
      <c r="K158" s="11"/>
      <c r="L158" s="12"/>
      <c r="M158" s="11"/>
      <c r="N158" s="12" t="s">
        <v>261</v>
      </c>
      <c r="O158" s="11"/>
      <c r="P158" s="12"/>
      <c r="Q158" s="11"/>
      <c r="R158" s="12" t="s">
        <v>261</v>
      </c>
      <c r="S158" s="13">
        <f>64000</f>
        <v>64000</v>
      </c>
      <c r="T158" s="14" t="str">
        <f t="shared" ref="T158:T187" si="9">"－"</f>
        <v>－</v>
      </c>
      <c r="U158" s="14"/>
      <c r="V158" s="14"/>
      <c r="W158" s="14" t="str">
        <f t="shared" ref="W158:W187" si="10">"－"</f>
        <v>－</v>
      </c>
      <c r="X158" s="14"/>
      <c r="Y158" s="14"/>
      <c r="Z158" s="11" t="s">
        <v>60</v>
      </c>
      <c r="AA158" s="15" t="str">
        <f t="shared" ref="AA158:AA187" si="11">"－"</f>
        <v>－</v>
      </c>
      <c r="AB158" s="15" t="str">
        <f t="shared" si="5"/>
        <v>－</v>
      </c>
      <c r="AC158" s="16" t="str">
        <f t="shared" ref="AC158:AC187" si="12">"－"</f>
        <v>－</v>
      </c>
    </row>
    <row r="159" spans="1:29">
      <c r="A159" s="8" t="s">
        <v>46</v>
      </c>
      <c r="B159" s="9" t="s">
        <v>994</v>
      </c>
      <c r="C159" s="9" t="s">
        <v>995</v>
      </c>
      <c r="D159" s="9" t="s">
        <v>61</v>
      </c>
      <c r="E159" s="10" t="s">
        <v>906</v>
      </c>
      <c r="F159" s="10" t="s">
        <v>907</v>
      </c>
      <c r="G159" s="11"/>
      <c r="H159" s="12" t="s">
        <v>261</v>
      </c>
      <c r="I159" s="11"/>
      <c r="J159" s="12" t="s">
        <v>261</v>
      </c>
      <c r="K159" s="11"/>
      <c r="L159" s="12"/>
      <c r="M159" s="11"/>
      <c r="N159" s="12" t="s">
        <v>261</v>
      </c>
      <c r="O159" s="11"/>
      <c r="P159" s="12"/>
      <c r="Q159" s="11"/>
      <c r="R159" s="12" t="s">
        <v>261</v>
      </c>
      <c r="S159" s="13">
        <f>64000</f>
        <v>64000</v>
      </c>
      <c r="T159" s="14" t="str">
        <f t="shared" si="9"/>
        <v>－</v>
      </c>
      <c r="U159" s="14"/>
      <c r="V159" s="14"/>
      <c r="W159" s="14" t="str">
        <f t="shared" si="10"/>
        <v>－</v>
      </c>
      <c r="X159" s="14"/>
      <c r="Y159" s="14"/>
      <c r="Z159" s="11" t="s">
        <v>60</v>
      </c>
      <c r="AA159" s="15" t="str">
        <f t="shared" si="11"/>
        <v>－</v>
      </c>
      <c r="AB159" s="15" t="str">
        <f t="shared" si="5"/>
        <v>－</v>
      </c>
      <c r="AC159" s="16" t="str">
        <f t="shared" si="12"/>
        <v>－</v>
      </c>
    </row>
    <row r="160" spans="1:29">
      <c r="A160" s="8" t="s">
        <v>46</v>
      </c>
      <c r="B160" s="9" t="s">
        <v>994</v>
      </c>
      <c r="C160" s="9" t="s">
        <v>995</v>
      </c>
      <c r="D160" s="9" t="s">
        <v>74</v>
      </c>
      <c r="E160" s="10" t="s">
        <v>913</v>
      </c>
      <c r="F160" s="10" t="s">
        <v>914</v>
      </c>
      <c r="G160" s="11"/>
      <c r="H160" s="12" t="s">
        <v>261</v>
      </c>
      <c r="I160" s="11"/>
      <c r="J160" s="12" t="s">
        <v>261</v>
      </c>
      <c r="K160" s="11"/>
      <c r="L160" s="12"/>
      <c r="M160" s="11"/>
      <c r="N160" s="12" t="s">
        <v>261</v>
      </c>
      <c r="O160" s="11"/>
      <c r="P160" s="12"/>
      <c r="Q160" s="11"/>
      <c r="R160" s="12" t="s">
        <v>261</v>
      </c>
      <c r="S160" s="13">
        <f>64000</f>
        <v>64000</v>
      </c>
      <c r="T160" s="14" t="str">
        <f t="shared" si="9"/>
        <v>－</v>
      </c>
      <c r="U160" s="14"/>
      <c r="V160" s="14"/>
      <c r="W160" s="14" t="str">
        <f t="shared" si="10"/>
        <v>－</v>
      </c>
      <c r="X160" s="14"/>
      <c r="Y160" s="14"/>
      <c r="Z160" s="11" t="s">
        <v>60</v>
      </c>
      <c r="AA160" s="15" t="str">
        <f t="shared" si="11"/>
        <v>－</v>
      </c>
      <c r="AB160" s="15" t="str">
        <f t="shared" si="5"/>
        <v>－</v>
      </c>
      <c r="AC160" s="16" t="str">
        <f t="shared" si="12"/>
        <v>－</v>
      </c>
    </row>
    <row r="161" spans="1:29">
      <c r="A161" s="8" t="s">
        <v>46</v>
      </c>
      <c r="B161" s="9" t="s">
        <v>994</v>
      </c>
      <c r="C161" s="9" t="s">
        <v>995</v>
      </c>
      <c r="D161" s="9" t="s">
        <v>81</v>
      </c>
      <c r="E161" s="10" t="s">
        <v>923</v>
      </c>
      <c r="F161" s="10" t="s">
        <v>924</v>
      </c>
      <c r="G161" s="11"/>
      <c r="H161" s="12" t="s">
        <v>261</v>
      </c>
      <c r="I161" s="11"/>
      <c r="J161" s="12" t="s">
        <v>261</v>
      </c>
      <c r="K161" s="11"/>
      <c r="L161" s="12"/>
      <c r="M161" s="11"/>
      <c r="N161" s="12" t="s">
        <v>261</v>
      </c>
      <c r="O161" s="11"/>
      <c r="P161" s="12"/>
      <c r="Q161" s="11"/>
      <c r="R161" s="12" t="s">
        <v>261</v>
      </c>
      <c r="S161" s="13">
        <f>64000</f>
        <v>64000</v>
      </c>
      <c r="T161" s="14" t="str">
        <f t="shared" si="9"/>
        <v>－</v>
      </c>
      <c r="U161" s="14"/>
      <c r="V161" s="14"/>
      <c r="W161" s="14" t="str">
        <f t="shared" si="10"/>
        <v>－</v>
      </c>
      <c r="X161" s="14"/>
      <c r="Y161" s="14"/>
      <c r="Z161" s="11" t="s">
        <v>60</v>
      </c>
      <c r="AA161" s="15" t="str">
        <f t="shared" si="11"/>
        <v>－</v>
      </c>
      <c r="AB161" s="15" t="str">
        <f t="shared" si="5"/>
        <v>－</v>
      </c>
      <c r="AC161" s="16" t="str">
        <f t="shared" si="12"/>
        <v>－</v>
      </c>
    </row>
    <row r="162" spans="1:29">
      <c r="A162" s="8" t="s">
        <v>46</v>
      </c>
      <c r="B162" s="9" t="s">
        <v>994</v>
      </c>
      <c r="C162" s="9" t="s">
        <v>995</v>
      </c>
      <c r="D162" s="9" t="s">
        <v>93</v>
      </c>
      <c r="E162" s="10" t="s">
        <v>931</v>
      </c>
      <c r="F162" s="10" t="s">
        <v>932</v>
      </c>
      <c r="G162" s="11"/>
      <c r="H162" s="12" t="s">
        <v>261</v>
      </c>
      <c r="I162" s="11"/>
      <c r="J162" s="12" t="s">
        <v>261</v>
      </c>
      <c r="K162" s="11"/>
      <c r="L162" s="12"/>
      <c r="M162" s="11"/>
      <c r="N162" s="12" t="s">
        <v>261</v>
      </c>
      <c r="O162" s="11"/>
      <c r="P162" s="12"/>
      <c r="Q162" s="11"/>
      <c r="R162" s="12" t="s">
        <v>261</v>
      </c>
      <c r="S162" s="13">
        <f>64000</f>
        <v>64000</v>
      </c>
      <c r="T162" s="14" t="str">
        <f t="shared" si="9"/>
        <v>－</v>
      </c>
      <c r="U162" s="14"/>
      <c r="V162" s="14"/>
      <c r="W162" s="14" t="str">
        <f t="shared" si="10"/>
        <v>－</v>
      </c>
      <c r="X162" s="14"/>
      <c r="Y162" s="14"/>
      <c r="Z162" s="11" t="s">
        <v>60</v>
      </c>
      <c r="AA162" s="15" t="str">
        <f t="shared" si="11"/>
        <v>－</v>
      </c>
      <c r="AB162" s="15" t="str">
        <f t="shared" si="5"/>
        <v>－</v>
      </c>
      <c r="AC162" s="16" t="str">
        <f t="shared" si="12"/>
        <v>－</v>
      </c>
    </row>
    <row r="163" spans="1:29">
      <c r="A163" s="8" t="s">
        <v>46</v>
      </c>
      <c r="B163" s="9" t="s">
        <v>994</v>
      </c>
      <c r="C163" s="9" t="s">
        <v>995</v>
      </c>
      <c r="D163" s="9" t="s">
        <v>105</v>
      </c>
      <c r="E163" s="10" t="s">
        <v>941</v>
      </c>
      <c r="F163" s="10" t="s">
        <v>942</v>
      </c>
      <c r="G163" s="11"/>
      <c r="H163" s="12" t="s">
        <v>261</v>
      </c>
      <c r="I163" s="11"/>
      <c r="J163" s="12" t="s">
        <v>261</v>
      </c>
      <c r="K163" s="11"/>
      <c r="L163" s="12"/>
      <c r="M163" s="11"/>
      <c r="N163" s="12" t="s">
        <v>261</v>
      </c>
      <c r="O163" s="11"/>
      <c r="P163" s="12"/>
      <c r="Q163" s="11"/>
      <c r="R163" s="12" t="s">
        <v>261</v>
      </c>
      <c r="S163" s="13">
        <f>64000</f>
        <v>64000</v>
      </c>
      <c r="T163" s="14" t="str">
        <f t="shared" si="9"/>
        <v>－</v>
      </c>
      <c r="U163" s="14"/>
      <c r="V163" s="14"/>
      <c r="W163" s="14" t="str">
        <f t="shared" si="10"/>
        <v>－</v>
      </c>
      <c r="X163" s="14"/>
      <c r="Y163" s="14"/>
      <c r="Z163" s="11" t="s">
        <v>60</v>
      </c>
      <c r="AA163" s="15" t="str">
        <f t="shared" si="11"/>
        <v>－</v>
      </c>
      <c r="AB163" s="15" t="str">
        <f t="shared" si="5"/>
        <v>－</v>
      </c>
      <c r="AC163" s="16" t="str">
        <f t="shared" si="12"/>
        <v>－</v>
      </c>
    </row>
    <row r="164" spans="1:29">
      <c r="A164" s="8" t="s">
        <v>46</v>
      </c>
      <c r="B164" s="9" t="s">
        <v>994</v>
      </c>
      <c r="C164" s="9" t="s">
        <v>995</v>
      </c>
      <c r="D164" s="9" t="s">
        <v>115</v>
      </c>
      <c r="E164" s="10" t="s">
        <v>950</v>
      </c>
      <c r="F164" s="10" t="s">
        <v>951</v>
      </c>
      <c r="G164" s="11"/>
      <c r="H164" s="12" t="s">
        <v>261</v>
      </c>
      <c r="I164" s="11"/>
      <c r="J164" s="12" t="s">
        <v>261</v>
      </c>
      <c r="K164" s="11"/>
      <c r="L164" s="12"/>
      <c r="M164" s="11"/>
      <c r="N164" s="12" t="s">
        <v>261</v>
      </c>
      <c r="O164" s="11"/>
      <c r="P164" s="12"/>
      <c r="Q164" s="11"/>
      <c r="R164" s="12" t="s">
        <v>261</v>
      </c>
      <c r="S164" s="13">
        <f>64000</f>
        <v>64000</v>
      </c>
      <c r="T164" s="14" t="str">
        <f t="shared" si="9"/>
        <v>－</v>
      </c>
      <c r="U164" s="14"/>
      <c r="V164" s="14"/>
      <c r="W164" s="14" t="str">
        <f t="shared" si="10"/>
        <v>－</v>
      </c>
      <c r="X164" s="14"/>
      <c r="Y164" s="14"/>
      <c r="Z164" s="11"/>
      <c r="AA164" s="15" t="str">
        <f t="shared" si="11"/>
        <v>－</v>
      </c>
      <c r="AB164" s="15" t="str">
        <f t="shared" si="5"/>
        <v>－</v>
      </c>
      <c r="AC164" s="16" t="str">
        <f t="shared" si="12"/>
        <v>－</v>
      </c>
    </row>
    <row r="165" spans="1:29">
      <c r="A165" s="8" t="s">
        <v>46</v>
      </c>
      <c r="B165" s="9" t="s">
        <v>994</v>
      </c>
      <c r="C165" s="9" t="s">
        <v>995</v>
      </c>
      <c r="D165" s="9" t="s">
        <v>128</v>
      </c>
      <c r="E165" s="10" t="s">
        <v>959</v>
      </c>
      <c r="F165" s="10" t="s">
        <v>960</v>
      </c>
      <c r="G165" s="11"/>
      <c r="H165" s="12" t="s">
        <v>261</v>
      </c>
      <c r="I165" s="11"/>
      <c r="J165" s="12" t="s">
        <v>261</v>
      </c>
      <c r="K165" s="11"/>
      <c r="L165" s="12"/>
      <c r="M165" s="11"/>
      <c r="N165" s="12" t="s">
        <v>261</v>
      </c>
      <c r="O165" s="11"/>
      <c r="P165" s="12"/>
      <c r="Q165" s="11"/>
      <c r="R165" s="12" t="s">
        <v>261</v>
      </c>
      <c r="S165" s="13">
        <f>64000</f>
        <v>64000</v>
      </c>
      <c r="T165" s="14" t="str">
        <f t="shared" si="9"/>
        <v>－</v>
      </c>
      <c r="U165" s="14"/>
      <c r="V165" s="14"/>
      <c r="W165" s="14" t="str">
        <f t="shared" si="10"/>
        <v>－</v>
      </c>
      <c r="X165" s="14"/>
      <c r="Y165" s="14"/>
      <c r="Z165" s="11"/>
      <c r="AA165" s="15" t="str">
        <f t="shared" si="11"/>
        <v>－</v>
      </c>
      <c r="AB165" s="15" t="str">
        <f t="shared" si="5"/>
        <v>－</v>
      </c>
      <c r="AC165" s="16" t="str">
        <f t="shared" si="12"/>
        <v>－</v>
      </c>
    </row>
    <row r="166" spans="1:29">
      <c r="A166" s="8" t="s">
        <v>46</v>
      </c>
      <c r="B166" s="9" t="s">
        <v>994</v>
      </c>
      <c r="C166" s="9" t="s">
        <v>995</v>
      </c>
      <c r="D166" s="9" t="s">
        <v>140</v>
      </c>
      <c r="E166" s="10" t="s">
        <v>967</v>
      </c>
      <c r="F166" s="10" t="s">
        <v>968</v>
      </c>
      <c r="G166" s="11"/>
      <c r="H166" s="12" t="s">
        <v>261</v>
      </c>
      <c r="I166" s="11"/>
      <c r="J166" s="12" t="s">
        <v>261</v>
      </c>
      <c r="K166" s="11"/>
      <c r="L166" s="12"/>
      <c r="M166" s="11"/>
      <c r="N166" s="12" t="s">
        <v>261</v>
      </c>
      <c r="O166" s="11"/>
      <c r="P166" s="12"/>
      <c r="Q166" s="11"/>
      <c r="R166" s="12" t="s">
        <v>261</v>
      </c>
      <c r="S166" s="13">
        <f>64000</f>
        <v>64000</v>
      </c>
      <c r="T166" s="14" t="str">
        <f t="shared" si="9"/>
        <v>－</v>
      </c>
      <c r="U166" s="14"/>
      <c r="V166" s="14"/>
      <c r="W166" s="14" t="str">
        <f t="shared" si="10"/>
        <v>－</v>
      </c>
      <c r="X166" s="14"/>
      <c r="Y166" s="14"/>
      <c r="Z166" s="11"/>
      <c r="AA166" s="15" t="str">
        <f t="shared" si="11"/>
        <v>－</v>
      </c>
      <c r="AB166" s="15" t="str">
        <f t="shared" si="5"/>
        <v>－</v>
      </c>
      <c r="AC166" s="16" t="str">
        <f t="shared" si="12"/>
        <v>－</v>
      </c>
    </row>
    <row r="167" spans="1:29">
      <c r="A167" s="8" t="s">
        <v>46</v>
      </c>
      <c r="B167" s="9" t="s">
        <v>994</v>
      </c>
      <c r="C167" s="9" t="s">
        <v>995</v>
      </c>
      <c r="D167" s="9" t="s">
        <v>154</v>
      </c>
      <c r="E167" s="10" t="s">
        <v>975</v>
      </c>
      <c r="F167" s="10" t="s">
        <v>976</v>
      </c>
      <c r="G167" s="11"/>
      <c r="H167" s="12" t="s">
        <v>261</v>
      </c>
      <c r="I167" s="11"/>
      <c r="J167" s="12" t="s">
        <v>261</v>
      </c>
      <c r="K167" s="11"/>
      <c r="L167" s="12"/>
      <c r="M167" s="11"/>
      <c r="N167" s="12" t="s">
        <v>261</v>
      </c>
      <c r="O167" s="11"/>
      <c r="P167" s="12"/>
      <c r="Q167" s="11"/>
      <c r="R167" s="12" t="s">
        <v>261</v>
      </c>
      <c r="S167" s="13">
        <f>64000</f>
        <v>64000</v>
      </c>
      <c r="T167" s="14" t="str">
        <f t="shared" si="9"/>
        <v>－</v>
      </c>
      <c r="U167" s="14"/>
      <c r="V167" s="14"/>
      <c r="W167" s="14" t="str">
        <f t="shared" si="10"/>
        <v>－</v>
      </c>
      <c r="X167" s="14"/>
      <c r="Y167" s="14"/>
      <c r="Z167" s="11"/>
      <c r="AA167" s="15" t="str">
        <f t="shared" si="11"/>
        <v>－</v>
      </c>
      <c r="AB167" s="15" t="str">
        <f t="shared" ref="AB167:AB187" si="13">"－"</f>
        <v>－</v>
      </c>
      <c r="AC167" s="16" t="str">
        <f t="shared" si="12"/>
        <v>－</v>
      </c>
    </row>
    <row r="168" spans="1:29">
      <c r="A168" s="8" t="s">
        <v>46</v>
      </c>
      <c r="B168" s="9" t="s">
        <v>994</v>
      </c>
      <c r="C168" s="9" t="s">
        <v>995</v>
      </c>
      <c r="D168" s="9" t="s">
        <v>165</v>
      </c>
      <c r="E168" s="10" t="s">
        <v>982</v>
      </c>
      <c r="F168" s="10" t="s">
        <v>983</v>
      </c>
      <c r="G168" s="11"/>
      <c r="H168" s="12" t="s">
        <v>261</v>
      </c>
      <c r="I168" s="11"/>
      <c r="J168" s="12" t="s">
        <v>261</v>
      </c>
      <c r="K168" s="11"/>
      <c r="L168" s="12"/>
      <c r="M168" s="11"/>
      <c r="N168" s="12" t="s">
        <v>261</v>
      </c>
      <c r="O168" s="11"/>
      <c r="P168" s="12"/>
      <c r="Q168" s="11"/>
      <c r="R168" s="12" t="s">
        <v>261</v>
      </c>
      <c r="S168" s="13">
        <f>64000</f>
        <v>64000</v>
      </c>
      <c r="T168" s="14" t="str">
        <f t="shared" si="9"/>
        <v>－</v>
      </c>
      <c r="U168" s="14"/>
      <c r="V168" s="14"/>
      <c r="W168" s="14" t="str">
        <f t="shared" si="10"/>
        <v>－</v>
      </c>
      <c r="X168" s="14"/>
      <c r="Y168" s="14"/>
      <c r="Z168" s="11"/>
      <c r="AA168" s="15" t="str">
        <f t="shared" si="11"/>
        <v>－</v>
      </c>
      <c r="AB168" s="15" t="str">
        <f t="shared" si="13"/>
        <v>－</v>
      </c>
      <c r="AC168" s="16" t="str">
        <f t="shared" si="12"/>
        <v>－</v>
      </c>
    </row>
    <row r="169" spans="1:29">
      <c r="A169" s="8" t="s">
        <v>46</v>
      </c>
      <c r="B169" s="9" t="s">
        <v>994</v>
      </c>
      <c r="C169" s="9" t="s">
        <v>995</v>
      </c>
      <c r="D169" s="9" t="s">
        <v>176</v>
      </c>
      <c r="E169" s="10" t="s">
        <v>988</v>
      </c>
      <c r="F169" s="10" t="s">
        <v>989</v>
      </c>
      <c r="G169" s="11"/>
      <c r="H169" s="12" t="s">
        <v>261</v>
      </c>
      <c r="I169" s="11"/>
      <c r="J169" s="12" t="s">
        <v>261</v>
      </c>
      <c r="K169" s="11"/>
      <c r="L169" s="12"/>
      <c r="M169" s="11"/>
      <c r="N169" s="12" t="s">
        <v>261</v>
      </c>
      <c r="O169" s="11"/>
      <c r="P169" s="12"/>
      <c r="Q169" s="11"/>
      <c r="R169" s="12" t="s">
        <v>261</v>
      </c>
      <c r="S169" s="13">
        <f>64000</f>
        <v>64000</v>
      </c>
      <c r="T169" s="14" t="str">
        <f t="shared" si="9"/>
        <v>－</v>
      </c>
      <c r="U169" s="14"/>
      <c r="V169" s="14"/>
      <c r="W169" s="14" t="str">
        <f t="shared" si="10"/>
        <v>－</v>
      </c>
      <c r="X169" s="14"/>
      <c r="Y169" s="14"/>
      <c r="Z169" s="11"/>
      <c r="AA169" s="15" t="str">
        <f t="shared" si="11"/>
        <v>－</v>
      </c>
      <c r="AB169" s="15" t="str">
        <f t="shared" si="13"/>
        <v>－</v>
      </c>
      <c r="AC169" s="16" t="str">
        <f t="shared" si="12"/>
        <v>－</v>
      </c>
    </row>
    <row r="170" spans="1:29">
      <c r="A170" s="8" t="s">
        <v>46</v>
      </c>
      <c r="B170" s="9" t="s">
        <v>996</v>
      </c>
      <c r="C170" s="9" t="s">
        <v>997</v>
      </c>
      <c r="D170" s="9" t="s">
        <v>537</v>
      </c>
      <c r="E170" s="10" t="s">
        <v>998</v>
      </c>
      <c r="F170" s="10" t="s">
        <v>744</v>
      </c>
      <c r="G170" s="11"/>
      <c r="H170" s="12" t="s">
        <v>261</v>
      </c>
      <c r="I170" s="11"/>
      <c r="J170" s="12" t="s">
        <v>261</v>
      </c>
      <c r="K170" s="11"/>
      <c r="L170" s="12"/>
      <c r="M170" s="11"/>
      <c r="N170" s="12" t="s">
        <v>261</v>
      </c>
      <c r="O170" s="11"/>
      <c r="P170" s="12"/>
      <c r="Q170" s="11"/>
      <c r="R170" s="12" t="s">
        <v>261</v>
      </c>
      <c r="S170" s="13">
        <f>12300</f>
        <v>12300</v>
      </c>
      <c r="T170" s="14" t="str">
        <f t="shared" si="9"/>
        <v>－</v>
      </c>
      <c r="U170" s="14"/>
      <c r="V170" s="14"/>
      <c r="W170" s="14" t="str">
        <f t="shared" si="10"/>
        <v>－</v>
      </c>
      <c r="X170" s="14"/>
      <c r="Y170" s="14"/>
      <c r="Z170" s="11" t="s">
        <v>60</v>
      </c>
      <c r="AA170" s="15" t="str">
        <f t="shared" si="11"/>
        <v>－</v>
      </c>
      <c r="AB170" s="15" t="str">
        <f t="shared" si="13"/>
        <v>－</v>
      </c>
      <c r="AC170" s="16" t="str">
        <f t="shared" si="12"/>
        <v>－</v>
      </c>
    </row>
    <row r="171" spans="1:29">
      <c r="A171" s="8" t="s">
        <v>46</v>
      </c>
      <c r="B171" s="9" t="s">
        <v>996</v>
      </c>
      <c r="C171" s="9" t="s">
        <v>997</v>
      </c>
      <c r="D171" s="9" t="s">
        <v>49</v>
      </c>
      <c r="E171" s="10" t="s">
        <v>82</v>
      </c>
      <c r="F171" s="10" t="s">
        <v>51</v>
      </c>
      <c r="G171" s="11"/>
      <c r="H171" s="12" t="s">
        <v>261</v>
      </c>
      <c r="I171" s="11"/>
      <c r="J171" s="12" t="s">
        <v>261</v>
      </c>
      <c r="K171" s="11"/>
      <c r="L171" s="12"/>
      <c r="M171" s="11"/>
      <c r="N171" s="12" t="s">
        <v>261</v>
      </c>
      <c r="O171" s="11"/>
      <c r="P171" s="12"/>
      <c r="Q171" s="11"/>
      <c r="R171" s="12" t="s">
        <v>261</v>
      </c>
      <c r="S171" s="13">
        <f>12300</f>
        <v>12300</v>
      </c>
      <c r="T171" s="14" t="str">
        <f t="shared" si="9"/>
        <v>－</v>
      </c>
      <c r="U171" s="14"/>
      <c r="V171" s="14"/>
      <c r="W171" s="14" t="str">
        <f t="shared" si="10"/>
        <v>－</v>
      </c>
      <c r="X171" s="14"/>
      <c r="Y171" s="14"/>
      <c r="Z171" s="11" t="s">
        <v>60</v>
      </c>
      <c r="AA171" s="15" t="str">
        <f t="shared" si="11"/>
        <v>－</v>
      </c>
      <c r="AB171" s="15" t="str">
        <f t="shared" si="13"/>
        <v>－</v>
      </c>
      <c r="AC171" s="16" t="str">
        <f t="shared" si="12"/>
        <v>－</v>
      </c>
    </row>
    <row r="172" spans="1:29">
      <c r="A172" s="8" t="s">
        <v>46</v>
      </c>
      <c r="B172" s="9" t="s">
        <v>996</v>
      </c>
      <c r="C172" s="9" t="s">
        <v>997</v>
      </c>
      <c r="D172" s="9" t="s">
        <v>548</v>
      </c>
      <c r="E172" s="10" t="s">
        <v>999</v>
      </c>
      <c r="F172" s="10" t="s">
        <v>756</v>
      </c>
      <c r="G172" s="11"/>
      <c r="H172" s="12" t="s">
        <v>261</v>
      </c>
      <c r="I172" s="11"/>
      <c r="J172" s="12" t="s">
        <v>261</v>
      </c>
      <c r="K172" s="11"/>
      <c r="L172" s="12"/>
      <c r="M172" s="11"/>
      <c r="N172" s="12" t="s">
        <v>261</v>
      </c>
      <c r="O172" s="11"/>
      <c r="P172" s="12"/>
      <c r="Q172" s="11"/>
      <c r="R172" s="12" t="s">
        <v>261</v>
      </c>
      <c r="S172" s="13">
        <f>12300</f>
        <v>12300</v>
      </c>
      <c r="T172" s="14" t="str">
        <f t="shared" si="9"/>
        <v>－</v>
      </c>
      <c r="U172" s="14"/>
      <c r="V172" s="14"/>
      <c r="W172" s="14" t="str">
        <f t="shared" si="10"/>
        <v>－</v>
      </c>
      <c r="X172" s="14"/>
      <c r="Y172" s="14"/>
      <c r="Z172" s="11" t="s">
        <v>60</v>
      </c>
      <c r="AA172" s="15" t="str">
        <f t="shared" si="11"/>
        <v>－</v>
      </c>
      <c r="AB172" s="15" t="str">
        <f t="shared" si="13"/>
        <v>－</v>
      </c>
      <c r="AC172" s="16" t="str">
        <f t="shared" si="12"/>
        <v>－</v>
      </c>
    </row>
    <row r="173" spans="1:29">
      <c r="A173" s="8" t="s">
        <v>46</v>
      </c>
      <c r="B173" s="9" t="s">
        <v>996</v>
      </c>
      <c r="C173" s="9" t="s">
        <v>997</v>
      </c>
      <c r="D173" s="9" t="s">
        <v>61</v>
      </c>
      <c r="E173" s="10" t="s">
        <v>94</v>
      </c>
      <c r="F173" s="10" t="s">
        <v>63</v>
      </c>
      <c r="G173" s="11"/>
      <c r="H173" s="12" t="s">
        <v>261</v>
      </c>
      <c r="I173" s="11"/>
      <c r="J173" s="12" t="s">
        <v>261</v>
      </c>
      <c r="K173" s="11"/>
      <c r="L173" s="12"/>
      <c r="M173" s="11"/>
      <c r="N173" s="12" t="s">
        <v>261</v>
      </c>
      <c r="O173" s="11"/>
      <c r="P173" s="12"/>
      <c r="Q173" s="11"/>
      <c r="R173" s="12" t="s">
        <v>261</v>
      </c>
      <c r="S173" s="13">
        <f>12300</f>
        <v>12300</v>
      </c>
      <c r="T173" s="14" t="str">
        <f t="shared" si="9"/>
        <v>－</v>
      </c>
      <c r="U173" s="14"/>
      <c r="V173" s="14"/>
      <c r="W173" s="14" t="str">
        <f t="shared" si="10"/>
        <v>－</v>
      </c>
      <c r="X173" s="14"/>
      <c r="Y173" s="14"/>
      <c r="Z173" s="11" t="s">
        <v>60</v>
      </c>
      <c r="AA173" s="15" t="str">
        <f t="shared" si="11"/>
        <v>－</v>
      </c>
      <c r="AB173" s="15" t="str">
        <f t="shared" si="13"/>
        <v>－</v>
      </c>
      <c r="AC173" s="16" t="str">
        <f t="shared" si="12"/>
        <v>－</v>
      </c>
    </row>
    <row r="174" spans="1:29">
      <c r="A174" s="8" t="s">
        <v>46</v>
      </c>
      <c r="B174" s="9" t="s">
        <v>996</v>
      </c>
      <c r="C174" s="9" t="s">
        <v>997</v>
      </c>
      <c r="D174" s="9" t="s">
        <v>561</v>
      </c>
      <c r="E174" s="10" t="s">
        <v>1000</v>
      </c>
      <c r="F174" s="10" t="s">
        <v>771</v>
      </c>
      <c r="G174" s="11"/>
      <c r="H174" s="12" t="s">
        <v>261</v>
      </c>
      <c r="I174" s="11"/>
      <c r="J174" s="12" t="s">
        <v>261</v>
      </c>
      <c r="K174" s="11"/>
      <c r="L174" s="12"/>
      <c r="M174" s="11"/>
      <c r="N174" s="12" t="s">
        <v>261</v>
      </c>
      <c r="O174" s="11"/>
      <c r="P174" s="12"/>
      <c r="Q174" s="11"/>
      <c r="R174" s="12" t="s">
        <v>261</v>
      </c>
      <c r="S174" s="13">
        <f>12300</f>
        <v>12300</v>
      </c>
      <c r="T174" s="14" t="str">
        <f t="shared" si="9"/>
        <v>－</v>
      </c>
      <c r="U174" s="14"/>
      <c r="V174" s="14"/>
      <c r="W174" s="14" t="str">
        <f t="shared" si="10"/>
        <v>－</v>
      </c>
      <c r="X174" s="14"/>
      <c r="Y174" s="14"/>
      <c r="Z174" s="11" t="s">
        <v>60</v>
      </c>
      <c r="AA174" s="15" t="str">
        <f t="shared" si="11"/>
        <v>－</v>
      </c>
      <c r="AB174" s="15" t="str">
        <f t="shared" si="13"/>
        <v>－</v>
      </c>
      <c r="AC174" s="16" t="str">
        <f t="shared" si="12"/>
        <v>－</v>
      </c>
    </row>
    <row r="175" spans="1:29">
      <c r="A175" s="8" t="s">
        <v>46</v>
      </c>
      <c r="B175" s="9" t="s">
        <v>996</v>
      </c>
      <c r="C175" s="9" t="s">
        <v>997</v>
      </c>
      <c r="D175" s="9" t="s">
        <v>74</v>
      </c>
      <c r="E175" s="10" t="s">
        <v>737</v>
      </c>
      <c r="F175" s="10" t="s">
        <v>76</v>
      </c>
      <c r="G175" s="11"/>
      <c r="H175" s="12" t="s">
        <v>261</v>
      </c>
      <c r="I175" s="11"/>
      <c r="J175" s="12" t="s">
        <v>261</v>
      </c>
      <c r="K175" s="11"/>
      <c r="L175" s="12"/>
      <c r="M175" s="11"/>
      <c r="N175" s="12" t="s">
        <v>261</v>
      </c>
      <c r="O175" s="11"/>
      <c r="P175" s="12"/>
      <c r="Q175" s="11"/>
      <c r="R175" s="12" t="s">
        <v>261</v>
      </c>
      <c r="S175" s="13">
        <f>12300</f>
        <v>12300</v>
      </c>
      <c r="T175" s="14" t="str">
        <f t="shared" si="9"/>
        <v>－</v>
      </c>
      <c r="U175" s="14"/>
      <c r="V175" s="14"/>
      <c r="W175" s="14" t="str">
        <f t="shared" si="10"/>
        <v>－</v>
      </c>
      <c r="X175" s="14"/>
      <c r="Y175" s="14"/>
      <c r="Z175" s="11" t="s">
        <v>60</v>
      </c>
      <c r="AA175" s="15" t="str">
        <f t="shared" si="11"/>
        <v>－</v>
      </c>
      <c r="AB175" s="15" t="str">
        <f t="shared" si="13"/>
        <v>－</v>
      </c>
      <c r="AC175" s="16" t="str">
        <f t="shared" si="12"/>
        <v>－</v>
      </c>
    </row>
    <row r="176" spans="1:29">
      <c r="A176" s="8" t="s">
        <v>46</v>
      </c>
      <c r="B176" s="9" t="s">
        <v>996</v>
      </c>
      <c r="C176" s="9" t="s">
        <v>997</v>
      </c>
      <c r="D176" s="9" t="s">
        <v>576</v>
      </c>
      <c r="E176" s="10" t="s">
        <v>1001</v>
      </c>
      <c r="F176" s="10" t="s">
        <v>784</v>
      </c>
      <c r="G176" s="11"/>
      <c r="H176" s="12" t="s">
        <v>261</v>
      </c>
      <c r="I176" s="11"/>
      <c r="J176" s="12" t="s">
        <v>261</v>
      </c>
      <c r="K176" s="11"/>
      <c r="L176" s="12"/>
      <c r="M176" s="11"/>
      <c r="N176" s="12" t="s">
        <v>261</v>
      </c>
      <c r="O176" s="11"/>
      <c r="P176" s="12"/>
      <c r="Q176" s="11"/>
      <c r="R176" s="12" t="s">
        <v>261</v>
      </c>
      <c r="S176" s="13">
        <f>12300</f>
        <v>12300</v>
      </c>
      <c r="T176" s="14" t="str">
        <f t="shared" si="9"/>
        <v>－</v>
      </c>
      <c r="U176" s="14"/>
      <c r="V176" s="14"/>
      <c r="W176" s="14" t="str">
        <f t="shared" si="10"/>
        <v>－</v>
      </c>
      <c r="X176" s="14"/>
      <c r="Y176" s="14"/>
      <c r="Z176" s="11" t="s">
        <v>60</v>
      </c>
      <c r="AA176" s="15" t="str">
        <f t="shared" si="11"/>
        <v>－</v>
      </c>
      <c r="AB176" s="15" t="str">
        <f t="shared" si="13"/>
        <v>－</v>
      </c>
      <c r="AC176" s="16" t="str">
        <f t="shared" si="12"/>
        <v>－</v>
      </c>
    </row>
    <row r="177" spans="1:29">
      <c r="A177" s="8" t="s">
        <v>46</v>
      </c>
      <c r="B177" s="9" t="s">
        <v>996</v>
      </c>
      <c r="C177" s="9" t="s">
        <v>997</v>
      </c>
      <c r="D177" s="9" t="s">
        <v>81</v>
      </c>
      <c r="E177" s="10" t="s">
        <v>116</v>
      </c>
      <c r="F177" s="10" t="s">
        <v>83</v>
      </c>
      <c r="G177" s="11"/>
      <c r="H177" s="12" t="s">
        <v>261</v>
      </c>
      <c r="I177" s="11"/>
      <c r="J177" s="12" t="s">
        <v>261</v>
      </c>
      <c r="K177" s="11"/>
      <c r="L177" s="12"/>
      <c r="M177" s="11"/>
      <c r="N177" s="12" t="s">
        <v>261</v>
      </c>
      <c r="O177" s="11"/>
      <c r="P177" s="12"/>
      <c r="Q177" s="11"/>
      <c r="R177" s="12" t="s">
        <v>261</v>
      </c>
      <c r="S177" s="13">
        <f>12300</f>
        <v>12300</v>
      </c>
      <c r="T177" s="14" t="str">
        <f t="shared" si="9"/>
        <v>－</v>
      </c>
      <c r="U177" s="14"/>
      <c r="V177" s="14"/>
      <c r="W177" s="14" t="str">
        <f t="shared" si="10"/>
        <v>－</v>
      </c>
      <c r="X177" s="14"/>
      <c r="Y177" s="14"/>
      <c r="Z177" s="11" t="s">
        <v>60</v>
      </c>
      <c r="AA177" s="15" t="str">
        <f t="shared" si="11"/>
        <v>－</v>
      </c>
      <c r="AB177" s="15" t="str">
        <f t="shared" si="13"/>
        <v>－</v>
      </c>
      <c r="AC177" s="16" t="str">
        <f t="shared" si="12"/>
        <v>－</v>
      </c>
    </row>
    <row r="178" spans="1:29">
      <c r="A178" s="8" t="s">
        <v>46</v>
      </c>
      <c r="B178" s="9" t="s">
        <v>996</v>
      </c>
      <c r="C178" s="9" t="s">
        <v>997</v>
      </c>
      <c r="D178" s="9" t="s">
        <v>596</v>
      </c>
      <c r="E178" s="10" t="s">
        <v>1002</v>
      </c>
      <c r="F178" s="10" t="s">
        <v>796</v>
      </c>
      <c r="G178" s="11"/>
      <c r="H178" s="12" t="s">
        <v>261</v>
      </c>
      <c r="I178" s="11"/>
      <c r="J178" s="12" t="s">
        <v>261</v>
      </c>
      <c r="K178" s="11"/>
      <c r="L178" s="12"/>
      <c r="M178" s="11"/>
      <c r="N178" s="12" t="s">
        <v>261</v>
      </c>
      <c r="O178" s="11"/>
      <c r="P178" s="12"/>
      <c r="Q178" s="11"/>
      <c r="R178" s="12" t="s">
        <v>261</v>
      </c>
      <c r="S178" s="13">
        <f>12300</f>
        <v>12300</v>
      </c>
      <c r="T178" s="14" t="str">
        <f t="shared" si="9"/>
        <v>－</v>
      </c>
      <c r="U178" s="14"/>
      <c r="V178" s="14"/>
      <c r="W178" s="14" t="str">
        <f t="shared" si="10"/>
        <v>－</v>
      </c>
      <c r="X178" s="14"/>
      <c r="Y178" s="14"/>
      <c r="Z178" s="11" t="s">
        <v>60</v>
      </c>
      <c r="AA178" s="15" t="str">
        <f t="shared" si="11"/>
        <v>－</v>
      </c>
      <c r="AB178" s="15" t="str">
        <f t="shared" si="13"/>
        <v>－</v>
      </c>
      <c r="AC178" s="16" t="str">
        <f t="shared" si="12"/>
        <v>－</v>
      </c>
    </row>
    <row r="179" spans="1:29">
      <c r="A179" s="8" t="s">
        <v>46</v>
      </c>
      <c r="B179" s="9" t="s">
        <v>996</v>
      </c>
      <c r="C179" s="9" t="s">
        <v>997</v>
      </c>
      <c r="D179" s="9" t="s">
        <v>93</v>
      </c>
      <c r="E179" s="10" t="s">
        <v>129</v>
      </c>
      <c r="F179" s="10" t="s">
        <v>95</v>
      </c>
      <c r="G179" s="11"/>
      <c r="H179" s="12" t="s">
        <v>261</v>
      </c>
      <c r="I179" s="11"/>
      <c r="J179" s="12" t="s">
        <v>261</v>
      </c>
      <c r="K179" s="11"/>
      <c r="L179" s="12"/>
      <c r="M179" s="11"/>
      <c r="N179" s="12" t="s">
        <v>261</v>
      </c>
      <c r="O179" s="11"/>
      <c r="P179" s="12"/>
      <c r="Q179" s="11"/>
      <c r="R179" s="12" t="s">
        <v>261</v>
      </c>
      <c r="S179" s="13">
        <f>12300</f>
        <v>12300</v>
      </c>
      <c r="T179" s="14" t="str">
        <f t="shared" si="9"/>
        <v>－</v>
      </c>
      <c r="U179" s="14"/>
      <c r="V179" s="14"/>
      <c r="W179" s="14" t="str">
        <f t="shared" si="10"/>
        <v>－</v>
      </c>
      <c r="X179" s="14"/>
      <c r="Y179" s="14"/>
      <c r="Z179" s="11" t="s">
        <v>60</v>
      </c>
      <c r="AA179" s="15" t="str">
        <f t="shared" si="11"/>
        <v>－</v>
      </c>
      <c r="AB179" s="15" t="str">
        <f t="shared" si="13"/>
        <v>－</v>
      </c>
      <c r="AC179" s="16" t="str">
        <f t="shared" si="12"/>
        <v>－</v>
      </c>
    </row>
    <row r="180" spans="1:29">
      <c r="A180" s="8" t="s">
        <v>46</v>
      </c>
      <c r="B180" s="9" t="s">
        <v>996</v>
      </c>
      <c r="C180" s="9" t="s">
        <v>997</v>
      </c>
      <c r="D180" s="9" t="s">
        <v>614</v>
      </c>
      <c r="E180" s="10" t="s">
        <v>1003</v>
      </c>
      <c r="F180" s="10" t="s">
        <v>810</v>
      </c>
      <c r="G180" s="11"/>
      <c r="H180" s="12" t="s">
        <v>261</v>
      </c>
      <c r="I180" s="11"/>
      <c r="J180" s="12" t="s">
        <v>261</v>
      </c>
      <c r="K180" s="11"/>
      <c r="L180" s="12"/>
      <c r="M180" s="11"/>
      <c r="N180" s="12" t="s">
        <v>261</v>
      </c>
      <c r="O180" s="11"/>
      <c r="P180" s="12"/>
      <c r="Q180" s="11"/>
      <c r="R180" s="12" t="s">
        <v>261</v>
      </c>
      <c r="S180" s="13">
        <f>12300</f>
        <v>12300</v>
      </c>
      <c r="T180" s="14" t="str">
        <f t="shared" si="9"/>
        <v>－</v>
      </c>
      <c r="U180" s="14"/>
      <c r="V180" s="14"/>
      <c r="W180" s="14" t="str">
        <f t="shared" si="10"/>
        <v>－</v>
      </c>
      <c r="X180" s="14"/>
      <c r="Y180" s="14"/>
      <c r="Z180" s="11" t="s">
        <v>60</v>
      </c>
      <c r="AA180" s="15" t="str">
        <f t="shared" si="11"/>
        <v>－</v>
      </c>
      <c r="AB180" s="15" t="str">
        <f t="shared" si="13"/>
        <v>－</v>
      </c>
      <c r="AC180" s="16" t="str">
        <f t="shared" si="12"/>
        <v>－</v>
      </c>
    </row>
    <row r="181" spans="1:29">
      <c r="A181" s="8" t="s">
        <v>46</v>
      </c>
      <c r="B181" s="9" t="s">
        <v>996</v>
      </c>
      <c r="C181" s="9" t="s">
        <v>997</v>
      </c>
      <c r="D181" s="9" t="s">
        <v>105</v>
      </c>
      <c r="E181" s="10" t="s">
        <v>141</v>
      </c>
      <c r="F181" s="10" t="s">
        <v>1004</v>
      </c>
      <c r="G181" s="11"/>
      <c r="H181" s="12" t="s">
        <v>261</v>
      </c>
      <c r="I181" s="11"/>
      <c r="J181" s="12" t="s">
        <v>261</v>
      </c>
      <c r="K181" s="11"/>
      <c r="L181" s="12"/>
      <c r="M181" s="11"/>
      <c r="N181" s="12" t="s">
        <v>261</v>
      </c>
      <c r="O181" s="11"/>
      <c r="P181" s="12"/>
      <c r="Q181" s="11"/>
      <c r="R181" s="12" t="s">
        <v>261</v>
      </c>
      <c r="S181" s="13">
        <f>12300</f>
        <v>12300</v>
      </c>
      <c r="T181" s="14" t="str">
        <f t="shared" si="9"/>
        <v>－</v>
      </c>
      <c r="U181" s="14"/>
      <c r="V181" s="14"/>
      <c r="W181" s="14" t="str">
        <f t="shared" si="10"/>
        <v>－</v>
      </c>
      <c r="X181" s="14"/>
      <c r="Y181" s="14"/>
      <c r="Z181" s="11" t="s">
        <v>60</v>
      </c>
      <c r="AA181" s="15" t="str">
        <f t="shared" si="11"/>
        <v>－</v>
      </c>
      <c r="AB181" s="15" t="str">
        <f t="shared" si="13"/>
        <v>－</v>
      </c>
      <c r="AC181" s="16" t="str">
        <f t="shared" si="12"/>
        <v>－</v>
      </c>
    </row>
    <row r="182" spans="1:29">
      <c r="A182" s="8" t="s">
        <v>46</v>
      </c>
      <c r="B182" s="9" t="s">
        <v>996</v>
      </c>
      <c r="C182" s="9" t="s">
        <v>997</v>
      </c>
      <c r="D182" s="9" t="s">
        <v>624</v>
      </c>
      <c r="E182" s="10" t="s">
        <v>1005</v>
      </c>
      <c r="F182" s="10" t="s">
        <v>1006</v>
      </c>
      <c r="G182" s="11"/>
      <c r="H182" s="12" t="s">
        <v>261</v>
      </c>
      <c r="I182" s="11"/>
      <c r="J182" s="12" t="s">
        <v>261</v>
      </c>
      <c r="K182" s="11"/>
      <c r="L182" s="12"/>
      <c r="M182" s="11"/>
      <c r="N182" s="12" t="s">
        <v>261</v>
      </c>
      <c r="O182" s="11"/>
      <c r="P182" s="12"/>
      <c r="Q182" s="11"/>
      <c r="R182" s="12" t="s">
        <v>261</v>
      </c>
      <c r="S182" s="13">
        <f>12300</f>
        <v>12300</v>
      </c>
      <c r="T182" s="14" t="str">
        <f t="shared" si="9"/>
        <v>－</v>
      </c>
      <c r="U182" s="14"/>
      <c r="V182" s="14"/>
      <c r="W182" s="14" t="str">
        <f t="shared" si="10"/>
        <v>－</v>
      </c>
      <c r="X182" s="14"/>
      <c r="Y182" s="14"/>
      <c r="Z182" s="11"/>
      <c r="AA182" s="15" t="str">
        <f t="shared" si="11"/>
        <v>－</v>
      </c>
      <c r="AB182" s="15" t="str">
        <f t="shared" si="13"/>
        <v>－</v>
      </c>
      <c r="AC182" s="16" t="str">
        <f t="shared" si="12"/>
        <v>－</v>
      </c>
    </row>
    <row r="183" spans="1:29">
      <c r="A183" s="8" t="s">
        <v>46</v>
      </c>
      <c r="B183" s="9" t="s">
        <v>996</v>
      </c>
      <c r="C183" s="9" t="s">
        <v>997</v>
      </c>
      <c r="D183" s="9" t="s">
        <v>115</v>
      </c>
      <c r="E183" s="10" t="s">
        <v>155</v>
      </c>
      <c r="F183" s="10" t="s">
        <v>117</v>
      </c>
      <c r="G183" s="11"/>
      <c r="H183" s="12" t="s">
        <v>261</v>
      </c>
      <c r="I183" s="11"/>
      <c r="J183" s="12" t="s">
        <v>261</v>
      </c>
      <c r="K183" s="11"/>
      <c r="L183" s="12"/>
      <c r="M183" s="11"/>
      <c r="N183" s="12" t="s">
        <v>261</v>
      </c>
      <c r="O183" s="11"/>
      <c r="P183" s="12"/>
      <c r="Q183" s="11"/>
      <c r="R183" s="12" t="s">
        <v>261</v>
      </c>
      <c r="S183" s="13">
        <f>12300</f>
        <v>12300</v>
      </c>
      <c r="T183" s="14" t="str">
        <f t="shared" si="9"/>
        <v>－</v>
      </c>
      <c r="U183" s="14"/>
      <c r="V183" s="14"/>
      <c r="W183" s="14" t="str">
        <f t="shared" si="10"/>
        <v>－</v>
      </c>
      <c r="X183" s="14"/>
      <c r="Y183" s="14"/>
      <c r="Z183" s="11"/>
      <c r="AA183" s="15" t="str">
        <f t="shared" si="11"/>
        <v>－</v>
      </c>
      <c r="AB183" s="15" t="str">
        <f t="shared" si="13"/>
        <v>－</v>
      </c>
      <c r="AC183" s="16" t="str">
        <f t="shared" si="12"/>
        <v>－</v>
      </c>
    </row>
    <row r="184" spans="1:29">
      <c r="A184" s="8" t="s">
        <v>46</v>
      </c>
      <c r="B184" s="9" t="s">
        <v>996</v>
      </c>
      <c r="C184" s="9" t="s">
        <v>997</v>
      </c>
      <c r="D184" s="9" t="s">
        <v>634</v>
      </c>
      <c r="E184" s="10" t="s">
        <v>1007</v>
      </c>
      <c r="F184" s="10" t="s">
        <v>1008</v>
      </c>
      <c r="G184" s="11"/>
      <c r="H184" s="12" t="s">
        <v>261</v>
      </c>
      <c r="I184" s="11"/>
      <c r="J184" s="12" t="s">
        <v>261</v>
      </c>
      <c r="K184" s="11"/>
      <c r="L184" s="12"/>
      <c r="M184" s="11"/>
      <c r="N184" s="12" t="s">
        <v>261</v>
      </c>
      <c r="O184" s="11"/>
      <c r="P184" s="12"/>
      <c r="Q184" s="11"/>
      <c r="R184" s="12" t="s">
        <v>261</v>
      </c>
      <c r="S184" s="13">
        <f>12300</f>
        <v>12300</v>
      </c>
      <c r="T184" s="14" t="str">
        <f t="shared" si="9"/>
        <v>－</v>
      </c>
      <c r="U184" s="14"/>
      <c r="V184" s="14"/>
      <c r="W184" s="14" t="str">
        <f t="shared" si="10"/>
        <v>－</v>
      </c>
      <c r="X184" s="14"/>
      <c r="Y184" s="14"/>
      <c r="Z184" s="11"/>
      <c r="AA184" s="15" t="str">
        <f t="shared" si="11"/>
        <v>－</v>
      </c>
      <c r="AB184" s="15" t="str">
        <f t="shared" si="13"/>
        <v>－</v>
      </c>
      <c r="AC184" s="16" t="str">
        <f t="shared" si="12"/>
        <v>－</v>
      </c>
    </row>
    <row r="185" spans="1:29">
      <c r="A185" s="8" t="s">
        <v>46</v>
      </c>
      <c r="B185" s="9" t="s">
        <v>996</v>
      </c>
      <c r="C185" s="9" t="s">
        <v>997</v>
      </c>
      <c r="D185" s="9" t="s">
        <v>128</v>
      </c>
      <c r="E185" s="10" t="s">
        <v>166</v>
      </c>
      <c r="F185" s="10" t="s">
        <v>130</v>
      </c>
      <c r="G185" s="11"/>
      <c r="H185" s="12" t="s">
        <v>261</v>
      </c>
      <c r="I185" s="11"/>
      <c r="J185" s="12" t="s">
        <v>261</v>
      </c>
      <c r="K185" s="11"/>
      <c r="L185" s="12"/>
      <c r="M185" s="11"/>
      <c r="N185" s="12" t="s">
        <v>261</v>
      </c>
      <c r="O185" s="11"/>
      <c r="P185" s="12"/>
      <c r="Q185" s="11"/>
      <c r="R185" s="12" t="s">
        <v>261</v>
      </c>
      <c r="S185" s="13">
        <f>12300</f>
        <v>12300</v>
      </c>
      <c r="T185" s="14" t="str">
        <f t="shared" si="9"/>
        <v>－</v>
      </c>
      <c r="U185" s="14"/>
      <c r="V185" s="14"/>
      <c r="W185" s="14" t="str">
        <f t="shared" si="10"/>
        <v>－</v>
      </c>
      <c r="X185" s="14"/>
      <c r="Y185" s="14"/>
      <c r="Z185" s="11"/>
      <c r="AA185" s="15" t="str">
        <f t="shared" si="11"/>
        <v>－</v>
      </c>
      <c r="AB185" s="15" t="str">
        <f t="shared" si="13"/>
        <v>－</v>
      </c>
      <c r="AC185" s="16" t="str">
        <f t="shared" si="12"/>
        <v>－</v>
      </c>
    </row>
    <row r="186" spans="1:29">
      <c r="A186" s="8" t="s">
        <v>46</v>
      </c>
      <c r="B186" s="9" t="s">
        <v>996</v>
      </c>
      <c r="C186" s="9" t="s">
        <v>997</v>
      </c>
      <c r="D186" s="9" t="s">
        <v>641</v>
      </c>
      <c r="E186" s="10" t="s">
        <v>1009</v>
      </c>
      <c r="F186" s="10" t="s">
        <v>1010</v>
      </c>
      <c r="G186" s="11"/>
      <c r="H186" s="12" t="s">
        <v>261</v>
      </c>
      <c r="I186" s="11"/>
      <c r="J186" s="12" t="s">
        <v>261</v>
      </c>
      <c r="K186" s="11"/>
      <c r="L186" s="12"/>
      <c r="M186" s="11"/>
      <c r="N186" s="12" t="s">
        <v>261</v>
      </c>
      <c r="O186" s="11"/>
      <c r="P186" s="12"/>
      <c r="Q186" s="11"/>
      <c r="R186" s="12" t="s">
        <v>261</v>
      </c>
      <c r="S186" s="13">
        <f>12300</f>
        <v>12300</v>
      </c>
      <c r="T186" s="14" t="str">
        <f t="shared" si="9"/>
        <v>－</v>
      </c>
      <c r="U186" s="14"/>
      <c r="V186" s="14"/>
      <c r="W186" s="14" t="str">
        <f t="shared" si="10"/>
        <v>－</v>
      </c>
      <c r="X186" s="14"/>
      <c r="Y186" s="14"/>
      <c r="Z186" s="11"/>
      <c r="AA186" s="15" t="str">
        <f t="shared" si="11"/>
        <v>－</v>
      </c>
      <c r="AB186" s="15" t="str">
        <f t="shared" si="13"/>
        <v>－</v>
      </c>
      <c r="AC186" s="16" t="str">
        <f t="shared" si="12"/>
        <v>－</v>
      </c>
    </row>
    <row r="187" spans="1:29">
      <c r="A187" s="8" t="s">
        <v>46</v>
      </c>
      <c r="B187" s="9" t="s">
        <v>996</v>
      </c>
      <c r="C187" s="9" t="s">
        <v>997</v>
      </c>
      <c r="D187" s="9" t="s">
        <v>140</v>
      </c>
      <c r="E187" s="10" t="s">
        <v>216</v>
      </c>
      <c r="F187" s="10" t="s">
        <v>142</v>
      </c>
      <c r="G187" s="11"/>
      <c r="H187" s="12" t="s">
        <v>261</v>
      </c>
      <c r="I187" s="11"/>
      <c r="J187" s="12" t="s">
        <v>261</v>
      </c>
      <c r="K187" s="11"/>
      <c r="L187" s="12"/>
      <c r="M187" s="11"/>
      <c r="N187" s="12" t="s">
        <v>261</v>
      </c>
      <c r="O187" s="11"/>
      <c r="P187" s="12"/>
      <c r="Q187" s="11"/>
      <c r="R187" s="12" t="s">
        <v>261</v>
      </c>
      <c r="S187" s="13">
        <f>12300</f>
        <v>12300</v>
      </c>
      <c r="T187" s="14" t="str">
        <f t="shared" si="9"/>
        <v>－</v>
      </c>
      <c r="U187" s="14"/>
      <c r="V187" s="14"/>
      <c r="W187" s="14" t="str">
        <f t="shared" si="10"/>
        <v>－</v>
      </c>
      <c r="X187" s="14"/>
      <c r="Y187" s="14"/>
      <c r="Z187" s="11"/>
      <c r="AA187" s="15" t="str">
        <f t="shared" si="11"/>
        <v>－</v>
      </c>
      <c r="AB187" s="15" t="str">
        <f t="shared" si="13"/>
        <v>－</v>
      </c>
      <c r="AC187" s="16" t="str">
        <f t="shared" si="12"/>
        <v>－</v>
      </c>
    </row>
  </sheetData>
  <mergeCells count="32">
    <mergeCell ref="E6:F6"/>
    <mergeCell ref="D3:D5"/>
    <mergeCell ref="E3:F5"/>
    <mergeCell ref="K4:L4"/>
    <mergeCell ref="AC3:AC5"/>
    <mergeCell ref="T4:T5"/>
    <mergeCell ref="S3:S5"/>
    <mergeCell ref="G4:G5"/>
    <mergeCell ref="AB3:AB5"/>
    <mergeCell ref="Z3:AA5"/>
    <mergeCell ref="X4:X5"/>
    <mergeCell ref="O4:P4"/>
    <mergeCell ref="U4:U5"/>
    <mergeCell ref="W4:W5"/>
    <mergeCell ref="V4:V5"/>
    <mergeCell ref="Y4:Y5"/>
    <mergeCell ref="A1:J1"/>
    <mergeCell ref="A2:C2"/>
    <mergeCell ref="T3:V3"/>
    <mergeCell ref="W3:Y3"/>
    <mergeCell ref="Z6:AA6"/>
    <mergeCell ref="A3:A5"/>
    <mergeCell ref="G3:R3"/>
    <mergeCell ref="I4:I5"/>
    <mergeCell ref="J4:J5"/>
    <mergeCell ref="M4:M5"/>
    <mergeCell ref="N4:N5"/>
    <mergeCell ref="Q4:Q5"/>
    <mergeCell ref="R4:R5"/>
    <mergeCell ref="B3:B6"/>
    <mergeCell ref="C3:C6"/>
    <mergeCell ref="H4:H5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5" fitToHeight="0" orientation="landscape" useFirstPageNumber="1" r:id="rId1"/>
  <headerFooter>
    <oddFooter>&amp;C&amp;P/&amp;N&amp;RCopyright (c) Japan Exchange Group, Inc. All Rights Reserved.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217F0C-48C4-4259-B51F-18E4B51DD62A}">
  <sheetPr>
    <pageSetUpPr fitToPage="1"/>
  </sheetPr>
  <dimension ref="A1:AD288"/>
  <sheetViews>
    <sheetView showGridLines="0" tabSelected="1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 customHeight="1"/>
  <cols>
    <col min="1" max="1" width="10.625" style="2" customWidth="1"/>
    <col min="2" max="2" width="25.75" style="2" bestFit="1" customWidth="1"/>
    <col min="3" max="3" width="34.5" style="2" bestFit="1" customWidth="1"/>
    <col min="4" max="4" width="10.25" style="101" bestFit="1" customWidth="1"/>
    <col min="5" max="6" width="10.75" style="2" customWidth="1"/>
    <col min="7" max="7" width="10.25" style="2" customWidth="1"/>
    <col min="8" max="8" width="6.125" style="2" customWidth="1"/>
    <col min="9" max="9" width="15.25" style="2" customWidth="1"/>
    <col min="10" max="10" width="6.125" style="2" customWidth="1"/>
    <col min="11" max="11" width="15.25" style="2" customWidth="1"/>
    <col min="12" max="12" width="6.125" style="2" customWidth="1"/>
    <col min="13" max="13" width="15.25" style="2" customWidth="1"/>
    <col min="14" max="14" width="6.125" style="2" customWidth="1"/>
    <col min="15" max="15" width="15.25" style="2" customWidth="1"/>
    <col min="16" max="16" width="6.125" style="2" customWidth="1"/>
    <col min="17" max="17" width="15.25" style="2" customWidth="1"/>
    <col min="18" max="18" width="6.125" style="2" customWidth="1"/>
    <col min="19" max="19" width="15.25" style="2" customWidth="1"/>
    <col min="20" max="20" width="15.125" style="2" bestFit="1" customWidth="1"/>
    <col min="21" max="23" width="15" style="2" customWidth="1"/>
    <col min="24" max="26" width="21.25" style="2" customWidth="1"/>
    <col min="27" max="27" width="2.375" style="2" customWidth="1"/>
    <col min="28" max="28" width="15.25" style="2" customWidth="1"/>
    <col min="29" max="29" width="17.625" style="2" customWidth="1"/>
    <col min="30" max="30" width="6.75" style="2" customWidth="1"/>
    <col min="31" max="16384" width="9" style="2"/>
  </cols>
  <sheetData>
    <row r="1" spans="1:30" ht="30" customHeight="1">
      <c r="A1" s="28" t="s">
        <v>26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7"/>
      <c r="Y1" s="7"/>
      <c r="Z1" s="7"/>
      <c r="AA1" s="7"/>
      <c r="AB1" s="7"/>
      <c r="AC1" s="7"/>
      <c r="AD1" s="62"/>
    </row>
    <row r="2" spans="1:30" ht="30" customHeight="1">
      <c r="A2" s="30" t="s">
        <v>27</v>
      </c>
      <c r="B2" s="31"/>
      <c r="C2" s="31"/>
      <c r="D2" s="27"/>
      <c r="E2" s="27"/>
      <c r="F2" s="27"/>
      <c r="G2" s="27"/>
      <c r="H2" s="27"/>
      <c r="I2" s="27"/>
      <c r="J2" s="27"/>
      <c r="K2" s="27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63" t="s">
        <v>1011</v>
      </c>
      <c r="AA2" s="64" t="str">
        <f>A7&amp;"/12/31"</f>
        <v>2022/12/31</v>
      </c>
      <c r="AB2" s="64"/>
      <c r="AC2" s="3"/>
      <c r="AD2" s="65" t="s">
        <v>1012</v>
      </c>
    </row>
    <row r="3" spans="1:30" ht="14.1" customHeight="1">
      <c r="A3" s="66" t="s">
        <v>25</v>
      </c>
      <c r="B3" s="67" t="s">
        <v>24</v>
      </c>
      <c r="C3" s="67" t="s">
        <v>23</v>
      </c>
      <c r="D3" s="60" t="s">
        <v>0</v>
      </c>
      <c r="E3" s="68" t="s">
        <v>4</v>
      </c>
      <c r="F3" s="69"/>
      <c r="G3" s="60" t="s">
        <v>1013</v>
      </c>
      <c r="H3" s="70" t="s">
        <v>22</v>
      </c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60" t="s">
        <v>1014</v>
      </c>
      <c r="U3" s="72" t="s">
        <v>21</v>
      </c>
      <c r="V3" s="73"/>
      <c r="W3" s="74"/>
      <c r="X3" s="72" t="s">
        <v>20</v>
      </c>
      <c r="Y3" s="73"/>
      <c r="Z3" s="74"/>
      <c r="AA3" s="75" t="s">
        <v>1015</v>
      </c>
      <c r="AB3" s="76"/>
      <c r="AC3" s="67" t="s">
        <v>28</v>
      </c>
      <c r="AD3" s="77" t="s">
        <v>1016</v>
      </c>
    </row>
    <row r="4" spans="1:30" ht="9" customHeight="1">
      <c r="A4" s="78"/>
      <c r="B4" s="79"/>
      <c r="C4" s="79"/>
      <c r="D4" s="61"/>
      <c r="E4" s="75"/>
      <c r="F4" s="76"/>
      <c r="G4" s="61"/>
      <c r="H4" s="80" t="s">
        <v>5</v>
      </c>
      <c r="I4" s="45" t="s">
        <v>1017</v>
      </c>
      <c r="J4" s="80" t="s">
        <v>5</v>
      </c>
      <c r="K4" s="43" t="s">
        <v>1018</v>
      </c>
      <c r="L4" s="81" t="s">
        <v>1</v>
      </c>
      <c r="M4" s="81"/>
      <c r="N4" s="80" t="s">
        <v>5</v>
      </c>
      <c r="O4" s="43" t="s">
        <v>1019</v>
      </c>
      <c r="P4" s="81" t="s">
        <v>1</v>
      </c>
      <c r="Q4" s="81"/>
      <c r="R4" s="80" t="s">
        <v>5</v>
      </c>
      <c r="S4" s="45" t="s">
        <v>1020</v>
      </c>
      <c r="T4" s="61"/>
      <c r="U4" s="60" t="s">
        <v>2</v>
      </c>
      <c r="V4" s="61" t="s">
        <v>1021</v>
      </c>
      <c r="W4" s="61" t="s">
        <v>42</v>
      </c>
      <c r="X4" s="60" t="s">
        <v>2</v>
      </c>
      <c r="Y4" s="61" t="s">
        <v>1022</v>
      </c>
      <c r="Z4" s="61" t="s">
        <v>44</v>
      </c>
      <c r="AA4" s="75"/>
      <c r="AB4" s="76"/>
      <c r="AC4" s="79"/>
      <c r="AD4" s="82"/>
    </row>
    <row r="5" spans="1:30" ht="27" customHeight="1">
      <c r="A5" s="78"/>
      <c r="B5" s="79"/>
      <c r="C5" s="79"/>
      <c r="D5" s="61"/>
      <c r="E5" s="83"/>
      <c r="F5" s="46"/>
      <c r="G5" s="61"/>
      <c r="H5" s="84"/>
      <c r="I5" s="46"/>
      <c r="J5" s="84"/>
      <c r="K5" s="44"/>
      <c r="L5" s="85" t="s">
        <v>15</v>
      </c>
      <c r="M5" s="18" t="s">
        <v>1023</v>
      </c>
      <c r="N5" s="84"/>
      <c r="O5" s="44"/>
      <c r="P5" s="85" t="s">
        <v>15</v>
      </c>
      <c r="Q5" s="18" t="s">
        <v>1023</v>
      </c>
      <c r="R5" s="84"/>
      <c r="S5" s="46"/>
      <c r="T5" s="61"/>
      <c r="U5" s="60"/>
      <c r="V5" s="61"/>
      <c r="W5" s="61"/>
      <c r="X5" s="60"/>
      <c r="Y5" s="61"/>
      <c r="Z5" s="61"/>
      <c r="AA5" s="75"/>
      <c r="AB5" s="46"/>
      <c r="AC5" s="60"/>
      <c r="AD5" s="82"/>
    </row>
    <row r="6" spans="1:30" ht="36" customHeight="1">
      <c r="A6" s="86" t="s">
        <v>14</v>
      </c>
      <c r="B6" s="60"/>
      <c r="C6" s="60"/>
      <c r="D6" s="26" t="s">
        <v>3</v>
      </c>
      <c r="E6" s="87" t="s">
        <v>13</v>
      </c>
      <c r="F6" s="88"/>
      <c r="G6" s="26" t="s">
        <v>1024</v>
      </c>
      <c r="H6" s="85" t="s">
        <v>12</v>
      </c>
      <c r="I6" s="19" t="s">
        <v>1025</v>
      </c>
      <c r="J6" s="85" t="s">
        <v>12</v>
      </c>
      <c r="K6" s="18" t="s">
        <v>1026</v>
      </c>
      <c r="L6" s="85" t="s">
        <v>12</v>
      </c>
      <c r="M6" s="18" t="s">
        <v>1027</v>
      </c>
      <c r="N6" s="85" t="s">
        <v>12</v>
      </c>
      <c r="O6" s="18" t="s">
        <v>1028</v>
      </c>
      <c r="P6" s="85" t="s">
        <v>12</v>
      </c>
      <c r="Q6" s="18" t="s">
        <v>1027</v>
      </c>
      <c r="R6" s="85" t="s">
        <v>12</v>
      </c>
      <c r="S6" s="18" t="s">
        <v>1029</v>
      </c>
      <c r="T6" s="26" t="s">
        <v>1030</v>
      </c>
      <c r="U6" s="26" t="s">
        <v>11</v>
      </c>
      <c r="V6" s="26" t="s">
        <v>1031</v>
      </c>
      <c r="W6" s="26" t="s">
        <v>43</v>
      </c>
      <c r="X6" s="26" t="s">
        <v>9</v>
      </c>
      <c r="Y6" s="26" t="s">
        <v>1027</v>
      </c>
      <c r="Z6" s="89" t="s">
        <v>45</v>
      </c>
      <c r="AA6" s="87" t="s">
        <v>7</v>
      </c>
      <c r="AB6" s="88"/>
      <c r="AC6" s="18" t="s">
        <v>29</v>
      </c>
      <c r="AD6" s="90" t="s">
        <v>6</v>
      </c>
    </row>
    <row r="7" spans="1:30" s="101" customFormat="1" ht="13.5" customHeight="1">
      <c r="A7" s="91" t="s">
        <v>46</v>
      </c>
      <c r="B7" s="92" t="s">
        <v>1032</v>
      </c>
      <c r="C7" s="92" t="s">
        <v>1033</v>
      </c>
      <c r="D7" s="92" t="s">
        <v>49</v>
      </c>
      <c r="E7" s="93" t="s">
        <v>1034</v>
      </c>
      <c r="F7" s="93" t="s">
        <v>649</v>
      </c>
      <c r="G7" s="94">
        <v>50</v>
      </c>
      <c r="H7" s="95" t="s">
        <v>546</v>
      </c>
      <c r="I7" s="96" t="s">
        <v>1035</v>
      </c>
      <c r="J7" s="95" t="s">
        <v>651</v>
      </c>
      <c r="K7" s="96" t="s">
        <v>1036</v>
      </c>
      <c r="L7" s="95" t="s">
        <v>653</v>
      </c>
      <c r="M7" s="96" t="s">
        <v>1037</v>
      </c>
      <c r="N7" s="95" t="s">
        <v>582</v>
      </c>
      <c r="O7" s="96" t="s">
        <v>1038</v>
      </c>
      <c r="P7" s="95" t="s">
        <v>651</v>
      </c>
      <c r="Q7" s="96" t="s">
        <v>1039</v>
      </c>
      <c r="R7" s="95" t="s">
        <v>653</v>
      </c>
      <c r="S7" s="96" t="s">
        <v>1040</v>
      </c>
      <c r="T7" s="13">
        <f>72946.67</f>
        <v>72946.67</v>
      </c>
      <c r="U7" s="97">
        <f>122</f>
        <v>122</v>
      </c>
      <c r="V7" s="97">
        <v>95</v>
      </c>
      <c r="W7" s="97"/>
      <c r="X7" s="97">
        <f>455008000</f>
        <v>455008000</v>
      </c>
      <c r="Y7" s="97">
        <v>356455000</v>
      </c>
      <c r="Z7" s="98"/>
      <c r="AA7" s="95" t="s">
        <v>60</v>
      </c>
      <c r="AB7" s="99">
        <f>112</f>
        <v>112</v>
      </c>
      <c r="AC7" s="99" t="str">
        <f t="shared" ref="AC7:AD70" si="0">"－"</f>
        <v>－</v>
      </c>
      <c r="AD7" s="100">
        <f>10</f>
        <v>10</v>
      </c>
    </row>
    <row r="8" spans="1:30">
      <c r="A8" s="91" t="s">
        <v>46</v>
      </c>
      <c r="B8" s="92" t="s">
        <v>1032</v>
      </c>
      <c r="C8" s="92" t="s">
        <v>1033</v>
      </c>
      <c r="D8" s="92" t="s">
        <v>548</v>
      </c>
      <c r="E8" s="93" t="s">
        <v>657</v>
      </c>
      <c r="F8" s="93" t="s">
        <v>1041</v>
      </c>
      <c r="G8" s="94">
        <v>50</v>
      </c>
      <c r="H8" s="95" t="s">
        <v>52</v>
      </c>
      <c r="I8" s="96" t="s">
        <v>1042</v>
      </c>
      <c r="J8" s="95" t="s">
        <v>272</v>
      </c>
      <c r="K8" s="96" t="s">
        <v>1043</v>
      </c>
      <c r="L8" s="95" t="s">
        <v>118</v>
      </c>
      <c r="M8" s="96" t="s">
        <v>1044</v>
      </c>
      <c r="N8" s="95" t="s">
        <v>52</v>
      </c>
      <c r="O8" s="96" t="s">
        <v>1042</v>
      </c>
      <c r="P8" s="95" t="s">
        <v>52</v>
      </c>
      <c r="Q8" s="96" t="s">
        <v>1045</v>
      </c>
      <c r="R8" s="95" t="s">
        <v>123</v>
      </c>
      <c r="S8" s="96" t="s">
        <v>1046</v>
      </c>
      <c r="T8" s="13">
        <f>76033.61</f>
        <v>76033.61</v>
      </c>
      <c r="U8" s="97">
        <f>278</f>
        <v>278</v>
      </c>
      <c r="V8" s="97">
        <v>162</v>
      </c>
      <c r="W8" s="97">
        <v>2</v>
      </c>
      <c r="X8" s="97">
        <f>1086986500</f>
        <v>1086986500</v>
      </c>
      <c r="Y8" s="97">
        <v>642412000</v>
      </c>
      <c r="Z8" s="98">
        <v>7462500</v>
      </c>
      <c r="AA8" s="95" t="s">
        <v>60</v>
      </c>
      <c r="AB8" s="99">
        <f>180</f>
        <v>180</v>
      </c>
      <c r="AC8" s="99" t="str">
        <f t="shared" si="0"/>
        <v>－</v>
      </c>
      <c r="AD8" s="100">
        <f>28</f>
        <v>28</v>
      </c>
    </row>
    <row r="9" spans="1:30">
      <c r="A9" s="91" t="s">
        <v>46</v>
      </c>
      <c r="B9" s="92" t="s">
        <v>1032</v>
      </c>
      <c r="C9" s="92" t="s">
        <v>1033</v>
      </c>
      <c r="D9" s="92" t="s">
        <v>61</v>
      </c>
      <c r="E9" s="93" t="s">
        <v>706</v>
      </c>
      <c r="F9" s="93" t="s">
        <v>664</v>
      </c>
      <c r="G9" s="94">
        <v>50</v>
      </c>
      <c r="H9" s="95" t="s">
        <v>52</v>
      </c>
      <c r="I9" s="96" t="s">
        <v>1047</v>
      </c>
      <c r="J9" s="95" t="s">
        <v>497</v>
      </c>
      <c r="K9" s="96" t="s">
        <v>1048</v>
      </c>
      <c r="L9" s="95" t="s">
        <v>86</v>
      </c>
      <c r="M9" s="96" t="s">
        <v>1049</v>
      </c>
      <c r="N9" s="95" t="s">
        <v>52</v>
      </c>
      <c r="O9" s="96" t="s">
        <v>1047</v>
      </c>
      <c r="P9" s="95" t="s">
        <v>582</v>
      </c>
      <c r="Q9" s="96" t="s">
        <v>1050</v>
      </c>
      <c r="R9" s="95" t="s">
        <v>1051</v>
      </c>
      <c r="S9" s="96" t="s">
        <v>1052</v>
      </c>
      <c r="T9" s="13">
        <f>78758.36</f>
        <v>78758.36</v>
      </c>
      <c r="U9" s="97">
        <f>342</f>
        <v>342</v>
      </c>
      <c r="V9" s="97">
        <v>196</v>
      </c>
      <c r="W9" s="97">
        <v>2</v>
      </c>
      <c r="X9" s="97">
        <f>1347900000</f>
        <v>1347900000</v>
      </c>
      <c r="Y9" s="97">
        <v>790377500</v>
      </c>
      <c r="Z9" s="98">
        <v>7292000</v>
      </c>
      <c r="AA9" s="95" t="s">
        <v>60</v>
      </c>
      <c r="AB9" s="99">
        <f>112</f>
        <v>112</v>
      </c>
      <c r="AC9" s="99" t="str">
        <f t="shared" si="0"/>
        <v>－</v>
      </c>
      <c r="AD9" s="100">
        <f>33</f>
        <v>33</v>
      </c>
    </row>
    <row r="10" spans="1:30">
      <c r="A10" s="91" t="s">
        <v>46</v>
      </c>
      <c r="B10" s="92" t="s">
        <v>1032</v>
      </c>
      <c r="C10" s="92" t="s">
        <v>1033</v>
      </c>
      <c r="D10" s="92" t="s">
        <v>561</v>
      </c>
      <c r="E10" s="93" t="s">
        <v>716</v>
      </c>
      <c r="F10" s="93" t="s">
        <v>63</v>
      </c>
      <c r="G10" s="94">
        <v>50</v>
      </c>
      <c r="H10" s="95" t="s">
        <v>52</v>
      </c>
      <c r="I10" s="96" t="s">
        <v>1053</v>
      </c>
      <c r="J10" s="95" t="s">
        <v>518</v>
      </c>
      <c r="K10" s="96" t="s">
        <v>1054</v>
      </c>
      <c r="L10" s="95" t="s">
        <v>72</v>
      </c>
      <c r="M10" s="96" t="s">
        <v>1055</v>
      </c>
      <c r="N10" s="95" t="s">
        <v>52</v>
      </c>
      <c r="O10" s="96" t="s">
        <v>1053</v>
      </c>
      <c r="P10" s="95" t="s">
        <v>72</v>
      </c>
      <c r="Q10" s="96" t="s">
        <v>1056</v>
      </c>
      <c r="R10" s="95" t="s">
        <v>72</v>
      </c>
      <c r="S10" s="96" t="s">
        <v>1040</v>
      </c>
      <c r="T10" s="13">
        <f>78237.37</f>
        <v>78237.37</v>
      </c>
      <c r="U10" s="97">
        <f>189</f>
        <v>189</v>
      </c>
      <c r="V10" s="97">
        <v>31</v>
      </c>
      <c r="W10" s="97"/>
      <c r="X10" s="97">
        <f>715214000</f>
        <v>715214000</v>
      </c>
      <c r="Y10" s="97">
        <v>119322500</v>
      </c>
      <c r="Z10" s="98"/>
      <c r="AA10" s="95" t="s">
        <v>60</v>
      </c>
      <c r="AB10" s="99">
        <f>60</f>
        <v>60</v>
      </c>
      <c r="AC10" s="99" t="str">
        <f t="shared" si="0"/>
        <v>－</v>
      </c>
      <c r="AD10" s="100">
        <f>36</f>
        <v>36</v>
      </c>
    </row>
    <row r="11" spans="1:30">
      <c r="A11" s="91" t="s">
        <v>46</v>
      </c>
      <c r="B11" s="92" t="s">
        <v>1032</v>
      </c>
      <c r="C11" s="92" t="s">
        <v>1033</v>
      </c>
      <c r="D11" s="92" t="s">
        <v>74</v>
      </c>
      <c r="E11" s="93" t="s">
        <v>1000</v>
      </c>
      <c r="F11" s="93" t="s">
        <v>678</v>
      </c>
      <c r="G11" s="94">
        <v>50</v>
      </c>
      <c r="H11" s="95" t="s">
        <v>52</v>
      </c>
      <c r="I11" s="96" t="s">
        <v>1057</v>
      </c>
      <c r="J11" s="95" t="s">
        <v>357</v>
      </c>
      <c r="K11" s="96" t="s">
        <v>1058</v>
      </c>
      <c r="L11" s="95" t="s">
        <v>1059</v>
      </c>
      <c r="M11" s="96" t="s">
        <v>1060</v>
      </c>
      <c r="N11" s="95" t="s">
        <v>52</v>
      </c>
      <c r="O11" s="96" t="s">
        <v>1057</v>
      </c>
      <c r="P11" s="95" t="s">
        <v>266</v>
      </c>
      <c r="Q11" s="96" t="s">
        <v>1061</v>
      </c>
      <c r="R11" s="95" t="s">
        <v>684</v>
      </c>
      <c r="S11" s="96" t="s">
        <v>1062</v>
      </c>
      <c r="T11" s="13">
        <f>77012.45</f>
        <v>77012.45</v>
      </c>
      <c r="U11" s="97">
        <f>292</f>
        <v>292</v>
      </c>
      <c r="V11" s="97">
        <v>44</v>
      </c>
      <c r="W11" s="97">
        <v>3</v>
      </c>
      <c r="X11" s="97">
        <f>1105986500</f>
        <v>1105986500</v>
      </c>
      <c r="Y11" s="97">
        <v>166748000</v>
      </c>
      <c r="Z11" s="98">
        <v>11007000</v>
      </c>
      <c r="AA11" s="95" t="s">
        <v>60</v>
      </c>
      <c r="AB11" s="99">
        <f>66</f>
        <v>66</v>
      </c>
      <c r="AC11" s="99" t="str">
        <f t="shared" si="0"/>
        <v>－</v>
      </c>
      <c r="AD11" s="100">
        <f>58</f>
        <v>58</v>
      </c>
    </row>
    <row r="12" spans="1:30">
      <c r="A12" s="91" t="s">
        <v>46</v>
      </c>
      <c r="B12" s="92" t="s">
        <v>1032</v>
      </c>
      <c r="C12" s="92" t="s">
        <v>1033</v>
      </c>
      <c r="D12" s="92" t="s">
        <v>576</v>
      </c>
      <c r="E12" s="93" t="s">
        <v>1063</v>
      </c>
      <c r="F12" s="93" t="s">
        <v>199</v>
      </c>
      <c r="G12" s="94">
        <v>50</v>
      </c>
      <c r="H12" s="95" t="s">
        <v>52</v>
      </c>
      <c r="I12" s="96" t="s">
        <v>1064</v>
      </c>
      <c r="J12" s="95" t="s">
        <v>497</v>
      </c>
      <c r="K12" s="96" t="s">
        <v>1065</v>
      </c>
      <c r="L12" s="95" t="s">
        <v>203</v>
      </c>
      <c r="M12" s="96" t="s">
        <v>1060</v>
      </c>
      <c r="N12" s="95" t="s">
        <v>52</v>
      </c>
      <c r="O12" s="96" t="s">
        <v>1066</v>
      </c>
      <c r="P12" s="95" t="s">
        <v>285</v>
      </c>
      <c r="Q12" s="96" t="s">
        <v>1067</v>
      </c>
      <c r="R12" s="95" t="s">
        <v>203</v>
      </c>
      <c r="S12" s="96" t="s">
        <v>1068</v>
      </c>
      <c r="T12" s="13">
        <f>77913.19</f>
        <v>77913.19</v>
      </c>
      <c r="U12" s="97">
        <f>783</f>
        <v>783</v>
      </c>
      <c r="V12" s="97">
        <v>25</v>
      </c>
      <c r="W12" s="97">
        <v>7</v>
      </c>
      <c r="X12" s="97">
        <f>2940599000</f>
        <v>2940599000</v>
      </c>
      <c r="Y12" s="97">
        <v>104385500</v>
      </c>
      <c r="Z12" s="98">
        <v>27237500</v>
      </c>
      <c r="AA12" s="95" t="s">
        <v>60</v>
      </c>
      <c r="AB12" s="99">
        <f>54</f>
        <v>54</v>
      </c>
      <c r="AC12" s="99" t="str">
        <f t="shared" si="0"/>
        <v>－</v>
      </c>
      <c r="AD12" s="100">
        <f>67</f>
        <v>67</v>
      </c>
    </row>
    <row r="13" spans="1:30">
      <c r="A13" s="91" t="s">
        <v>46</v>
      </c>
      <c r="B13" s="92" t="s">
        <v>1032</v>
      </c>
      <c r="C13" s="92" t="s">
        <v>1033</v>
      </c>
      <c r="D13" s="92" t="s">
        <v>81</v>
      </c>
      <c r="E13" s="93" t="s">
        <v>744</v>
      </c>
      <c r="F13" s="93" t="s">
        <v>693</v>
      </c>
      <c r="G13" s="94">
        <v>50</v>
      </c>
      <c r="H13" s="95" t="s">
        <v>512</v>
      </c>
      <c r="I13" s="96" t="s">
        <v>1069</v>
      </c>
      <c r="J13" s="95" t="s">
        <v>357</v>
      </c>
      <c r="K13" s="96" t="s">
        <v>1070</v>
      </c>
      <c r="L13" s="95" t="s">
        <v>764</v>
      </c>
      <c r="M13" s="96" t="s">
        <v>1071</v>
      </c>
      <c r="N13" s="95" t="s">
        <v>512</v>
      </c>
      <c r="O13" s="96" t="s">
        <v>1072</v>
      </c>
      <c r="P13" s="95" t="s">
        <v>285</v>
      </c>
      <c r="Q13" s="96" t="s">
        <v>1073</v>
      </c>
      <c r="R13" s="95" t="s">
        <v>322</v>
      </c>
      <c r="S13" s="96" t="s">
        <v>1074</v>
      </c>
      <c r="T13" s="13">
        <f>79881.74</f>
        <v>79881.740000000005</v>
      </c>
      <c r="U13" s="97">
        <f>681</f>
        <v>681</v>
      </c>
      <c r="V13" s="97">
        <v>10</v>
      </c>
      <c r="W13" s="97">
        <v>7</v>
      </c>
      <c r="X13" s="97">
        <f>2666498000</f>
        <v>2666498000</v>
      </c>
      <c r="Y13" s="97">
        <v>39843500</v>
      </c>
      <c r="Z13" s="98">
        <v>27210000</v>
      </c>
      <c r="AA13" s="95" t="s">
        <v>60</v>
      </c>
      <c r="AB13" s="99">
        <f>8</f>
        <v>8</v>
      </c>
      <c r="AC13" s="99" t="str">
        <f t="shared" si="0"/>
        <v>－</v>
      </c>
      <c r="AD13" s="100">
        <f>52</f>
        <v>52</v>
      </c>
    </row>
    <row r="14" spans="1:30">
      <c r="A14" s="91" t="s">
        <v>46</v>
      </c>
      <c r="B14" s="92" t="s">
        <v>1032</v>
      </c>
      <c r="C14" s="92" t="s">
        <v>1033</v>
      </c>
      <c r="D14" s="92" t="s">
        <v>596</v>
      </c>
      <c r="E14" s="93" t="s">
        <v>824</v>
      </c>
      <c r="F14" s="93" t="s">
        <v>205</v>
      </c>
      <c r="G14" s="94">
        <v>50</v>
      </c>
      <c r="H14" s="95" t="s">
        <v>521</v>
      </c>
      <c r="I14" s="96" t="s">
        <v>1075</v>
      </c>
      <c r="J14" s="95" t="s">
        <v>357</v>
      </c>
      <c r="K14" s="96" t="s">
        <v>1076</v>
      </c>
      <c r="L14" s="95" t="s">
        <v>209</v>
      </c>
      <c r="M14" s="96" t="s">
        <v>1077</v>
      </c>
      <c r="N14" s="95" t="s">
        <v>1078</v>
      </c>
      <c r="O14" s="96" t="s">
        <v>1079</v>
      </c>
      <c r="P14" s="95" t="s">
        <v>718</v>
      </c>
      <c r="Q14" s="96" t="s">
        <v>1080</v>
      </c>
      <c r="R14" s="95" t="s">
        <v>240</v>
      </c>
      <c r="S14" s="96" t="s">
        <v>1046</v>
      </c>
      <c r="T14" s="13">
        <f>80072.13</f>
        <v>80072.13</v>
      </c>
      <c r="U14" s="97">
        <f>375</f>
        <v>375</v>
      </c>
      <c r="V14" s="97">
        <v>9</v>
      </c>
      <c r="W14" s="97">
        <v>42</v>
      </c>
      <c r="X14" s="97">
        <f>1551281000</f>
        <v>1551281000</v>
      </c>
      <c r="Y14" s="97">
        <v>35518500</v>
      </c>
      <c r="Z14" s="98">
        <v>175185000</v>
      </c>
      <c r="AA14" s="95" t="s">
        <v>60</v>
      </c>
      <c r="AB14" s="99">
        <f>8</f>
        <v>8</v>
      </c>
      <c r="AC14" s="99" t="str">
        <f t="shared" si="0"/>
        <v>－</v>
      </c>
      <c r="AD14" s="100">
        <f>42</f>
        <v>42</v>
      </c>
    </row>
    <row r="15" spans="1:30">
      <c r="A15" s="91" t="s">
        <v>46</v>
      </c>
      <c r="B15" s="92" t="s">
        <v>1032</v>
      </c>
      <c r="C15" s="92" t="s">
        <v>1033</v>
      </c>
      <c r="D15" s="92" t="s">
        <v>93</v>
      </c>
      <c r="E15" s="93" t="s">
        <v>756</v>
      </c>
      <c r="F15" s="93" t="s">
        <v>1081</v>
      </c>
      <c r="G15" s="94">
        <v>50</v>
      </c>
      <c r="H15" s="95" t="s">
        <v>1082</v>
      </c>
      <c r="I15" s="96" t="s">
        <v>1052</v>
      </c>
      <c r="J15" s="95" t="s">
        <v>695</v>
      </c>
      <c r="K15" s="96" t="s">
        <v>1083</v>
      </c>
      <c r="L15" s="95" t="s">
        <v>712</v>
      </c>
      <c r="M15" s="96" t="s">
        <v>1037</v>
      </c>
      <c r="N15" s="95" t="s">
        <v>121</v>
      </c>
      <c r="O15" s="96" t="s">
        <v>1084</v>
      </c>
      <c r="P15" s="95" t="s">
        <v>712</v>
      </c>
      <c r="Q15" s="96" t="s">
        <v>1037</v>
      </c>
      <c r="R15" s="95" t="s">
        <v>1085</v>
      </c>
      <c r="S15" s="96" t="s">
        <v>1086</v>
      </c>
      <c r="T15" s="13">
        <f>80361.48</f>
        <v>80361.48</v>
      </c>
      <c r="U15" s="97">
        <f>65</f>
        <v>65</v>
      </c>
      <c r="V15" s="97">
        <v>1</v>
      </c>
      <c r="W15" s="97"/>
      <c r="X15" s="97">
        <f>261339000</f>
        <v>261339000</v>
      </c>
      <c r="Y15" s="97">
        <v>3825000</v>
      </c>
      <c r="Z15" s="98"/>
      <c r="AA15" s="95" t="s">
        <v>60</v>
      </c>
      <c r="AB15" s="99">
        <f>6</f>
        <v>6</v>
      </c>
      <c r="AC15" s="99" t="str">
        <f t="shared" si="0"/>
        <v>－</v>
      </c>
      <c r="AD15" s="100">
        <f>15</f>
        <v>15</v>
      </c>
    </row>
    <row r="16" spans="1:30">
      <c r="A16" s="91" t="s">
        <v>46</v>
      </c>
      <c r="B16" s="92" t="s">
        <v>1032</v>
      </c>
      <c r="C16" s="92" t="s">
        <v>1033</v>
      </c>
      <c r="D16" s="92" t="s">
        <v>614</v>
      </c>
      <c r="E16" s="93" t="s">
        <v>129</v>
      </c>
      <c r="F16" s="93" t="s">
        <v>211</v>
      </c>
      <c r="G16" s="94">
        <v>50</v>
      </c>
      <c r="H16" s="95" t="s">
        <v>1078</v>
      </c>
      <c r="I16" s="96" t="s">
        <v>1087</v>
      </c>
      <c r="J16" s="95" t="s">
        <v>1088</v>
      </c>
      <c r="K16" s="96" t="s">
        <v>1089</v>
      </c>
      <c r="L16" s="95" t="s">
        <v>214</v>
      </c>
      <c r="M16" s="96" t="s">
        <v>1090</v>
      </c>
      <c r="N16" s="95" t="s">
        <v>1078</v>
      </c>
      <c r="O16" s="96" t="s">
        <v>1087</v>
      </c>
      <c r="P16" s="95" t="s">
        <v>378</v>
      </c>
      <c r="Q16" s="96" t="s">
        <v>1091</v>
      </c>
      <c r="R16" s="95" t="s">
        <v>307</v>
      </c>
      <c r="S16" s="96" t="s">
        <v>1092</v>
      </c>
      <c r="T16" s="13">
        <f>80809.92</f>
        <v>80809.919999999998</v>
      </c>
      <c r="U16" s="97">
        <f>52</f>
        <v>52</v>
      </c>
      <c r="V16" s="97">
        <v>26</v>
      </c>
      <c r="W16" s="97"/>
      <c r="X16" s="97">
        <f>201023500</f>
        <v>201023500</v>
      </c>
      <c r="Y16" s="97">
        <v>97360000</v>
      </c>
      <c r="Z16" s="98"/>
      <c r="AA16" s="95" t="s">
        <v>60</v>
      </c>
      <c r="AB16" s="99">
        <f>10</f>
        <v>10</v>
      </c>
      <c r="AC16" s="99" t="str">
        <f t="shared" si="0"/>
        <v>－</v>
      </c>
      <c r="AD16" s="100">
        <f>14</f>
        <v>14</v>
      </c>
    </row>
    <row r="17" spans="1:30">
      <c r="A17" s="91" t="s">
        <v>46</v>
      </c>
      <c r="B17" s="92" t="s">
        <v>1032</v>
      </c>
      <c r="C17" s="92" t="s">
        <v>1033</v>
      </c>
      <c r="D17" s="92" t="s">
        <v>105</v>
      </c>
      <c r="E17" s="93" t="s">
        <v>771</v>
      </c>
      <c r="F17" s="93" t="s">
        <v>810</v>
      </c>
      <c r="G17" s="94">
        <v>50</v>
      </c>
      <c r="H17" s="95" t="s">
        <v>574</v>
      </c>
      <c r="I17" s="96" t="s">
        <v>1093</v>
      </c>
      <c r="J17" s="95" t="s">
        <v>292</v>
      </c>
      <c r="K17" s="96" t="s">
        <v>1094</v>
      </c>
      <c r="L17" s="95" t="s">
        <v>880</v>
      </c>
      <c r="M17" s="96" t="s">
        <v>1095</v>
      </c>
      <c r="N17" s="95" t="s">
        <v>880</v>
      </c>
      <c r="O17" s="96" t="s">
        <v>1096</v>
      </c>
      <c r="P17" s="95" t="s">
        <v>880</v>
      </c>
      <c r="Q17" s="96" t="s">
        <v>1097</v>
      </c>
      <c r="R17" s="95" t="s">
        <v>880</v>
      </c>
      <c r="S17" s="96" t="s">
        <v>1096</v>
      </c>
      <c r="T17" s="13">
        <f>80622.56</f>
        <v>80622.559999999998</v>
      </c>
      <c r="U17" s="97">
        <f>57</f>
        <v>57</v>
      </c>
      <c r="V17" s="97">
        <v>13</v>
      </c>
      <c r="W17" s="97"/>
      <c r="X17" s="97">
        <f>233192000</f>
        <v>233192000</v>
      </c>
      <c r="Y17" s="97">
        <v>48195000</v>
      </c>
      <c r="Z17" s="98"/>
      <c r="AA17" s="95" t="s">
        <v>60</v>
      </c>
      <c r="AB17" s="99" t="str">
        <f>"－"</f>
        <v>－</v>
      </c>
      <c r="AC17" s="99" t="str">
        <f t="shared" si="0"/>
        <v>－</v>
      </c>
      <c r="AD17" s="100">
        <f>22</f>
        <v>22</v>
      </c>
    </row>
    <row r="18" spans="1:30">
      <c r="A18" s="91" t="s">
        <v>46</v>
      </c>
      <c r="B18" s="92" t="s">
        <v>1032</v>
      </c>
      <c r="C18" s="92" t="s">
        <v>1033</v>
      </c>
      <c r="D18" s="92" t="s">
        <v>624</v>
      </c>
      <c r="E18" s="93" t="s">
        <v>76</v>
      </c>
      <c r="F18" s="93" t="s">
        <v>107</v>
      </c>
      <c r="G18" s="94">
        <v>50</v>
      </c>
      <c r="H18" s="95" t="s">
        <v>584</v>
      </c>
      <c r="I18" s="96" t="s">
        <v>1048</v>
      </c>
      <c r="J18" s="95" t="s">
        <v>1088</v>
      </c>
      <c r="K18" s="96" t="s">
        <v>1098</v>
      </c>
      <c r="L18" s="95" t="s">
        <v>880</v>
      </c>
      <c r="M18" s="96" t="s">
        <v>1095</v>
      </c>
      <c r="N18" s="95" t="s">
        <v>98</v>
      </c>
      <c r="O18" s="96" t="s">
        <v>1099</v>
      </c>
      <c r="P18" s="95" t="s">
        <v>880</v>
      </c>
      <c r="Q18" s="96" t="s">
        <v>1095</v>
      </c>
      <c r="R18" s="95" t="s">
        <v>98</v>
      </c>
      <c r="S18" s="96" t="s">
        <v>1099</v>
      </c>
      <c r="T18" s="13">
        <f>80691.79</f>
        <v>80691.789999999994</v>
      </c>
      <c r="U18" s="97">
        <f>37</f>
        <v>37</v>
      </c>
      <c r="V18" s="97">
        <v>5</v>
      </c>
      <c r="W18" s="97"/>
      <c r="X18" s="97">
        <f>156465500</f>
        <v>156465500</v>
      </c>
      <c r="Y18" s="97">
        <v>18675000</v>
      </c>
      <c r="Z18" s="98"/>
      <c r="AA18" s="95" t="s">
        <v>60</v>
      </c>
      <c r="AB18" s="99" t="str">
        <f>"－"</f>
        <v>－</v>
      </c>
      <c r="AC18" s="99" t="str">
        <f t="shared" si="0"/>
        <v>－</v>
      </c>
      <c r="AD18" s="100">
        <f>14</f>
        <v>14</v>
      </c>
    </row>
    <row r="19" spans="1:30">
      <c r="A19" s="91" t="s">
        <v>46</v>
      </c>
      <c r="B19" s="92" t="s">
        <v>1032</v>
      </c>
      <c r="C19" s="92" t="s">
        <v>1033</v>
      </c>
      <c r="D19" s="92" t="s">
        <v>115</v>
      </c>
      <c r="E19" s="93" t="s">
        <v>784</v>
      </c>
      <c r="F19" s="93" t="s">
        <v>745</v>
      </c>
      <c r="G19" s="94">
        <v>50</v>
      </c>
      <c r="H19" s="95" t="s">
        <v>786</v>
      </c>
      <c r="I19" s="96" t="s">
        <v>1100</v>
      </c>
      <c r="J19" s="95" t="s">
        <v>786</v>
      </c>
      <c r="K19" s="96" t="s">
        <v>1100</v>
      </c>
      <c r="L19" s="95"/>
      <c r="M19" s="96"/>
      <c r="N19" s="95" t="s">
        <v>1101</v>
      </c>
      <c r="O19" s="96" t="s">
        <v>1102</v>
      </c>
      <c r="P19" s="95"/>
      <c r="Q19" s="96"/>
      <c r="R19" s="95" t="s">
        <v>1101</v>
      </c>
      <c r="S19" s="96" t="s">
        <v>1102</v>
      </c>
      <c r="T19" s="13">
        <f>80989.17</f>
        <v>80989.17</v>
      </c>
      <c r="U19" s="97">
        <f>3</f>
        <v>3</v>
      </c>
      <c r="V19" s="97"/>
      <c r="W19" s="97"/>
      <c r="X19" s="97">
        <f>12350000</f>
        <v>12350000</v>
      </c>
      <c r="Y19" s="97"/>
      <c r="Z19" s="98"/>
      <c r="AA19" s="95"/>
      <c r="AB19" s="99">
        <f>1</f>
        <v>1</v>
      </c>
      <c r="AC19" s="99" t="str">
        <f t="shared" si="0"/>
        <v>－</v>
      </c>
      <c r="AD19" s="100">
        <f>3</f>
        <v>3</v>
      </c>
    </row>
    <row r="20" spans="1:30">
      <c r="A20" s="91" t="s">
        <v>46</v>
      </c>
      <c r="B20" s="92" t="s">
        <v>1032</v>
      </c>
      <c r="C20" s="92" t="s">
        <v>1033</v>
      </c>
      <c r="D20" s="92" t="s">
        <v>634</v>
      </c>
      <c r="E20" s="93" t="s">
        <v>83</v>
      </c>
      <c r="F20" s="93" t="s">
        <v>1103</v>
      </c>
      <c r="G20" s="94">
        <v>50</v>
      </c>
      <c r="H20" s="95" t="s">
        <v>1085</v>
      </c>
      <c r="I20" s="96" t="s">
        <v>1043</v>
      </c>
      <c r="J20" s="95" t="s">
        <v>1085</v>
      </c>
      <c r="K20" s="96" t="s">
        <v>1043</v>
      </c>
      <c r="L20" s="95"/>
      <c r="M20" s="96"/>
      <c r="N20" s="95" t="s">
        <v>1104</v>
      </c>
      <c r="O20" s="96" t="s">
        <v>1105</v>
      </c>
      <c r="P20" s="95"/>
      <c r="Q20" s="96"/>
      <c r="R20" s="95" t="s">
        <v>1104</v>
      </c>
      <c r="S20" s="96" t="s">
        <v>1105</v>
      </c>
      <c r="T20" s="13">
        <f>80341.98</f>
        <v>80341.98</v>
      </c>
      <c r="U20" s="97">
        <f>2</f>
        <v>2</v>
      </c>
      <c r="V20" s="97"/>
      <c r="W20" s="97"/>
      <c r="X20" s="97">
        <f>8100000</f>
        <v>8100000</v>
      </c>
      <c r="Y20" s="97"/>
      <c r="Z20" s="98"/>
      <c r="AA20" s="95"/>
      <c r="AB20" s="99">
        <f>1</f>
        <v>1</v>
      </c>
      <c r="AC20" s="99" t="str">
        <f t="shared" si="0"/>
        <v>－</v>
      </c>
      <c r="AD20" s="100">
        <f>2</f>
        <v>2</v>
      </c>
    </row>
    <row r="21" spans="1:30">
      <c r="A21" s="91" t="s">
        <v>46</v>
      </c>
      <c r="B21" s="92" t="s">
        <v>1032</v>
      </c>
      <c r="C21" s="92" t="s">
        <v>1033</v>
      </c>
      <c r="D21" s="92" t="s">
        <v>128</v>
      </c>
      <c r="E21" s="93" t="s">
        <v>707</v>
      </c>
      <c r="F21" s="93" t="s">
        <v>1106</v>
      </c>
      <c r="G21" s="94">
        <v>50</v>
      </c>
      <c r="H21" s="95"/>
      <c r="I21" s="96" t="s">
        <v>261</v>
      </c>
      <c r="J21" s="95"/>
      <c r="K21" s="96" t="s">
        <v>261</v>
      </c>
      <c r="L21" s="95"/>
      <c r="M21" s="96"/>
      <c r="N21" s="95"/>
      <c r="O21" s="96" t="s">
        <v>261</v>
      </c>
      <c r="P21" s="95"/>
      <c r="Q21" s="96"/>
      <c r="R21" s="95"/>
      <c r="S21" s="96" t="s">
        <v>261</v>
      </c>
      <c r="T21" s="13">
        <f>81298.51</f>
        <v>81298.509999999995</v>
      </c>
      <c r="U21" s="97" t="str">
        <f>"－"</f>
        <v>－</v>
      </c>
      <c r="V21" s="97"/>
      <c r="W21" s="97"/>
      <c r="X21" s="97" t="str">
        <f>"－"</f>
        <v>－</v>
      </c>
      <c r="Y21" s="97"/>
      <c r="Z21" s="98"/>
      <c r="AA21" s="95"/>
      <c r="AB21" s="99" t="str">
        <f>"－"</f>
        <v>－</v>
      </c>
      <c r="AC21" s="99" t="str">
        <f t="shared" si="0"/>
        <v>－</v>
      </c>
      <c r="AD21" s="100" t="str">
        <f>"－"</f>
        <v>－</v>
      </c>
    </row>
    <row r="22" spans="1:30">
      <c r="A22" s="91" t="s">
        <v>46</v>
      </c>
      <c r="B22" s="92" t="s">
        <v>1032</v>
      </c>
      <c r="C22" s="92" t="s">
        <v>1033</v>
      </c>
      <c r="D22" s="92" t="s">
        <v>641</v>
      </c>
      <c r="E22" s="93" t="s">
        <v>95</v>
      </c>
      <c r="F22" s="93" t="s">
        <v>130</v>
      </c>
      <c r="G22" s="94">
        <v>50</v>
      </c>
      <c r="H22" s="95"/>
      <c r="I22" s="96" t="s">
        <v>261</v>
      </c>
      <c r="J22" s="95"/>
      <c r="K22" s="96" t="s">
        <v>261</v>
      </c>
      <c r="L22" s="95"/>
      <c r="M22" s="96"/>
      <c r="N22" s="95"/>
      <c r="O22" s="96" t="s">
        <v>261</v>
      </c>
      <c r="P22" s="95"/>
      <c r="Q22" s="96"/>
      <c r="R22" s="95"/>
      <c r="S22" s="96" t="s">
        <v>261</v>
      </c>
      <c r="T22" s="13">
        <f>80750</f>
        <v>80750</v>
      </c>
      <c r="U22" s="97" t="str">
        <f>"－"</f>
        <v>－</v>
      </c>
      <c r="V22" s="97"/>
      <c r="W22" s="97"/>
      <c r="X22" s="97" t="str">
        <f>"－"</f>
        <v>－</v>
      </c>
      <c r="Y22" s="97"/>
      <c r="Z22" s="98"/>
      <c r="AA22" s="95"/>
      <c r="AB22" s="99" t="str">
        <f>"－"</f>
        <v>－</v>
      </c>
      <c r="AC22" s="99" t="str">
        <f t="shared" si="0"/>
        <v>－</v>
      </c>
      <c r="AD22" s="100" t="str">
        <f>"－"</f>
        <v>－</v>
      </c>
    </row>
    <row r="23" spans="1:30">
      <c r="A23" s="91" t="s">
        <v>46</v>
      </c>
      <c r="B23" s="92" t="s">
        <v>1032</v>
      </c>
      <c r="C23" s="92" t="s">
        <v>1033</v>
      </c>
      <c r="D23" s="92" t="s">
        <v>140</v>
      </c>
      <c r="E23" s="93" t="s">
        <v>1009</v>
      </c>
      <c r="F23" s="93" t="s">
        <v>772</v>
      </c>
      <c r="G23" s="94">
        <v>50</v>
      </c>
      <c r="H23" s="95"/>
      <c r="I23" s="96" t="s">
        <v>261</v>
      </c>
      <c r="J23" s="95"/>
      <c r="K23" s="96" t="s">
        <v>261</v>
      </c>
      <c r="L23" s="95"/>
      <c r="M23" s="96"/>
      <c r="N23" s="95"/>
      <c r="O23" s="96" t="s">
        <v>261</v>
      </c>
      <c r="P23" s="95"/>
      <c r="Q23" s="96"/>
      <c r="R23" s="95"/>
      <c r="S23" s="96" t="s">
        <v>261</v>
      </c>
      <c r="T23" s="13">
        <f>79280</f>
        <v>79280</v>
      </c>
      <c r="U23" s="97" t="str">
        <f>"－"</f>
        <v>－</v>
      </c>
      <c r="V23" s="97"/>
      <c r="W23" s="97"/>
      <c r="X23" s="97" t="str">
        <f>"－"</f>
        <v>－</v>
      </c>
      <c r="Y23" s="97"/>
      <c r="Z23" s="98"/>
      <c r="AA23" s="95"/>
      <c r="AB23" s="99" t="str">
        <f>"－"</f>
        <v>－</v>
      </c>
      <c r="AC23" s="99" t="str">
        <f t="shared" si="0"/>
        <v>－</v>
      </c>
      <c r="AD23" s="100" t="str">
        <f>"－"</f>
        <v>－</v>
      </c>
    </row>
    <row r="24" spans="1:30">
      <c r="A24" s="91" t="s">
        <v>46</v>
      </c>
      <c r="B24" s="92" t="s">
        <v>1032</v>
      </c>
      <c r="C24" s="92" t="s">
        <v>1033</v>
      </c>
      <c r="D24" s="92" t="s">
        <v>783</v>
      </c>
      <c r="E24" s="93" t="s">
        <v>177</v>
      </c>
      <c r="F24" s="93" t="s">
        <v>1107</v>
      </c>
      <c r="G24" s="94">
        <v>50</v>
      </c>
      <c r="H24" s="95"/>
      <c r="I24" s="96" t="s">
        <v>261</v>
      </c>
      <c r="J24" s="95"/>
      <c r="K24" s="96" t="s">
        <v>261</v>
      </c>
      <c r="L24" s="95"/>
      <c r="M24" s="96"/>
      <c r="N24" s="95"/>
      <c r="O24" s="96" t="s">
        <v>261</v>
      </c>
      <c r="P24" s="95"/>
      <c r="Q24" s="96"/>
      <c r="R24" s="95"/>
      <c r="S24" s="96" t="s">
        <v>261</v>
      </c>
      <c r="T24" s="13">
        <f>79000</f>
        <v>79000</v>
      </c>
      <c r="U24" s="97" t="str">
        <f>"－"</f>
        <v>－</v>
      </c>
      <c r="V24" s="97"/>
      <c r="W24" s="97"/>
      <c r="X24" s="97" t="str">
        <f>"－"</f>
        <v>－</v>
      </c>
      <c r="Y24" s="97"/>
      <c r="Z24" s="98"/>
      <c r="AA24" s="95"/>
      <c r="AB24" s="99" t="str">
        <f>"－"</f>
        <v>－</v>
      </c>
      <c r="AC24" s="99" t="str">
        <f t="shared" si="0"/>
        <v>－</v>
      </c>
      <c r="AD24" s="100" t="str">
        <f>"－"</f>
        <v>－</v>
      </c>
    </row>
    <row r="25" spans="1:30">
      <c r="A25" s="91" t="s">
        <v>46</v>
      </c>
      <c r="B25" s="92" t="s">
        <v>1108</v>
      </c>
      <c r="C25" s="92" t="s">
        <v>1109</v>
      </c>
      <c r="D25" s="92" t="s">
        <v>49</v>
      </c>
      <c r="E25" s="93" t="s">
        <v>1034</v>
      </c>
      <c r="F25" s="93" t="s">
        <v>649</v>
      </c>
      <c r="G25" s="94">
        <v>50</v>
      </c>
      <c r="H25" s="95" t="s">
        <v>52</v>
      </c>
      <c r="I25" s="96" t="s">
        <v>1110</v>
      </c>
      <c r="J25" s="95" t="s">
        <v>662</v>
      </c>
      <c r="K25" s="96" t="s">
        <v>1111</v>
      </c>
      <c r="L25" s="95" t="s">
        <v>506</v>
      </c>
      <c r="M25" s="96" t="s">
        <v>1055</v>
      </c>
      <c r="N25" s="95" t="s">
        <v>52</v>
      </c>
      <c r="O25" s="96" t="s">
        <v>1110</v>
      </c>
      <c r="P25" s="95" t="s">
        <v>651</v>
      </c>
      <c r="Q25" s="96" t="s">
        <v>1056</v>
      </c>
      <c r="R25" s="95" t="s">
        <v>653</v>
      </c>
      <c r="S25" s="96" t="s">
        <v>1092</v>
      </c>
      <c r="T25" s="13">
        <f>75733.33</f>
        <v>75733.33</v>
      </c>
      <c r="U25" s="97">
        <f>369</f>
        <v>369</v>
      </c>
      <c r="V25" s="97">
        <v>140</v>
      </c>
      <c r="W25" s="97">
        <v>55</v>
      </c>
      <c r="X25" s="97">
        <f>1402699000</f>
        <v>1402699000</v>
      </c>
      <c r="Y25" s="97">
        <v>534084500</v>
      </c>
      <c r="Z25" s="98">
        <v>206379000</v>
      </c>
      <c r="AA25" s="95" t="s">
        <v>60</v>
      </c>
      <c r="AB25" s="99">
        <f>312</f>
        <v>312</v>
      </c>
      <c r="AC25" s="99" t="str">
        <f t="shared" si="0"/>
        <v>－</v>
      </c>
      <c r="AD25" s="100">
        <f>15</f>
        <v>15</v>
      </c>
    </row>
    <row r="26" spans="1:30">
      <c r="A26" s="91" t="s">
        <v>46</v>
      </c>
      <c r="B26" s="92" t="s">
        <v>1108</v>
      </c>
      <c r="C26" s="92" t="s">
        <v>1109</v>
      </c>
      <c r="D26" s="92" t="s">
        <v>548</v>
      </c>
      <c r="E26" s="93" t="s">
        <v>657</v>
      </c>
      <c r="F26" s="93" t="s">
        <v>1041</v>
      </c>
      <c r="G26" s="94">
        <v>50</v>
      </c>
      <c r="H26" s="95" t="s">
        <v>52</v>
      </c>
      <c r="I26" s="96" t="s">
        <v>1112</v>
      </c>
      <c r="J26" s="95" t="s">
        <v>118</v>
      </c>
      <c r="K26" s="96" t="s">
        <v>1100</v>
      </c>
      <c r="L26" s="95" t="s">
        <v>123</v>
      </c>
      <c r="M26" s="96" t="s">
        <v>1113</v>
      </c>
      <c r="N26" s="95" t="s">
        <v>52</v>
      </c>
      <c r="O26" s="96" t="s">
        <v>1112</v>
      </c>
      <c r="P26" s="95" t="s">
        <v>351</v>
      </c>
      <c r="Q26" s="96" t="s">
        <v>1061</v>
      </c>
      <c r="R26" s="95" t="s">
        <v>123</v>
      </c>
      <c r="S26" s="96" t="s">
        <v>1043</v>
      </c>
      <c r="T26" s="13">
        <f>77789.44</f>
        <v>77789.440000000002</v>
      </c>
      <c r="U26" s="97">
        <f>421</f>
        <v>421</v>
      </c>
      <c r="V26" s="97">
        <v>64</v>
      </c>
      <c r="W26" s="97">
        <v>95</v>
      </c>
      <c r="X26" s="97">
        <f>1635315000</f>
        <v>1635315000</v>
      </c>
      <c r="Y26" s="97">
        <v>254973500</v>
      </c>
      <c r="Z26" s="98">
        <v>354327000</v>
      </c>
      <c r="AA26" s="95" t="s">
        <v>60</v>
      </c>
      <c r="AB26" s="99">
        <f>194</f>
        <v>194</v>
      </c>
      <c r="AC26" s="99" t="str">
        <f t="shared" si="0"/>
        <v>－</v>
      </c>
      <c r="AD26" s="100">
        <f>34</f>
        <v>34</v>
      </c>
    </row>
    <row r="27" spans="1:30">
      <c r="A27" s="91" t="s">
        <v>46</v>
      </c>
      <c r="B27" s="92" t="s">
        <v>1108</v>
      </c>
      <c r="C27" s="92" t="s">
        <v>1109</v>
      </c>
      <c r="D27" s="92" t="s">
        <v>61</v>
      </c>
      <c r="E27" s="93" t="s">
        <v>706</v>
      </c>
      <c r="F27" s="93" t="s">
        <v>664</v>
      </c>
      <c r="G27" s="94">
        <v>50</v>
      </c>
      <c r="H27" s="95" t="s">
        <v>52</v>
      </c>
      <c r="I27" s="96" t="s">
        <v>1114</v>
      </c>
      <c r="J27" s="95" t="s">
        <v>518</v>
      </c>
      <c r="K27" s="96" t="s">
        <v>1115</v>
      </c>
      <c r="L27" s="95" t="s">
        <v>497</v>
      </c>
      <c r="M27" s="96" t="s">
        <v>1116</v>
      </c>
      <c r="N27" s="95" t="s">
        <v>52</v>
      </c>
      <c r="O27" s="96" t="s">
        <v>1114</v>
      </c>
      <c r="P27" s="95" t="s">
        <v>670</v>
      </c>
      <c r="Q27" s="96" t="s">
        <v>1117</v>
      </c>
      <c r="R27" s="95" t="s">
        <v>670</v>
      </c>
      <c r="S27" s="96" t="s">
        <v>1046</v>
      </c>
      <c r="T27" s="13">
        <f>79440.55</f>
        <v>79440.55</v>
      </c>
      <c r="U27" s="97">
        <f>398</f>
        <v>398</v>
      </c>
      <c r="V27" s="97">
        <v>177</v>
      </c>
      <c r="W27" s="97">
        <v>41</v>
      </c>
      <c r="X27" s="97">
        <f>1573104500</f>
        <v>1573104500</v>
      </c>
      <c r="Y27" s="97">
        <v>713540500</v>
      </c>
      <c r="Z27" s="98">
        <v>154114500</v>
      </c>
      <c r="AA27" s="95" t="s">
        <v>60</v>
      </c>
      <c r="AB27" s="99">
        <f>42</f>
        <v>42</v>
      </c>
      <c r="AC27" s="99" t="str">
        <f t="shared" si="0"/>
        <v>－</v>
      </c>
      <c r="AD27" s="100">
        <f>35</f>
        <v>35</v>
      </c>
    </row>
    <row r="28" spans="1:30">
      <c r="A28" s="91" t="s">
        <v>46</v>
      </c>
      <c r="B28" s="92" t="s">
        <v>1108</v>
      </c>
      <c r="C28" s="92" t="s">
        <v>1109</v>
      </c>
      <c r="D28" s="92" t="s">
        <v>561</v>
      </c>
      <c r="E28" s="93" t="s">
        <v>716</v>
      </c>
      <c r="F28" s="93" t="s">
        <v>63</v>
      </c>
      <c r="G28" s="94">
        <v>50</v>
      </c>
      <c r="H28" s="95" t="s">
        <v>52</v>
      </c>
      <c r="I28" s="96" t="s">
        <v>1118</v>
      </c>
      <c r="J28" s="95" t="s">
        <v>518</v>
      </c>
      <c r="K28" s="96" t="s">
        <v>1119</v>
      </c>
      <c r="L28" s="95" t="s">
        <v>518</v>
      </c>
      <c r="M28" s="96" t="s">
        <v>1120</v>
      </c>
      <c r="N28" s="95" t="s">
        <v>52</v>
      </c>
      <c r="O28" s="96" t="s">
        <v>1118</v>
      </c>
      <c r="P28" s="95" t="s">
        <v>518</v>
      </c>
      <c r="Q28" s="96" t="s">
        <v>1120</v>
      </c>
      <c r="R28" s="95" t="s">
        <v>197</v>
      </c>
      <c r="S28" s="96" t="s">
        <v>1121</v>
      </c>
      <c r="T28" s="13">
        <f>78983.29</f>
        <v>78983.289999999994</v>
      </c>
      <c r="U28" s="97">
        <f>119</f>
        <v>119</v>
      </c>
      <c r="V28" s="97">
        <v>3</v>
      </c>
      <c r="W28" s="97">
        <v>2</v>
      </c>
      <c r="X28" s="97">
        <f>465984500</f>
        <v>465984500</v>
      </c>
      <c r="Y28" s="97">
        <v>13374000</v>
      </c>
      <c r="Z28" s="98">
        <v>7467500</v>
      </c>
      <c r="AA28" s="95" t="s">
        <v>60</v>
      </c>
      <c r="AB28" s="99">
        <f>12</f>
        <v>12</v>
      </c>
      <c r="AC28" s="99" t="str">
        <f t="shared" si="0"/>
        <v>－</v>
      </c>
      <c r="AD28" s="100">
        <f>34</f>
        <v>34</v>
      </c>
    </row>
    <row r="29" spans="1:30">
      <c r="A29" s="91" t="s">
        <v>46</v>
      </c>
      <c r="B29" s="92" t="s">
        <v>1108</v>
      </c>
      <c r="C29" s="92" t="s">
        <v>1109</v>
      </c>
      <c r="D29" s="92" t="s">
        <v>74</v>
      </c>
      <c r="E29" s="93" t="s">
        <v>1000</v>
      </c>
      <c r="F29" s="93" t="s">
        <v>678</v>
      </c>
      <c r="G29" s="94">
        <v>50</v>
      </c>
      <c r="H29" s="95" t="s">
        <v>52</v>
      </c>
      <c r="I29" s="96" t="s">
        <v>1122</v>
      </c>
      <c r="J29" s="95" t="s">
        <v>123</v>
      </c>
      <c r="K29" s="96" t="s">
        <v>1123</v>
      </c>
      <c r="L29" s="95" t="s">
        <v>285</v>
      </c>
      <c r="M29" s="96" t="s">
        <v>1124</v>
      </c>
      <c r="N29" s="95" t="s">
        <v>52</v>
      </c>
      <c r="O29" s="96" t="s">
        <v>1125</v>
      </c>
      <c r="P29" s="95" t="s">
        <v>684</v>
      </c>
      <c r="Q29" s="96" t="s">
        <v>1126</v>
      </c>
      <c r="R29" s="95" t="s">
        <v>684</v>
      </c>
      <c r="S29" s="96" t="s">
        <v>1127</v>
      </c>
      <c r="T29" s="13">
        <f>77820.32</f>
        <v>77820.320000000007</v>
      </c>
      <c r="U29" s="97">
        <f>231</f>
        <v>231</v>
      </c>
      <c r="V29" s="97">
        <v>20</v>
      </c>
      <c r="W29" s="97">
        <v>3</v>
      </c>
      <c r="X29" s="97">
        <f>879192500</f>
        <v>879192500</v>
      </c>
      <c r="Y29" s="97">
        <v>74978000</v>
      </c>
      <c r="Z29" s="98">
        <v>10948500</v>
      </c>
      <c r="AA29" s="95" t="s">
        <v>60</v>
      </c>
      <c r="AB29" s="99">
        <f>38</f>
        <v>38</v>
      </c>
      <c r="AC29" s="99" t="str">
        <f t="shared" si="0"/>
        <v>－</v>
      </c>
      <c r="AD29" s="100">
        <f>40</f>
        <v>40</v>
      </c>
    </row>
    <row r="30" spans="1:30">
      <c r="A30" s="91" t="s">
        <v>46</v>
      </c>
      <c r="B30" s="92" t="s">
        <v>1108</v>
      </c>
      <c r="C30" s="92" t="s">
        <v>1109</v>
      </c>
      <c r="D30" s="92" t="s">
        <v>576</v>
      </c>
      <c r="E30" s="93" t="s">
        <v>1063</v>
      </c>
      <c r="F30" s="93" t="s">
        <v>199</v>
      </c>
      <c r="G30" s="94">
        <v>50</v>
      </c>
      <c r="H30" s="95" t="s">
        <v>52</v>
      </c>
      <c r="I30" s="96" t="s">
        <v>1128</v>
      </c>
      <c r="J30" s="95" t="s">
        <v>366</v>
      </c>
      <c r="K30" s="96" t="s">
        <v>1129</v>
      </c>
      <c r="L30" s="95" t="s">
        <v>1130</v>
      </c>
      <c r="M30" s="96" t="s">
        <v>1131</v>
      </c>
      <c r="N30" s="95" t="s">
        <v>52</v>
      </c>
      <c r="O30" s="96" t="s">
        <v>1128</v>
      </c>
      <c r="P30" s="95" t="s">
        <v>1130</v>
      </c>
      <c r="Q30" s="96" t="s">
        <v>1131</v>
      </c>
      <c r="R30" s="95" t="s">
        <v>203</v>
      </c>
      <c r="S30" s="96" t="s">
        <v>1111</v>
      </c>
      <c r="T30" s="13">
        <f>78076.29</f>
        <v>78076.289999999994</v>
      </c>
      <c r="U30" s="97">
        <f>354</f>
        <v>354</v>
      </c>
      <c r="V30" s="97">
        <v>2</v>
      </c>
      <c r="W30" s="97">
        <v>3</v>
      </c>
      <c r="X30" s="97">
        <f>1343063500</f>
        <v>1343063500</v>
      </c>
      <c r="Y30" s="97">
        <v>7967000</v>
      </c>
      <c r="Z30" s="98">
        <v>10923000</v>
      </c>
      <c r="AA30" s="95" t="s">
        <v>60</v>
      </c>
      <c r="AB30" s="99">
        <f>38</f>
        <v>38</v>
      </c>
      <c r="AC30" s="99" t="str">
        <f t="shared" si="0"/>
        <v>－</v>
      </c>
      <c r="AD30" s="100">
        <f>41</f>
        <v>41</v>
      </c>
    </row>
    <row r="31" spans="1:30">
      <c r="A31" s="91" t="s">
        <v>46</v>
      </c>
      <c r="B31" s="92" t="s">
        <v>1108</v>
      </c>
      <c r="C31" s="92" t="s">
        <v>1109</v>
      </c>
      <c r="D31" s="92" t="s">
        <v>81</v>
      </c>
      <c r="E31" s="93" t="s">
        <v>744</v>
      </c>
      <c r="F31" s="93" t="s">
        <v>693</v>
      </c>
      <c r="G31" s="94">
        <v>50</v>
      </c>
      <c r="H31" s="95" t="s">
        <v>512</v>
      </c>
      <c r="I31" s="96" t="s">
        <v>1132</v>
      </c>
      <c r="J31" s="95" t="s">
        <v>518</v>
      </c>
      <c r="K31" s="96" t="s">
        <v>1133</v>
      </c>
      <c r="L31" s="95" t="s">
        <v>1130</v>
      </c>
      <c r="M31" s="96" t="s">
        <v>1134</v>
      </c>
      <c r="N31" s="95" t="s">
        <v>512</v>
      </c>
      <c r="O31" s="96" t="s">
        <v>1132</v>
      </c>
      <c r="P31" s="95" t="s">
        <v>972</v>
      </c>
      <c r="Q31" s="96" t="s">
        <v>1135</v>
      </c>
      <c r="R31" s="95" t="s">
        <v>311</v>
      </c>
      <c r="S31" s="96" t="s">
        <v>1136</v>
      </c>
      <c r="T31" s="13">
        <f>78810.17</f>
        <v>78810.17</v>
      </c>
      <c r="U31" s="97">
        <f>279</f>
        <v>279</v>
      </c>
      <c r="V31" s="97">
        <v>5</v>
      </c>
      <c r="W31" s="97"/>
      <c r="X31" s="97">
        <f>1087721000</f>
        <v>1087721000</v>
      </c>
      <c r="Y31" s="97">
        <v>19439000</v>
      </c>
      <c r="Z31" s="98"/>
      <c r="AA31" s="95" t="s">
        <v>60</v>
      </c>
      <c r="AB31" s="99">
        <f>6</f>
        <v>6</v>
      </c>
      <c r="AC31" s="99" t="str">
        <f t="shared" si="0"/>
        <v>－</v>
      </c>
      <c r="AD31" s="100">
        <f>34</f>
        <v>34</v>
      </c>
    </row>
    <row r="32" spans="1:30">
      <c r="A32" s="91" t="s">
        <v>46</v>
      </c>
      <c r="B32" s="92" t="s">
        <v>1108</v>
      </c>
      <c r="C32" s="92" t="s">
        <v>1109</v>
      </c>
      <c r="D32" s="92" t="s">
        <v>596</v>
      </c>
      <c r="E32" s="93" t="s">
        <v>824</v>
      </c>
      <c r="F32" s="93" t="s">
        <v>205</v>
      </c>
      <c r="G32" s="94">
        <v>50</v>
      </c>
      <c r="H32" s="95" t="s">
        <v>599</v>
      </c>
      <c r="I32" s="96" t="s">
        <v>1137</v>
      </c>
      <c r="J32" s="95" t="s">
        <v>357</v>
      </c>
      <c r="K32" s="96" t="s">
        <v>1138</v>
      </c>
      <c r="L32" s="95" t="s">
        <v>357</v>
      </c>
      <c r="M32" s="96" t="s">
        <v>1139</v>
      </c>
      <c r="N32" s="95" t="s">
        <v>301</v>
      </c>
      <c r="O32" s="96" t="s">
        <v>1140</v>
      </c>
      <c r="P32" s="95" t="s">
        <v>357</v>
      </c>
      <c r="Q32" s="96" t="s">
        <v>1139</v>
      </c>
      <c r="R32" s="95" t="s">
        <v>209</v>
      </c>
      <c r="S32" s="96" t="s">
        <v>1099</v>
      </c>
      <c r="T32" s="13">
        <f>80528.93</f>
        <v>80528.929999999993</v>
      </c>
      <c r="U32" s="97">
        <f>109</f>
        <v>109</v>
      </c>
      <c r="V32" s="97">
        <v>1</v>
      </c>
      <c r="W32" s="97"/>
      <c r="X32" s="97">
        <f>446560500</f>
        <v>446560500</v>
      </c>
      <c r="Y32" s="97">
        <v>4474500</v>
      </c>
      <c r="Z32" s="98"/>
      <c r="AA32" s="95" t="s">
        <v>60</v>
      </c>
      <c r="AB32" s="99">
        <f>10</f>
        <v>10</v>
      </c>
      <c r="AC32" s="99" t="str">
        <f t="shared" si="0"/>
        <v>－</v>
      </c>
      <c r="AD32" s="100">
        <f>27</f>
        <v>27</v>
      </c>
    </row>
    <row r="33" spans="1:30">
      <c r="A33" s="91" t="s">
        <v>46</v>
      </c>
      <c r="B33" s="92" t="s">
        <v>1108</v>
      </c>
      <c r="C33" s="92" t="s">
        <v>1109</v>
      </c>
      <c r="D33" s="92" t="s">
        <v>93</v>
      </c>
      <c r="E33" s="93" t="s">
        <v>756</v>
      </c>
      <c r="F33" s="93" t="s">
        <v>1081</v>
      </c>
      <c r="G33" s="94">
        <v>50</v>
      </c>
      <c r="H33" s="95" t="s">
        <v>1141</v>
      </c>
      <c r="I33" s="96" t="s">
        <v>1142</v>
      </c>
      <c r="J33" s="95" t="s">
        <v>580</v>
      </c>
      <c r="K33" s="96" t="s">
        <v>1143</v>
      </c>
      <c r="L33" s="95" t="s">
        <v>1144</v>
      </c>
      <c r="M33" s="96" t="s">
        <v>1145</v>
      </c>
      <c r="N33" s="95" t="s">
        <v>1085</v>
      </c>
      <c r="O33" s="96" t="s">
        <v>1052</v>
      </c>
      <c r="P33" s="95" t="s">
        <v>472</v>
      </c>
      <c r="Q33" s="96" t="s">
        <v>1146</v>
      </c>
      <c r="R33" s="95" t="s">
        <v>1147</v>
      </c>
      <c r="S33" s="96" t="s">
        <v>1148</v>
      </c>
      <c r="T33" s="13">
        <f>80724.43</f>
        <v>80724.429999999993</v>
      </c>
      <c r="U33" s="97">
        <f>40</f>
        <v>40</v>
      </c>
      <c r="V33" s="97">
        <v>4</v>
      </c>
      <c r="W33" s="97"/>
      <c r="X33" s="97">
        <f>161618500</f>
        <v>161618500</v>
      </c>
      <c r="Y33" s="97">
        <v>15730000</v>
      </c>
      <c r="Z33" s="98"/>
      <c r="AA33" s="95" t="s">
        <v>60</v>
      </c>
      <c r="AB33" s="99" t="str">
        <f>"－"</f>
        <v>－</v>
      </c>
      <c r="AC33" s="99" t="str">
        <f t="shared" si="0"/>
        <v>－</v>
      </c>
      <c r="AD33" s="100">
        <f>11</f>
        <v>11</v>
      </c>
    </row>
    <row r="34" spans="1:30">
      <c r="A34" s="91" t="s">
        <v>46</v>
      </c>
      <c r="B34" s="92" t="s">
        <v>1108</v>
      </c>
      <c r="C34" s="92" t="s">
        <v>1109</v>
      </c>
      <c r="D34" s="92" t="s">
        <v>614</v>
      </c>
      <c r="E34" s="93" t="s">
        <v>129</v>
      </c>
      <c r="F34" s="93" t="s">
        <v>211</v>
      </c>
      <c r="G34" s="94">
        <v>50</v>
      </c>
      <c r="H34" s="95" t="s">
        <v>1149</v>
      </c>
      <c r="I34" s="96" t="s">
        <v>1150</v>
      </c>
      <c r="J34" s="95" t="s">
        <v>1149</v>
      </c>
      <c r="K34" s="96" t="s">
        <v>1100</v>
      </c>
      <c r="L34" s="95" t="s">
        <v>1144</v>
      </c>
      <c r="M34" s="96" t="s">
        <v>1151</v>
      </c>
      <c r="N34" s="95" t="s">
        <v>1149</v>
      </c>
      <c r="O34" s="96" t="s">
        <v>1150</v>
      </c>
      <c r="P34" s="95" t="s">
        <v>214</v>
      </c>
      <c r="Q34" s="96" t="s">
        <v>1152</v>
      </c>
      <c r="R34" s="95" t="s">
        <v>238</v>
      </c>
      <c r="S34" s="96" t="s">
        <v>1129</v>
      </c>
      <c r="T34" s="13">
        <f>81820.08</f>
        <v>81820.08</v>
      </c>
      <c r="U34" s="97">
        <f>43</f>
        <v>43</v>
      </c>
      <c r="V34" s="97">
        <v>12</v>
      </c>
      <c r="W34" s="97"/>
      <c r="X34" s="97">
        <f>175836000</f>
        <v>175836000</v>
      </c>
      <c r="Y34" s="97">
        <v>48620000</v>
      </c>
      <c r="Z34" s="98"/>
      <c r="AA34" s="95" t="s">
        <v>60</v>
      </c>
      <c r="AB34" s="99">
        <f>4</f>
        <v>4</v>
      </c>
      <c r="AC34" s="99" t="str">
        <f t="shared" si="0"/>
        <v>－</v>
      </c>
      <c r="AD34" s="100">
        <f>6</f>
        <v>6</v>
      </c>
    </row>
    <row r="35" spans="1:30">
      <c r="A35" s="91" t="s">
        <v>46</v>
      </c>
      <c r="B35" s="92" t="s">
        <v>1108</v>
      </c>
      <c r="C35" s="92" t="s">
        <v>1109</v>
      </c>
      <c r="D35" s="92" t="s">
        <v>105</v>
      </c>
      <c r="E35" s="93" t="s">
        <v>771</v>
      </c>
      <c r="F35" s="93" t="s">
        <v>810</v>
      </c>
      <c r="G35" s="94">
        <v>50</v>
      </c>
      <c r="H35" s="95" t="s">
        <v>601</v>
      </c>
      <c r="I35" s="96" t="s">
        <v>1153</v>
      </c>
      <c r="J35" s="95" t="s">
        <v>580</v>
      </c>
      <c r="K35" s="96" t="s">
        <v>1154</v>
      </c>
      <c r="L35" s="95" t="s">
        <v>1155</v>
      </c>
      <c r="M35" s="96" t="s">
        <v>1156</v>
      </c>
      <c r="N35" s="95" t="s">
        <v>299</v>
      </c>
      <c r="O35" s="96" t="s">
        <v>1157</v>
      </c>
      <c r="P35" s="95" t="s">
        <v>1158</v>
      </c>
      <c r="Q35" s="96" t="s">
        <v>1159</v>
      </c>
      <c r="R35" s="95" t="s">
        <v>1160</v>
      </c>
      <c r="S35" s="96" t="s">
        <v>1161</v>
      </c>
      <c r="T35" s="13">
        <f>81849.36</f>
        <v>81849.36</v>
      </c>
      <c r="U35" s="97">
        <f>171</f>
        <v>171</v>
      </c>
      <c r="V35" s="97">
        <v>141</v>
      </c>
      <c r="W35" s="97"/>
      <c r="X35" s="97">
        <f>676689000</f>
        <v>676689000</v>
      </c>
      <c r="Y35" s="97">
        <v>551330000</v>
      </c>
      <c r="Z35" s="98"/>
      <c r="AA35" s="95" t="s">
        <v>60</v>
      </c>
      <c r="AB35" s="99">
        <f>48</f>
        <v>48</v>
      </c>
      <c r="AC35" s="99" t="str">
        <f t="shared" si="0"/>
        <v>－</v>
      </c>
      <c r="AD35" s="100">
        <f>6</f>
        <v>6</v>
      </c>
    </row>
    <row r="36" spans="1:30">
      <c r="A36" s="91" t="s">
        <v>46</v>
      </c>
      <c r="B36" s="92" t="s">
        <v>1108</v>
      </c>
      <c r="C36" s="92" t="s">
        <v>1109</v>
      </c>
      <c r="D36" s="92" t="s">
        <v>624</v>
      </c>
      <c r="E36" s="93" t="s">
        <v>76</v>
      </c>
      <c r="F36" s="93" t="s">
        <v>107</v>
      </c>
      <c r="G36" s="94">
        <v>50</v>
      </c>
      <c r="H36" s="95" t="s">
        <v>1088</v>
      </c>
      <c r="I36" s="96" t="s">
        <v>1162</v>
      </c>
      <c r="J36" s="95" t="s">
        <v>1088</v>
      </c>
      <c r="K36" s="96" t="s">
        <v>1162</v>
      </c>
      <c r="L36" s="95" t="s">
        <v>113</v>
      </c>
      <c r="M36" s="96" t="s">
        <v>1163</v>
      </c>
      <c r="N36" s="95" t="s">
        <v>409</v>
      </c>
      <c r="O36" s="96" t="s">
        <v>1164</v>
      </c>
      <c r="P36" s="95" t="s">
        <v>113</v>
      </c>
      <c r="Q36" s="96" t="s">
        <v>1135</v>
      </c>
      <c r="R36" s="95" t="s">
        <v>322</v>
      </c>
      <c r="S36" s="96" t="s">
        <v>1154</v>
      </c>
      <c r="T36" s="13">
        <f>82944.39</f>
        <v>82944.39</v>
      </c>
      <c r="U36" s="97">
        <f>64</f>
        <v>64</v>
      </c>
      <c r="V36" s="97">
        <v>36</v>
      </c>
      <c r="W36" s="97"/>
      <c r="X36" s="97">
        <f>259978500</f>
        <v>259978500</v>
      </c>
      <c r="Y36" s="97">
        <v>141240000</v>
      </c>
      <c r="Z36" s="98"/>
      <c r="AA36" s="95" t="s">
        <v>60</v>
      </c>
      <c r="AB36" s="99">
        <f>30</f>
        <v>30</v>
      </c>
      <c r="AC36" s="99" t="str">
        <f t="shared" si="0"/>
        <v>－</v>
      </c>
      <c r="AD36" s="100">
        <f>8</f>
        <v>8</v>
      </c>
    </row>
    <row r="37" spans="1:30">
      <c r="A37" s="91" t="s">
        <v>46</v>
      </c>
      <c r="B37" s="92" t="s">
        <v>1108</v>
      </c>
      <c r="C37" s="92" t="s">
        <v>1109</v>
      </c>
      <c r="D37" s="92" t="s">
        <v>115</v>
      </c>
      <c r="E37" s="93" t="s">
        <v>784</v>
      </c>
      <c r="F37" s="93" t="s">
        <v>745</v>
      </c>
      <c r="G37" s="94">
        <v>50</v>
      </c>
      <c r="H37" s="95"/>
      <c r="I37" s="96" t="s">
        <v>261</v>
      </c>
      <c r="J37" s="95"/>
      <c r="K37" s="96" t="s">
        <v>261</v>
      </c>
      <c r="L37" s="95"/>
      <c r="M37" s="96"/>
      <c r="N37" s="95"/>
      <c r="O37" s="96" t="s">
        <v>261</v>
      </c>
      <c r="P37" s="95"/>
      <c r="Q37" s="96"/>
      <c r="R37" s="95"/>
      <c r="S37" s="96" t="s">
        <v>261</v>
      </c>
      <c r="T37" s="13">
        <f>82050.93</f>
        <v>82050.929999999993</v>
      </c>
      <c r="U37" s="97" t="str">
        <f>"－"</f>
        <v>－</v>
      </c>
      <c r="V37" s="97"/>
      <c r="W37" s="97"/>
      <c r="X37" s="97" t="str">
        <f>"－"</f>
        <v>－</v>
      </c>
      <c r="Y37" s="97"/>
      <c r="Z37" s="98"/>
      <c r="AA37" s="95"/>
      <c r="AB37" s="99" t="str">
        <f t="shared" ref="AB37:AB60" si="1">"－"</f>
        <v>－</v>
      </c>
      <c r="AC37" s="99" t="str">
        <f t="shared" si="0"/>
        <v>－</v>
      </c>
      <c r="AD37" s="100" t="str">
        <f>"－"</f>
        <v>－</v>
      </c>
    </row>
    <row r="38" spans="1:30">
      <c r="A38" s="91" t="s">
        <v>46</v>
      </c>
      <c r="B38" s="92" t="s">
        <v>1108</v>
      </c>
      <c r="C38" s="92" t="s">
        <v>1109</v>
      </c>
      <c r="D38" s="92" t="s">
        <v>634</v>
      </c>
      <c r="E38" s="93" t="s">
        <v>83</v>
      </c>
      <c r="F38" s="93" t="s">
        <v>1103</v>
      </c>
      <c r="G38" s="94">
        <v>50</v>
      </c>
      <c r="H38" s="95"/>
      <c r="I38" s="96" t="s">
        <v>261</v>
      </c>
      <c r="J38" s="95"/>
      <c r="K38" s="96" t="s">
        <v>261</v>
      </c>
      <c r="L38" s="95"/>
      <c r="M38" s="96"/>
      <c r="N38" s="95"/>
      <c r="O38" s="96" t="s">
        <v>261</v>
      </c>
      <c r="P38" s="95"/>
      <c r="Q38" s="96"/>
      <c r="R38" s="95"/>
      <c r="S38" s="96" t="s">
        <v>261</v>
      </c>
      <c r="T38" s="13">
        <f>81459.3</f>
        <v>81459.3</v>
      </c>
      <c r="U38" s="97" t="str">
        <f>"－"</f>
        <v>－</v>
      </c>
      <c r="V38" s="97"/>
      <c r="W38" s="97"/>
      <c r="X38" s="97" t="str">
        <f>"－"</f>
        <v>－</v>
      </c>
      <c r="Y38" s="97"/>
      <c r="Z38" s="98"/>
      <c r="AA38" s="95"/>
      <c r="AB38" s="99" t="str">
        <f t="shared" si="1"/>
        <v>－</v>
      </c>
      <c r="AC38" s="99" t="str">
        <f t="shared" si="0"/>
        <v>－</v>
      </c>
      <c r="AD38" s="100" t="str">
        <f>"－"</f>
        <v>－</v>
      </c>
    </row>
    <row r="39" spans="1:30">
      <c r="A39" s="91" t="s">
        <v>46</v>
      </c>
      <c r="B39" s="92" t="s">
        <v>1108</v>
      </c>
      <c r="C39" s="92" t="s">
        <v>1109</v>
      </c>
      <c r="D39" s="92" t="s">
        <v>128</v>
      </c>
      <c r="E39" s="93" t="s">
        <v>707</v>
      </c>
      <c r="F39" s="93" t="s">
        <v>1106</v>
      </c>
      <c r="G39" s="94">
        <v>50</v>
      </c>
      <c r="H39" s="95" t="s">
        <v>724</v>
      </c>
      <c r="I39" s="96" t="s">
        <v>1165</v>
      </c>
      <c r="J39" s="95" t="s">
        <v>724</v>
      </c>
      <c r="K39" s="96" t="s">
        <v>1165</v>
      </c>
      <c r="L39" s="95"/>
      <c r="M39" s="96"/>
      <c r="N39" s="95" t="s">
        <v>103</v>
      </c>
      <c r="O39" s="96" t="s">
        <v>1166</v>
      </c>
      <c r="P39" s="95"/>
      <c r="Q39" s="96"/>
      <c r="R39" s="95" t="s">
        <v>103</v>
      </c>
      <c r="S39" s="96" t="s">
        <v>1166</v>
      </c>
      <c r="T39" s="13">
        <f>81187.16</f>
        <v>81187.16</v>
      </c>
      <c r="U39" s="97">
        <f>2</f>
        <v>2</v>
      </c>
      <c r="V39" s="97"/>
      <c r="W39" s="97"/>
      <c r="X39" s="97">
        <f>8392000</f>
        <v>8392000</v>
      </c>
      <c r="Y39" s="97"/>
      <c r="Z39" s="98"/>
      <c r="AA39" s="95"/>
      <c r="AB39" s="99" t="str">
        <f t="shared" si="1"/>
        <v>－</v>
      </c>
      <c r="AC39" s="99" t="str">
        <f t="shared" si="0"/>
        <v>－</v>
      </c>
      <c r="AD39" s="100">
        <f>2</f>
        <v>2</v>
      </c>
    </row>
    <row r="40" spans="1:30">
      <c r="A40" s="91" t="s">
        <v>46</v>
      </c>
      <c r="B40" s="92" t="s">
        <v>1108</v>
      </c>
      <c r="C40" s="92" t="s">
        <v>1109</v>
      </c>
      <c r="D40" s="92" t="s">
        <v>641</v>
      </c>
      <c r="E40" s="93" t="s">
        <v>95</v>
      </c>
      <c r="F40" s="93" t="s">
        <v>130</v>
      </c>
      <c r="G40" s="94">
        <v>50</v>
      </c>
      <c r="H40" s="95"/>
      <c r="I40" s="96" t="s">
        <v>261</v>
      </c>
      <c r="J40" s="95"/>
      <c r="K40" s="96" t="s">
        <v>261</v>
      </c>
      <c r="L40" s="95"/>
      <c r="M40" s="96"/>
      <c r="N40" s="95"/>
      <c r="O40" s="96" t="s">
        <v>261</v>
      </c>
      <c r="P40" s="95"/>
      <c r="Q40" s="96"/>
      <c r="R40" s="95"/>
      <c r="S40" s="96" t="s">
        <v>261</v>
      </c>
      <c r="T40" s="13">
        <f>80119.57</f>
        <v>80119.570000000007</v>
      </c>
      <c r="U40" s="97" t="str">
        <f t="shared" ref="U40:U60" si="2">"－"</f>
        <v>－</v>
      </c>
      <c r="V40" s="97"/>
      <c r="W40" s="97"/>
      <c r="X40" s="97" t="str">
        <f t="shared" ref="X40:X60" si="3">"－"</f>
        <v>－</v>
      </c>
      <c r="Y40" s="97"/>
      <c r="Z40" s="98"/>
      <c r="AA40" s="95"/>
      <c r="AB40" s="99" t="str">
        <f t="shared" si="1"/>
        <v>－</v>
      </c>
      <c r="AC40" s="99" t="str">
        <f t="shared" si="0"/>
        <v>－</v>
      </c>
      <c r="AD40" s="100" t="str">
        <f t="shared" si="0"/>
        <v>－</v>
      </c>
    </row>
    <row r="41" spans="1:30">
      <c r="A41" s="91" t="s">
        <v>46</v>
      </c>
      <c r="B41" s="92" t="s">
        <v>1108</v>
      </c>
      <c r="C41" s="92" t="s">
        <v>1109</v>
      </c>
      <c r="D41" s="92" t="s">
        <v>140</v>
      </c>
      <c r="E41" s="93" t="s">
        <v>1009</v>
      </c>
      <c r="F41" s="93" t="s">
        <v>772</v>
      </c>
      <c r="G41" s="94">
        <v>50</v>
      </c>
      <c r="H41" s="95"/>
      <c r="I41" s="96" t="s">
        <v>261</v>
      </c>
      <c r="J41" s="95"/>
      <c r="K41" s="96" t="s">
        <v>261</v>
      </c>
      <c r="L41" s="95"/>
      <c r="M41" s="96"/>
      <c r="N41" s="95"/>
      <c r="O41" s="96" t="s">
        <v>261</v>
      </c>
      <c r="P41" s="95"/>
      <c r="Q41" s="96"/>
      <c r="R41" s="95"/>
      <c r="S41" s="96" t="s">
        <v>261</v>
      </c>
      <c r="T41" s="13">
        <f>78500</f>
        <v>78500</v>
      </c>
      <c r="U41" s="97" t="str">
        <f t="shared" si="2"/>
        <v>－</v>
      </c>
      <c r="V41" s="97"/>
      <c r="W41" s="97"/>
      <c r="X41" s="97" t="str">
        <f t="shared" si="3"/>
        <v>－</v>
      </c>
      <c r="Y41" s="97"/>
      <c r="Z41" s="98"/>
      <c r="AA41" s="95"/>
      <c r="AB41" s="99" t="str">
        <f t="shared" si="1"/>
        <v>－</v>
      </c>
      <c r="AC41" s="99" t="str">
        <f t="shared" si="0"/>
        <v>－</v>
      </c>
      <c r="AD41" s="100" t="str">
        <f t="shared" si="0"/>
        <v>－</v>
      </c>
    </row>
    <row r="42" spans="1:30">
      <c r="A42" s="91" t="s">
        <v>46</v>
      </c>
      <c r="B42" s="92" t="s">
        <v>1108</v>
      </c>
      <c r="C42" s="92" t="s">
        <v>1109</v>
      </c>
      <c r="D42" s="92" t="s">
        <v>783</v>
      </c>
      <c r="E42" s="93" t="s">
        <v>177</v>
      </c>
      <c r="F42" s="93" t="s">
        <v>1107</v>
      </c>
      <c r="G42" s="94">
        <v>50</v>
      </c>
      <c r="H42" s="95"/>
      <c r="I42" s="96" t="s">
        <v>261</v>
      </c>
      <c r="J42" s="95"/>
      <c r="K42" s="96" t="s">
        <v>261</v>
      </c>
      <c r="L42" s="95"/>
      <c r="M42" s="96"/>
      <c r="N42" s="95"/>
      <c r="O42" s="96" t="s">
        <v>261</v>
      </c>
      <c r="P42" s="95"/>
      <c r="Q42" s="96"/>
      <c r="R42" s="95"/>
      <c r="S42" s="96" t="s">
        <v>261</v>
      </c>
      <c r="T42" s="13">
        <f>78500</f>
        <v>78500</v>
      </c>
      <c r="U42" s="97" t="str">
        <f t="shared" si="2"/>
        <v>－</v>
      </c>
      <c r="V42" s="97"/>
      <c r="W42" s="97"/>
      <c r="X42" s="97" t="str">
        <f t="shared" si="3"/>
        <v>－</v>
      </c>
      <c r="Y42" s="97"/>
      <c r="Z42" s="98"/>
      <c r="AA42" s="95"/>
      <c r="AB42" s="99" t="str">
        <f t="shared" si="1"/>
        <v>－</v>
      </c>
      <c r="AC42" s="99" t="str">
        <f t="shared" si="0"/>
        <v>－</v>
      </c>
      <c r="AD42" s="100" t="str">
        <f t="shared" si="0"/>
        <v>－</v>
      </c>
    </row>
    <row r="43" spans="1:30">
      <c r="A43" s="91" t="s">
        <v>46</v>
      </c>
      <c r="B43" s="92" t="s">
        <v>1167</v>
      </c>
      <c r="C43" s="92" t="s">
        <v>1168</v>
      </c>
      <c r="D43" s="92" t="s">
        <v>49</v>
      </c>
      <c r="E43" s="93" t="s">
        <v>1034</v>
      </c>
      <c r="F43" s="93" t="s">
        <v>649</v>
      </c>
      <c r="G43" s="94">
        <v>50</v>
      </c>
      <c r="H43" s="95"/>
      <c r="I43" s="96" t="s">
        <v>261</v>
      </c>
      <c r="J43" s="95"/>
      <c r="K43" s="96" t="s">
        <v>261</v>
      </c>
      <c r="L43" s="95"/>
      <c r="M43" s="96"/>
      <c r="N43" s="95"/>
      <c r="O43" s="96" t="s">
        <v>261</v>
      </c>
      <c r="P43" s="95"/>
      <c r="Q43" s="96"/>
      <c r="R43" s="95"/>
      <c r="S43" s="96" t="s">
        <v>261</v>
      </c>
      <c r="T43" s="13">
        <f>78100</f>
        <v>78100</v>
      </c>
      <c r="U43" s="97" t="str">
        <f t="shared" si="2"/>
        <v>－</v>
      </c>
      <c r="V43" s="97"/>
      <c r="W43" s="97"/>
      <c r="X43" s="97" t="str">
        <f t="shared" si="3"/>
        <v>－</v>
      </c>
      <c r="Y43" s="97"/>
      <c r="Z43" s="98"/>
      <c r="AA43" s="95" t="s">
        <v>60</v>
      </c>
      <c r="AB43" s="99" t="str">
        <f t="shared" si="1"/>
        <v>－</v>
      </c>
      <c r="AC43" s="99" t="str">
        <f t="shared" si="0"/>
        <v>－</v>
      </c>
      <c r="AD43" s="100" t="str">
        <f t="shared" si="0"/>
        <v>－</v>
      </c>
    </row>
    <row r="44" spans="1:30">
      <c r="A44" s="91" t="s">
        <v>46</v>
      </c>
      <c r="B44" s="92" t="s">
        <v>1167</v>
      </c>
      <c r="C44" s="92" t="s">
        <v>1168</v>
      </c>
      <c r="D44" s="92" t="s">
        <v>548</v>
      </c>
      <c r="E44" s="93" t="s">
        <v>657</v>
      </c>
      <c r="F44" s="93" t="s">
        <v>1041</v>
      </c>
      <c r="G44" s="94">
        <v>50</v>
      </c>
      <c r="H44" s="95"/>
      <c r="I44" s="96" t="s">
        <v>261</v>
      </c>
      <c r="J44" s="95"/>
      <c r="K44" s="96" t="s">
        <v>261</v>
      </c>
      <c r="L44" s="95"/>
      <c r="M44" s="96"/>
      <c r="N44" s="95"/>
      <c r="O44" s="96" t="s">
        <v>261</v>
      </c>
      <c r="P44" s="95"/>
      <c r="Q44" s="96"/>
      <c r="R44" s="95"/>
      <c r="S44" s="96" t="s">
        <v>261</v>
      </c>
      <c r="T44" s="13">
        <f>81075</f>
        <v>81075</v>
      </c>
      <c r="U44" s="97" t="str">
        <f t="shared" si="2"/>
        <v>－</v>
      </c>
      <c r="V44" s="97"/>
      <c r="W44" s="97"/>
      <c r="X44" s="97" t="str">
        <f t="shared" si="3"/>
        <v>－</v>
      </c>
      <c r="Y44" s="97"/>
      <c r="Z44" s="98"/>
      <c r="AA44" s="95" t="s">
        <v>60</v>
      </c>
      <c r="AB44" s="99" t="str">
        <f t="shared" si="1"/>
        <v>－</v>
      </c>
      <c r="AC44" s="99" t="str">
        <f t="shared" si="0"/>
        <v>－</v>
      </c>
      <c r="AD44" s="100" t="str">
        <f t="shared" si="0"/>
        <v>－</v>
      </c>
    </row>
    <row r="45" spans="1:30">
      <c r="A45" s="91" t="s">
        <v>46</v>
      </c>
      <c r="B45" s="92" t="s">
        <v>1167</v>
      </c>
      <c r="C45" s="92" t="s">
        <v>1168</v>
      </c>
      <c r="D45" s="92" t="s">
        <v>61</v>
      </c>
      <c r="E45" s="93" t="s">
        <v>706</v>
      </c>
      <c r="F45" s="93" t="s">
        <v>664</v>
      </c>
      <c r="G45" s="94">
        <v>50</v>
      </c>
      <c r="H45" s="95"/>
      <c r="I45" s="96" t="s">
        <v>261</v>
      </c>
      <c r="J45" s="95"/>
      <c r="K45" s="96" t="s">
        <v>261</v>
      </c>
      <c r="L45" s="95"/>
      <c r="M45" s="96"/>
      <c r="N45" s="95"/>
      <c r="O45" s="96" t="s">
        <v>261</v>
      </c>
      <c r="P45" s="95"/>
      <c r="Q45" s="96"/>
      <c r="R45" s="95"/>
      <c r="S45" s="96" t="s">
        <v>261</v>
      </c>
      <c r="T45" s="13">
        <f>84074.55</f>
        <v>84074.55</v>
      </c>
      <c r="U45" s="97" t="str">
        <f t="shared" si="2"/>
        <v>－</v>
      </c>
      <c r="V45" s="97"/>
      <c r="W45" s="97"/>
      <c r="X45" s="97" t="str">
        <f t="shared" si="3"/>
        <v>－</v>
      </c>
      <c r="Y45" s="97"/>
      <c r="Z45" s="98"/>
      <c r="AA45" s="95" t="s">
        <v>60</v>
      </c>
      <c r="AB45" s="99" t="str">
        <f t="shared" si="1"/>
        <v>－</v>
      </c>
      <c r="AC45" s="99" t="str">
        <f t="shared" si="0"/>
        <v>－</v>
      </c>
      <c r="AD45" s="100" t="str">
        <f t="shared" si="0"/>
        <v>－</v>
      </c>
    </row>
    <row r="46" spans="1:30">
      <c r="A46" s="91" t="s">
        <v>46</v>
      </c>
      <c r="B46" s="92" t="s">
        <v>1167</v>
      </c>
      <c r="C46" s="92" t="s">
        <v>1168</v>
      </c>
      <c r="D46" s="92" t="s">
        <v>561</v>
      </c>
      <c r="E46" s="93" t="s">
        <v>716</v>
      </c>
      <c r="F46" s="93" t="s">
        <v>63</v>
      </c>
      <c r="G46" s="94">
        <v>50</v>
      </c>
      <c r="H46" s="95"/>
      <c r="I46" s="96" t="s">
        <v>261</v>
      </c>
      <c r="J46" s="95"/>
      <c r="K46" s="96" t="s">
        <v>261</v>
      </c>
      <c r="L46" s="95"/>
      <c r="M46" s="96"/>
      <c r="N46" s="95"/>
      <c r="O46" s="96" t="s">
        <v>261</v>
      </c>
      <c r="P46" s="95"/>
      <c r="Q46" s="96"/>
      <c r="R46" s="95"/>
      <c r="S46" s="96" t="s">
        <v>261</v>
      </c>
      <c r="T46" s="13">
        <f>85230.26</f>
        <v>85230.26</v>
      </c>
      <c r="U46" s="97" t="str">
        <f t="shared" si="2"/>
        <v>－</v>
      </c>
      <c r="V46" s="97"/>
      <c r="W46" s="97"/>
      <c r="X46" s="97" t="str">
        <f t="shared" si="3"/>
        <v>－</v>
      </c>
      <c r="Y46" s="97"/>
      <c r="Z46" s="98"/>
      <c r="AA46" s="95" t="s">
        <v>60</v>
      </c>
      <c r="AB46" s="99" t="str">
        <f t="shared" si="1"/>
        <v>－</v>
      </c>
      <c r="AC46" s="99" t="str">
        <f t="shared" si="0"/>
        <v>－</v>
      </c>
      <c r="AD46" s="100" t="str">
        <f t="shared" si="0"/>
        <v>－</v>
      </c>
    </row>
    <row r="47" spans="1:30">
      <c r="A47" s="91" t="s">
        <v>46</v>
      </c>
      <c r="B47" s="92" t="s">
        <v>1167</v>
      </c>
      <c r="C47" s="92" t="s">
        <v>1168</v>
      </c>
      <c r="D47" s="92" t="s">
        <v>74</v>
      </c>
      <c r="E47" s="93" t="s">
        <v>1000</v>
      </c>
      <c r="F47" s="93" t="s">
        <v>678</v>
      </c>
      <c r="G47" s="94">
        <v>50</v>
      </c>
      <c r="H47" s="95"/>
      <c r="I47" s="96" t="s">
        <v>261</v>
      </c>
      <c r="J47" s="95"/>
      <c r="K47" s="96" t="s">
        <v>261</v>
      </c>
      <c r="L47" s="95"/>
      <c r="M47" s="96"/>
      <c r="N47" s="95"/>
      <c r="O47" s="96" t="s">
        <v>261</v>
      </c>
      <c r="P47" s="95"/>
      <c r="Q47" s="96"/>
      <c r="R47" s="95"/>
      <c r="S47" s="96" t="s">
        <v>261</v>
      </c>
      <c r="T47" s="13">
        <f>85242.55</f>
        <v>85242.55</v>
      </c>
      <c r="U47" s="97" t="str">
        <f t="shared" si="2"/>
        <v>－</v>
      </c>
      <c r="V47" s="97"/>
      <c r="W47" s="97"/>
      <c r="X47" s="97" t="str">
        <f t="shared" si="3"/>
        <v>－</v>
      </c>
      <c r="Y47" s="97"/>
      <c r="Z47" s="98"/>
      <c r="AA47" s="95" t="s">
        <v>60</v>
      </c>
      <c r="AB47" s="99" t="str">
        <f t="shared" si="1"/>
        <v>－</v>
      </c>
      <c r="AC47" s="99" t="str">
        <f t="shared" si="0"/>
        <v>－</v>
      </c>
      <c r="AD47" s="100" t="str">
        <f t="shared" si="0"/>
        <v>－</v>
      </c>
    </row>
    <row r="48" spans="1:30">
      <c r="A48" s="91" t="s">
        <v>46</v>
      </c>
      <c r="B48" s="92" t="s">
        <v>1167</v>
      </c>
      <c r="C48" s="92" t="s">
        <v>1168</v>
      </c>
      <c r="D48" s="92" t="s">
        <v>576</v>
      </c>
      <c r="E48" s="93" t="s">
        <v>1063</v>
      </c>
      <c r="F48" s="93" t="s">
        <v>199</v>
      </c>
      <c r="G48" s="94">
        <v>50</v>
      </c>
      <c r="H48" s="95"/>
      <c r="I48" s="96" t="s">
        <v>261</v>
      </c>
      <c r="J48" s="95"/>
      <c r="K48" s="96" t="s">
        <v>261</v>
      </c>
      <c r="L48" s="95"/>
      <c r="M48" s="96"/>
      <c r="N48" s="95"/>
      <c r="O48" s="96" t="s">
        <v>261</v>
      </c>
      <c r="P48" s="95"/>
      <c r="Q48" s="96"/>
      <c r="R48" s="95"/>
      <c r="S48" s="96" t="s">
        <v>261</v>
      </c>
      <c r="T48" s="13">
        <f>85909.48</f>
        <v>85909.48</v>
      </c>
      <c r="U48" s="97" t="str">
        <f t="shared" si="2"/>
        <v>－</v>
      </c>
      <c r="V48" s="97"/>
      <c r="W48" s="97"/>
      <c r="X48" s="97" t="str">
        <f t="shared" si="3"/>
        <v>－</v>
      </c>
      <c r="Y48" s="97"/>
      <c r="Z48" s="98"/>
      <c r="AA48" s="95" t="s">
        <v>60</v>
      </c>
      <c r="AB48" s="99" t="str">
        <f t="shared" si="1"/>
        <v>－</v>
      </c>
      <c r="AC48" s="99" t="str">
        <f t="shared" si="0"/>
        <v>－</v>
      </c>
      <c r="AD48" s="100" t="str">
        <f t="shared" si="0"/>
        <v>－</v>
      </c>
    </row>
    <row r="49" spans="1:30">
      <c r="A49" s="91" t="s">
        <v>46</v>
      </c>
      <c r="B49" s="92" t="s">
        <v>1167</v>
      </c>
      <c r="C49" s="92" t="s">
        <v>1168</v>
      </c>
      <c r="D49" s="92" t="s">
        <v>81</v>
      </c>
      <c r="E49" s="93" t="s">
        <v>744</v>
      </c>
      <c r="F49" s="93" t="s">
        <v>693</v>
      </c>
      <c r="G49" s="94">
        <v>50</v>
      </c>
      <c r="H49" s="95"/>
      <c r="I49" s="96" t="s">
        <v>261</v>
      </c>
      <c r="J49" s="95"/>
      <c r="K49" s="96" t="s">
        <v>261</v>
      </c>
      <c r="L49" s="95"/>
      <c r="M49" s="96"/>
      <c r="N49" s="95"/>
      <c r="O49" s="96" t="s">
        <v>261</v>
      </c>
      <c r="P49" s="95"/>
      <c r="Q49" s="96"/>
      <c r="R49" s="95"/>
      <c r="S49" s="96" t="s">
        <v>261</v>
      </c>
      <c r="T49" s="13">
        <f>86344.63</f>
        <v>86344.63</v>
      </c>
      <c r="U49" s="97" t="str">
        <f t="shared" si="2"/>
        <v>－</v>
      </c>
      <c r="V49" s="97"/>
      <c r="W49" s="97"/>
      <c r="X49" s="97" t="str">
        <f t="shared" si="3"/>
        <v>－</v>
      </c>
      <c r="Y49" s="97"/>
      <c r="Z49" s="98"/>
      <c r="AA49" s="95" t="s">
        <v>60</v>
      </c>
      <c r="AB49" s="99" t="str">
        <f t="shared" si="1"/>
        <v>－</v>
      </c>
      <c r="AC49" s="99" t="str">
        <f t="shared" si="0"/>
        <v>－</v>
      </c>
      <c r="AD49" s="100" t="str">
        <f t="shared" si="0"/>
        <v>－</v>
      </c>
    </row>
    <row r="50" spans="1:30">
      <c r="A50" s="91" t="s">
        <v>46</v>
      </c>
      <c r="B50" s="92" t="s">
        <v>1167</v>
      </c>
      <c r="C50" s="92" t="s">
        <v>1168</v>
      </c>
      <c r="D50" s="92" t="s">
        <v>596</v>
      </c>
      <c r="E50" s="93" t="s">
        <v>824</v>
      </c>
      <c r="F50" s="93" t="s">
        <v>205</v>
      </c>
      <c r="G50" s="94">
        <v>50</v>
      </c>
      <c r="H50" s="95"/>
      <c r="I50" s="96" t="s">
        <v>261</v>
      </c>
      <c r="J50" s="95"/>
      <c r="K50" s="96" t="s">
        <v>261</v>
      </c>
      <c r="L50" s="95"/>
      <c r="M50" s="96"/>
      <c r="N50" s="95"/>
      <c r="O50" s="96" t="s">
        <v>261</v>
      </c>
      <c r="P50" s="95"/>
      <c r="Q50" s="96"/>
      <c r="R50" s="95"/>
      <c r="S50" s="96" t="s">
        <v>261</v>
      </c>
      <c r="T50" s="13">
        <f>85245.9</f>
        <v>85245.9</v>
      </c>
      <c r="U50" s="97" t="str">
        <f t="shared" si="2"/>
        <v>－</v>
      </c>
      <c r="V50" s="97"/>
      <c r="W50" s="97"/>
      <c r="X50" s="97" t="str">
        <f t="shared" si="3"/>
        <v>－</v>
      </c>
      <c r="Y50" s="97"/>
      <c r="Z50" s="98"/>
      <c r="AA50" s="95" t="s">
        <v>60</v>
      </c>
      <c r="AB50" s="99" t="str">
        <f t="shared" si="1"/>
        <v>－</v>
      </c>
      <c r="AC50" s="99" t="str">
        <f t="shared" si="0"/>
        <v>－</v>
      </c>
      <c r="AD50" s="100" t="str">
        <f t="shared" si="0"/>
        <v>－</v>
      </c>
    </row>
    <row r="51" spans="1:30">
      <c r="A51" s="91" t="s">
        <v>46</v>
      </c>
      <c r="B51" s="92" t="s">
        <v>1167</v>
      </c>
      <c r="C51" s="92" t="s">
        <v>1168</v>
      </c>
      <c r="D51" s="92" t="s">
        <v>93</v>
      </c>
      <c r="E51" s="93" t="s">
        <v>756</v>
      </c>
      <c r="F51" s="93" t="s">
        <v>1081</v>
      </c>
      <c r="G51" s="94">
        <v>50</v>
      </c>
      <c r="H51" s="95"/>
      <c r="I51" s="96" t="s">
        <v>261</v>
      </c>
      <c r="J51" s="95"/>
      <c r="K51" s="96" t="s">
        <v>261</v>
      </c>
      <c r="L51" s="95"/>
      <c r="M51" s="96"/>
      <c r="N51" s="95"/>
      <c r="O51" s="96" t="s">
        <v>261</v>
      </c>
      <c r="P51" s="95"/>
      <c r="Q51" s="96"/>
      <c r="R51" s="95"/>
      <c r="S51" s="96" t="s">
        <v>261</v>
      </c>
      <c r="T51" s="13">
        <f>84316.39</f>
        <v>84316.39</v>
      </c>
      <c r="U51" s="97" t="str">
        <f t="shared" si="2"/>
        <v>－</v>
      </c>
      <c r="V51" s="97"/>
      <c r="W51" s="97"/>
      <c r="X51" s="97" t="str">
        <f t="shared" si="3"/>
        <v>－</v>
      </c>
      <c r="Y51" s="97"/>
      <c r="Z51" s="98"/>
      <c r="AA51" s="95" t="s">
        <v>60</v>
      </c>
      <c r="AB51" s="99" t="str">
        <f t="shared" si="1"/>
        <v>－</v>
      </c>
      <c r="AC51" s="99" t="str">
        <f t="shared" si="0"/>
        <v>－</v>
      </c>
      <c r="AD51" s="100" t="str">
        <f t="shared" si="0"/>
        <v>－</v>
      </c>
    </row>
    <row r="52" spans="1:30">
      <c r="A52" s="91" t="s">
        <v>46</v>
      </c>
      <c r="B52" s="92" t="s">
        <v>1167</v>
      </c>
      <c r="C52" s="92" t="s">
        <v>1168</v>
      </c>
      <c r="D52" s="92" t="s">
        <v>614</v>
      </c>
      <c r="E52" s="93" t="s">
        <v>129</v>
      </c>
      <c r="F52" s="93" t="s">
        <v>211</v>
      </c>
      <c r="G52" s="94">
        <v>50</v>
      </c>
      <c r="H52" s="95"/>
      <c r="I52" s="96" t="s">
        <v>261</v>
      </c>
      <c r="J52" s="95"/>
      <c r="K52" s="96" t="s">
        <v>261</v>
      </c>
      <c r="L52" s="95"/>
      <c r="M52" s="96"/>
      <c r="N52" s="95"/>
      <c r="O52" s="96" t="s">
        <v>261</v>
      </c>
      <c r="P52" s="95"/>
      <c r="Q52" s="96"/>
      <c r="R52" s="95"/>
      <c r="S52" s="96" t="s">
        <v>261</v>
      </c>
      <c r="T52" s="13">
        <f>81981.15</f>
        <v>81981.149999999994</v>
      </c>
      <c r="U52" s="97" t="str">
        <f t="shared" si="2"/>
        <v>－</v>
      </c>
      <c r="V52" s="97"/>
      <c r="W52" s="97"/>
      <c r="X52" s="97" t="str">
        <f t="shared" si="3"/>
        <v>－</v>
      </c>
      <c r="Y52" s="97"/>
      <c r="Z52" s="98"/>
      <c r="AA52" s="95" t="s">
        <v>60</v>
      </c>
      <c r="AB52" s="99" t="str">
        <f t="shared" si="1"/>
        <v>－</v>
      </c>
      <c r="AC52" s="99" t="str">
        <f t="shared" si="0"/>
        <v>－</v>
      </c>
      <c r="AD52" s="100" t="str">
        <f t="shared" si="0"/>
        <v>－</v>
      </c>
    </row>
    <row r="53" spans="1:30">
      <c r="A53" s="91" t="s">
        <v>46</v>
      </c>
      <c r="B53" s="92" t="s">
        <v>1167</v>
      </c>
      <c r="C53" s="92" t="s">
        <v>1168</v>
      </c>
      <c r="D53" s="92" t="s">
        <v>105</v>
      </c>
      <c r="E53" s="93" t="s">
        <v>771</v>
      </c>
      <c r="F53" s="93" t="s">
        <v>810</v>
      </c>
      <c r="G53" s="94">
        <v>50</v>
      </c>
      <c r="H53" s="95"/>
      <c r="I53" s="96" t="s">
        <v>261</v>
      </c>
      <c r="J53" s="95"/>
      <c r="K53" s="96" t="s">
        <v>261</v>
      </c>
      <c r="L53" s="95"/>
      <c r="M53" s="96"/>
      <c r="N53" s="95"/>
      <c r="O53" s="96" t="s">
        <v>261</v>
      </c>
      <c r="P53" s="95"/>
      <c r="Q53" s="96"/>
      <c r="R53" s="95"/>
      <c r="S53" s="96" t="s">
        <v>261</v>
      </c>
      <c r="T53" s="13">
        <f>80053.6</f>
        <v>80053.600000000006</v>
      </c>
      <c r="U53" s="97" t="str">
        <f t="shared" si="2"/>
        <v>－</v>
      </c>
      <c r="V53" s="97"/>
      <c r="W53" s="97"/>
      <c r="X53" s="97" t="str">
        <f t="shared" si="3"/>
        <v>－</v>
      </c>
      <c r="Y53" s="97"/>
      <c r="Z53" s="98"/>
      <c r="AA53" s="95" t="s">
        <v>60</v>
      </c>
      <c r="AB53" s="99" t="str">
        <f t="shared" si="1"/>
        <v>－</v>
      </c>
      <c r="AC53" s="99" t="str">
        <f t="shared" si="0"/>
        <v>－</v>
      </c>
      <c r="AD53" s="100" t="str">
        <f t="shared" si="0"/>
        <v>－</v>
      </c>
    </row>
    <row r="54" spans="1:30">
      <c r="A54" s="91" t="s">
        <v>46</v>
      </c>
      <c r="B54" s="92" t="s">
        <v>1167</v>
      </c>
      <c r="C54" s="92" t="s">
        <v>1168</v>
      </c>
      <c r="D54" s="92" t="s">
        <v>624</v>
      </c>
      <c r="E54" s="93" t="s">
        <v>76</v>
      </c>
      <c r="F54" s="93" t="s">
        <v>107</v>
      </c>
      <c r="G54" s="94">
        <v>50</v>
      </c>
      <c r="H54" s="95"/>
      <c r="I54" s="96" t="s">
        <v>261</v>
      </c>
      <c r="J54" s="95"/>
      <c r="K54" s="96" t="s">
        <v>261</v>
      </c>
      <c r="L54" s="95"/>
      <c r="M54" s="96"/>
      <c r="N54" s="95"/>
      <c r="O54" s="96" t="s">
        <v>261</v>
      </c>
      <c r="P54" s="95"/>
      <c r="Q54" s="96"/>
      <c r="R54" s="95"/>
      <c r="S54" s="96" t="s">
        <v>261</v>
      </c>
      <c r="T54" s="13">
        <f>77134.96</f>
        <v>77134.960000000006</v>
      </c>
      <c r="U54" s="97" t="str">
        <f t="shared" si="2"/>
        <v>－</v>
      </c>
      <c r="V54" s="97"/>
      <c r="W54" s="97"/>
      <c r="X54" s="97" t="str">
        <f t="shared" si="3"/>
        <v>－</v>
      </c>
      <c r="Y54" s="97"/>
      <c r="Z54" s="98"/>
      <c r="AA54" s="95" t="s">
        <v>60</v>
      </c>
      <c r="AB54" s="99" t="str">
        <f t="shared" si="1"/>
        <v>－</v>
      </c>
      <c r="AC54" s="99" t="str">
        <f t="shared" si="0"/>
        <v>－</v>
      </c>
      <c r="AD54" s="100" t="str">
        <f t="shared" si="0"/>
        <v>－</v>
      </c>
    </row>
    <row r="55" spans="1:30">
      <c r="A55" s="91" t="s">
        <v>46</v>
      </c>
      <c r="B55" s="92" t="s">
        <v>1167</v>
      </c>
      <c r="C55" s="92" t="s">
        <v>1168</v>
      </c>
      <c r="D55" s="92" t="s">
        <v>115</v>
      </c>
      <c r="E55" s="93" t="s">
        <v>784</v>
      </c>
      <c r="F55" s="93" t="s">
        <v>745</v>
      </c>
      <c r="G55" s="94">
        <v>50</v>
      </c>
      <c r="H55" s="95"/>
      <c r="I55" s="96" t="s">
        <v>261</v>
      </c>
      <c r="J55" s="95"/>
      <c r="K55" s="96" t="s">
        <v>261</v>
      </c>
      <c r="L55" s="95"/>
      <c r="M55" s="96"/>
      <c r="N55" s="95"/>
      <c r="O55" s="96" t="s">
        <v>261</v>
      </c>
      <c r="P55" s="95"/>
      <c r="Q55" s="96"/>
      <c r="R55" s="95"/>
      <c r="S55" s="96" t="s">
        <v>261</v>
      </c>
      <c r="T55" s="13">
        <f>75341.67</f>
        <v>75341.67</v>
      </c>
      <c r="U55" s="97" t="str">
        <f t="shared" si="2"/>
        <v>－</v>
      </c>
      <c r="V55" s="97"/>
      <c r="W55" s="97"/>
      <c r="X55" s="97" t="str">
        <f t="shared" si="3"/>
        <v>－</v>
      </c>
      <c r="Y55" s="97"/>
      <c r="Z55" s="98"/>
      <c r="AA55" s="95"/>
      <c r="AB55" s="99" t="str">
        <f t="shared" si="1"/>
        <v>－</v>
      </c>
      <c r="AC55" s="99" t="str">
        <f t="shared" si="0"/>
        <v>－</v>
      </c>
      <c r="AD55" s="100" t="str">
        <f t="shared" si="0"/>
        <v>－</v>
      </c>
    </row>
    <row r="56" spans="1:30">
      <c r="A56" s="91" t="s">
        <v>46</v>
      </c>
      <c r="B56" s="92" t="s">
        <v>1167</v>
      </c>
      <c r="C56" s="92" t="s">
        <v>1168</v>
      </c>
      <c r="D56" s="92" t="s">
        <v>634</v>
      </c>
      <c r="E56" s="93" t="s">
        <v>83</v>
      </c>
      <c r="F56" s="93" t="s">
        <v>1103</v>
      </c>
      <c r="G56" s="94">
        <v>50</v>
      </c>
      <c r="H56" s="95"/>
      <c r="I56" s="96" t="s">
        <v>261</v>
      </c>
      <c r="J56" s="95"/>
      <c r="K56" s="96" t="s">
        <v>261</v>
      </c>
      <c r="L56" s="95"/>
      <c r="M56" s="96"/>
      <c r="N56" s="95"/>
      <c r="O56" s="96" t="s">
        <v>261</v>
      </c>
      <c r="P56" s="95"/>
      <c r="Q56" s="96"/>
      <c r="R56" s="95"/>
      <c r="S56" s="96" t="s">
        <v>261</v>
      </c>
      <c r="T56" s="13">
        <f>74391.86</f>
        <v>74391.86</v>
      </c>
      <c r="U56" s="97" t="str">
        <f t="shared" si="2"/>
        <v>－</v>
      </c>
      <c r="V56" s="97"/>
      <c r="W56" s="97"/>
      <c r="X56" s="97" t="str">
        <f t="shared" si="3"/>
        <v>－</v>
      </c>
      <c r="Y56" s="97"/>
      <c r="Z56" s="98"/>
      <c r="AA56" s="95"/>
      <c r="AB56" s="99" t="str">
        <f t="shared" si="1"/>
        <v>－</v>
      </c>
      <c r="AC56" s="99" t="str">
        <f t="shared" si="0"/>
        <v>－</v>
      </c>
      <c r="AD56" s="100" t="str">
        <f t="shared" si="0"/>
        <v>－</v>
      </c>
    </row>
    <row r="57" spans="1:30">
      <c r="A57" s="91" t="s">
        <v>46</v>
      </c>
      <c r="B57" s="92" t="s">
        <v>1167</v>
      </c>
      <c r="C57" s="92" t="s">
        <v>1168</v>
      </c>
      <c r="D57" s="92" t="s">
        <v>128</v>
      </c>
      <c r="E57" s="93" t="s">
        <v>707</v>
      </c>
      <c r="F57" s="93" t="s">
        <v>1106</v>
      </c>
      <c r="G57" s="94">
        <v>50</v>
      </c>
      <c r="H57" s="95"/>
      <c r="I57" s="96" t="s">
        <v>261</v>
      </c>
      <c r="J57" s="95"/>
      <c r="K57" s="96" t="s">
        <v>261</v>
      </c>
      <c r="L57" s="95"/>
      <c r="M57" s="96"/>
      <c r="N57" s="95"/>
      <c r="O57" s="96" t="s">
        <v>261</v>
      </c>
      <c r="P57" s="95"/>
      <c r="Q57" s="96"/>
      <c r="R57" s="95"/>
      <c r="S57" s="96" t="s">
        <v>261</v>
      </c>
      <c r="T57" s="13">
        <f>73258.21</f>
        <v>73258.210000000006</v>
      </c>
      <c r="U57" s="97" t="str">
        <f t="shared" si="2"/>
        <v>－</v>
      </c>
      <c r="V57" s="97"/>
      <c r="W57" s="97"/>
      <c r="X57" s="97" t="str">
        <f t="shared" si="3"/>
        <v>－</v>
      </c>
      <c r="Y57" s="97"/>
      <c r="Z57" s="98"/>
      <c r="AA57" s="95"/>
      <c r="AB57" s="99" t="str">
        <f t="shared" si="1"/>
        <v>－</v>
      </c>
      <c r="AC57" s="99" t="str">
        <f t="shared" si="0"/>
        <v>－</v>
      </c>
      <c r="AD57" s="100" t="str">
        <f t="shared" si="0"/>
        <v>－</v>
      </c>
    </row>
    <row r="58" spans="1:30">
      <c r="A58" s="91" t="s">
        <v>46</v>
      </c>
      <c r="B58" s="92" t="s">
        <v>1167</v>
      </c>
      <c r="C58" s="92" t="s">
        <v>1168</v>
      </c>
      <c r="D58" s="92" t="s">
        <v>641</v>
      </c>
      <c r="E58" s="93" t="s">
        <v>95</v>
      </c>
      <c r="F58" s="93" t="s">
        <v>130</v>
      </c>
      <c r="G58" s="94">
        <v>50</v>
      </c>
      <c r="H58" s="95"/>
      <c r="I58" s="96" t="s">
        <v>261</v>
      </c>
      <c r="J58" s="95"/>
      <c r="K58" s="96" t="s">
        <v>261</v>
      </c>
      <c r="L58" s="95"/>
      <c r="M58" s="96"/>
      <c r="N58" s="95"/>
      <c r="O58" s="96" t="s">
        <v>261</v>
      </c>
      <c r="P58" s="95"/>
      <c r="Q58" s="96"/>
      <c r="R58" s="95"/>
      <c r="S58" s="96" t="s">
        <v>261</v>
      </c>
      <c r="T58" s="13">
        <f>72750</f>
        <v>72750</v>
      </c>
      <c r="U58" s="97" t="str">
        <f t="shared" si="2"/>
        <v>－</v>
      </c>
      <c r="V58" s="97"/>
      <c r="W58" s="97"/>
      <c r="X58" s="97" t="str">
        <f t="shared" si="3"/>
        <v>－</v>
      </c>
      <c r="Y58" s="97"/>
      <c r="Z58" s="98"/>
      <c r="AA58" s="95"/>
      <c r="AB58" s="99" t="str">
        <f t="shared" si="1"/>
        <v>－</v>
      </c>
      <c r="AC58" s="99" t="str">
        <f t="shared" si="0"/>
        <v>－</v>
      </c>
      <c r="AD58" s="100" t="str">
        <f t="shared" si="0"/>
        <v>－</v>
      </c>
    </row>
    <row r="59" spans="1:30">
      <c r="A59" s="91" t="s">
        <v>46</v>
      </c>
      <c r="B59" s="92" t="s">
        <v>1167</v>
      </c>
      <c r="C59" s="92" t="s">
        <v>1168</v>
      </c>
      <c r="D59" s="92" t="s">
        <v>140</v>
      </c>
      <c r="E59" s="93" t="s">
        <v>1009</v>
      </c>
      <c r="F59" s="93" t="s">
        <v>772</v>
      </c>
      <c r="G59" s="94">
        <v>50</v>
      </c>
      <c r="H59" s="95"/>
      <c r="I59" s="96" t="s">
        <v>261</v>
      </c>
      <c r="J59" s="95"/>
      <c r="K59" s="96" t="s">
        <v>261</v>
      </c>
      <c r="L59" s="95"/>
      <c r="M59" s="96"/>
      <c r="N59" s="95"/>
      <c r="O59" s="96" t="s">
        <v>261</v>
      </c>
      <c r="P59" s="95"/>
      <c r="Q59" s="96"/>
      <c r="R59" s="95"/>
      <c r="S59" s="96" t="s">
        <v>261</v>
      </c>
      <c r="T59" s="13">
        <f>72616</f>
        <v>72616</v>
      </c>
      <c r="U59" s="97" t="str">
        <f t="shared" si="2"/>
        <v>－</v>
      </c>
      <c r="V59" s="97"/>
      <c r="W59" s="97"/>
      <c r="X59" s="97" t="str">
        <f t="shared" si="3"/>
        <v>－</v>
      </c>
      <c r="Y59" s="97"/>
      <c r="Z59" s="98"/>
      <c r="AA59" s="95"/>
      <c r="AB59" s="99" t="str">
        <f t="shared" si="1"/>
        <v>－</v>
      </c>
      <c r="AC59" s="99" t="str">
        <f t="shared" si="0"/>
        <v>－</v>
      </c>
      <c r="AD59" s="100" t="str">
        <f t="shared" si="0"/>
        <v>－</v>
      </c>
    </row>
    <row r="60" spans="1:30">
      <c r="A60" s="91" t="s">
        <v>46</v>
      </c>
      <c r="B60" s="92" t="s">
        <v>1167</v>
      </c>
      <c r="C60" s="92" t="s">
        <v>1168</v>
      </c>
      <c r="D60" s="92" t="s">
        <v>783</v>
      </c>
      <c r="E60" s="93" t="s">
        <v>177</v>
      </c>
      <c r="F60" s="93" t="s">
        <v>1107</v>
      </c>
      <c r="G60" s="94">
        <v>50</v>
      </c>
      <c r="H60" s="95"/>
      <c r="I60" s="96" t="s">
        <v>261</v>
      </c>
      <c r="J60" s="95"/>
      <c r="K60" s="96" t="s">
        <v>261</v>
      </c>
      <c r="L60" s="95"/>
      <c r="M60" s="96"/>
      <c r="N60" s="95"/>
      <c r="O60" s="96" t="s">
        <v>261</v>
      </c>
      <c r="P60" s="95"/>
      <c r="Q60" s="96"/>
      <c r="R60" s="95"/>
      <c r="S60" s="96" t="s">
        <v>261</v>
      </c>
      <c r="T60" s="13">
        <f>71940</f>
        <v>71940</v>
      </c>
      <c r="U60" s="97" t="str">
        <f t="shared" si="2"/>
        <v>－</v>
      </c>
      <c r="V60" s="97"/>
      <c r="W60" s="97"/>
      <c r="X60" s="97" t="str">
        <f t="shared" si="3"/>
        <v>－</v>
      </c>
      <c r="Y60" s="97"/>
      <c r="Z60" s="98"/>
      <c r="AA60" s="95"/>
      <c r="AB60" s="99" t="str">
        <f t="shared" si="1"/>
        <v>－</v>
      </c>
      <c r="AC60" s="99" t="str">
        <f t="shared" si="0"/>
        <v>－</v>
      </c>
      <c r="AD60" s="100" t="str">
        <f t="shared" si="0"/>
        <v>－</v>
      </c>
    </row>
    <row r="61" spans="1:30">
      <c r="A61" s="91" t="s">
        <v>46</v>
      </c>
      <c r="B61" s="92" t="s">
        <v>1169</v>
      </c>
      <c r="C61" s="92" t="s">
        <v>1170</v>
      </c>
      <c r="D61" s="92" t="s">
        <v>537</v>
      </c>
      <c r="E61" s="93" t="s">
        <v>821</v>
      </c>
      <c r="F61" s="93" t="s">
        <v>822</v>
      </c>
      <c r="G61" s="94">
        <v>50</v>
      </c>
      <c r="H61" s="95" t="s">
        <v>52</v>
      </c>
      <c r="I61" s="96" t="s">
        <v>1171</v>
      </c>
      <c r="J61" s="95" t="s">
        <v>651</v>
      </c>
      <c r="K61" s="96" t="s">
        <v>1172</v>
      </c>
      <c r="L61" s="95" t="s">
        <v>56</v>
      </c>
      <c r="M61" s="96" t="s">
        <v>1173</v>
      </c>
      <c r="N61" s="95" t="s">
        <v>52</v>
      </c>
      <c r="O61" s="96" t="s">
        <v>1174</v>
      </c>
      <c r="P61" s="95" t="s">
        <v>52</v>
      </c>
      <c r="Q61" s="96" t="s">
        <v>1175</v>
      </c>
      <c r="R61" s="95" t="s">
        <v>56</v>
      </c>
      <c r="S61" s="96" t="s">
        <v>1176</v>
      </c>
      <c r="T61" s="13">
        <f>59148.95</f>
        <v>59148.95</v>
      </c>
      <c r="U61" s="97">
        <f>428</f>
        <v>428</v>
      </c>
      <c r="V61" s="97">
        <v>13</v>
      </c>
      <c r="W61" s="97">
        <v>3</v>
      </c>
      <c r="X61" s="97">
        <f>1263071000</f>
        <v>1263071000</v>
      </c>
      <c r="Y61" s="97">
        <v>38702500</v>
      </c>
      <c r="Z61" s="98">
        <v>8696000</v>
      </c>
      <c r="AA61" s="95" t="s">
        <v>60</v>
      </c>
      <c r="AB61" s="99">
        <f>4057</f>
        <v>4057</v>
      </c>
      <c r="AC61" s="99" t="str">
        <f t="shared" si="0"/>
        <v>－</v>
      </c>
      <c r="AD61" s="100">
        <f>19</f>
        <v>19</v>
      </c>
    </row>
    <row r="62" spans="1:30">
      <c r="A62" s="91" t="s">
        <v>46</v>
      </c>
      <c r="B62" s="92" t="s">
        <v>1169</v>
      </c>
      <c r="C62" s="92" t="s">
        <v>1170</v>
      </c>
      <c r="D62" s="92" t="s">
        <v>49</v>
      </c>
      <c r="E62" s="93" t="s">
        <v>823</v>
      </c>
      <c r="F62" s="93" t="s">
        <v>824</v>
      </c>
      <c r="G62" s="94">
        <v>50</v>
      </c>
      <c r="H62" s="95" t="s">
        <v>52</v>
      </c>
      <c r="I62" s="96" t="s">
        <v>1177</v>
      </c>
      <c r="J62" s="95" t="s">
        <v>278</v>
      </c>
      <c r="K62" s="96" t="s">
        <v>1178</v>
      </c>
      <c r="L62" s="95" t="s">
        <v>521</v>
      </c>
      <c r="M62" s="96" t="s">
        <v>1179</v>
      </c>
      <c r="N62" s="95" t="s">
        <v>52</v>
      </c>
      <c r="O62" s="96" t="s">
        <v>1177</v>
      </c>
      <c r="P62" s="95" t="s">
        <v>52</v>
      </c>
      <c r="Q62" s="96" t="s">
        <v>1180</v>
      </c>
      <c r="R62" s="95" t="s">
        <v>521</v>
      </c>
      <c r="S62" s="96" t="s">
        <v>1181</v>
      </c>
      <c r="T62" s="13">
        <f>62642.16</f>
        <v>62642.16</v>
      </c>
      <c r="U62" s="97">
        <f>3428</f>
        <v>3428</v>
      </c>
      <c r="V62" s="97">
        <v>653</v>
      </c>
      <c r="W62" s="97">
        <v>219</v>
      </c>
      <c r="X62" s="97">
        <f>10563196500</f>
        <v>10563196500</v>
      </c>
      <c r="Y62" s="97">
        <v>2120986000</v>
      </c>
      <c r="Z62" s="98">
        <v>648738000</v>
      </c>
      <c r="AA62" s="95" t="s">
        <v>60</v>
      </c>
      <c r="AB62" s="99">
        <f>5238</f>
        <v>5238</v>
      </c>
      <c r="AC62" s="99" t="str">
        <f t="shared" si="0"/>
        <v>－</v>
      </c>
      <c r="AD62" s="100">
        <f>37</f>
        <v>37</v>
      </c>
    </row>
    <row r="63" spans="1:30">
      <c r="A63" s="91" t="s">
        <v>46</v>
      </c>
      <c r="B63" s="92" t="s">
        <v>1169</v>
      </c>
      <c r="C63" s="92" t="s">
        <v>1170</v>
      </c>
      <c r="D63" s="92" t="s">
        <v>548</v>
      </c>
      <c r="E63" s="93" t="s">
        <v>538</v>
      </c>
      <c r="F63" s="93" t="s">
        <v>825</v>
      </c>
      <c r="G63" s="94">
        <v>50</v>
      </c>
      <c r="H63" s="95" t="s">
        <v>52</v>
      </c>
      <c r="I63" s="96" t="s">
        <v>1182</v>
      </c>
      <c r="J63" s="95" t="s">
        <v>499</v>
      </c>
      <c r="K63" s="96" t="s">
        <v>1183</v>
      </c>
      <c r="L63" s="95" t="s">
        <v>1184</v>
      </c>
      <c r="M63" s="96" t="s">
        <v>1185</v>
      </c>
      <c r="N63" s="95" t="s">
        <v>546</v>
      </c>
      <c r="O63" s="96" t="s">
        <v>1186</v>
      </c>
      <c r="P63" s="95" t="s">
        <v>276</v>
      </c>
      <c r="Q63" s="96" t="s">
        <v>1187</v>
      </c>
      <c r="R63" s="95" t="s">
        <v>758</v>
      </c>
      <c r="S63" s="96" t="s">
        <v>1188</v>
      </c>
      <c r="T63" s="13">
        <f>69390</f>
        <v>69390</v>
      </c>
      <c r="U63" s="97">
        <f>8958</f>
        <v>8958</v>
      </c>
      <c r="V63" s="97">
        <v>3904</v>
      </c>
      <c r="W63" s="97">
        <v>217</v>
      </c>
      <c r="X63" s="97">
        <f>28215271000</f>
        <v>28215271000</v>
      </c>
      <c r="Y63" s="97">
        <v>12489871000</v>
      </c>
      <c r="Z63" s="98">
        <v>650532000</v>
      </c>
      <c r="AA63" s="95" t="s">
        <v>60</v>
      </c>
      <c r="AB63" s="99">
        <f>6239</f>
        <v>6239</v>
      </c>
      <c r="AC63" s="99" t="str">
        <f t="shared" si="0"/>
        <v>－</v>
      </c>
      <c r="AD63" s="100">
        <f>54</f>
        <v>54</v>
      </c>
    </row>
    <row r="64" spans="1:30">
      <c r="A64" s="91" t="s">
        <v>46</v>
      </c>
      <c r="B64" s="92" t="s">
        <v>1169</v>
      </c>
      <c r="C64" s="92" t="s">
        <v>1170</v>
      </c>
      <c r="D64" s="92" t="s">
        <v>61</v>
      </c>
      <c r="E64" s="93" t="s">
        <v>538</v>
      </c>
      <c r="F64" s="93" t="s">
        <v>830</v>
      </c>
      <c r="G64" s="94">
        <v>50</v>
      </c>
      <c r="H64" s="95" t="s">
        <v>52</v>
      </c>
      <c r="I64" s="96" t="s">
        <v>1189</v>
      </c>
      <c r="J64" s="95" t="s">
        <v>357</v>
      </c>
      <c r="K64" s="96" t="s">
        <v>1190</v>
      </c>
      <c r="L64" s="95" t="s">
        <v>357</v>
      </c>
      <c r="M64" s="96" t="s">
        <v>1191</v>
      </c>
      <c r="N64" s="95" t="s">
        <v>52</v>
      </c>
      <c r="O64" s="96" t="s">
        <v>1192</v>
      </c>
      <c r="P64" s="95" t="s">
        <v>276</v>
      </c>
      <c r="Q64" s="96" t="s">
        <v>1193</v>
      </c>
      <c r="R64" s="95" t="s">
        <v>403</v>
      </c>
      <c r="S64" s="96" t="s">
        <v>1194</v>
      </c>
      <c r="T64" s="13">
        <f>70872.91</f>
        <v>70872.91</v>
      </c>
      <c r="U64" s="97">
        <f>17535</f>
        <v>17535</v>
      </c>
      <c r="V64" s="97">
        <v>6379</v>
      </c>
      <c r="W64" s="97">
        <v>1901</v>
      </c>
      <c r="X64" s="97">
        <f>55080340500</f>
        <v>55080340500</v>
      </c>
      <c r="Y64" s="97">
        <v>20467853000</v>
      </c>
      <c r="Z64" s="98">
        <v>5570778500</v>
      </c>
      <c r="AA64" s="95" t="s">
        <v>60</v>
      </c>
      <c r="AB64" s="99">
        <f>4592</f>
        <v>4592</v>
      </c>
      <c r="AC64" s="99" t="str">
        <f t="shared" si="0"/>
        <v>－</v>
      </c>
      <c r="AD64" s="100">
        <f>77</f>
        <v>77</v>
      </c>
    </row>
    <row r="65" spans="1:30">
      <c r="A65" s="91" t="s">
        <v>46</v>
      </c>
      <c r="B65" s="92" t="s">
        <v>1169</v>
      </c>
      <c r="C65" s="92" t="s">
        <v>1170</v>
      </c>
      <c r="D65" s="92" t="s">
        <v>561</v>
      </c>
      <c r="E65" s="93" t="s">
        <v>538</v>
      </c>
      <c r="F65" s="93" t="s">
        <v>835</v>
      </c>
      <c r="G65" s="94">
        <v>50</v>
      </c>
      <c r="H65" s="95" t="s">
        <v>52</v>
      </c>
      <c r="I65" s="96" t="s">
        <v>1195</v>
      </c>
      <c r="J65" s="95" t="s">
        <v>846</v>
      </c>
      <c r="K65" s="96" t="s">
        <v>1196</v>
      </c>
      <c r="L65" s="95" t="s">
        <v>1197</v>
      </c>
      <c r="M65" s="96" t="s">
        <v>1198</v>
      </c>
      <c r="N65" s="95" t="s">
        <v>52</v>
      </c>
      <c r="O65" s="96" t="s">
        <v>1199</v>
      </c>
      <c r="P65" s="95" t="s">
        <v>514</v>
      </c>
      <c r="Q65" s="96" t="s">
        <v>1200</v>
      </c>
      <c r="R65" s="95" t="s">
        <v>1201</v>
      </c>
      <c r="S65" s="96" t="s">
        <v>1202</v>
      </c>
      <c r="T65" s="13">
        <f>72912.76</f>
        <v>72912.759999999995</v>
      </c>
      <c r="U65" s="97">
        <f>114904</f>
        <v>114904</v>
      </c>
      <c r="V65" s="97">
        <v>3327</v>
      </c>
      <c r="W65" s="97">
        <v>13611</v>
      </c>
      <c r="X65" s="97">
        <f>333493520500</f>
        <v>333493520500</v>
      </c>
      <c r="Y65" s="97">
        <v>10772259000</v>
      </c>
      <c r="Z65" s="98">
        <v>39293889500</v>
      </c>
      <c r="AA65" s="95" t="s">
        <v>60</v>
      </c>
      <c r="AB65" s="99">
        <f>1966</f>
        <v>1966</v>
      </c>
      <c r="AC65" s="99" t="str">
        <f t="shared" si="0"/>
        <v>－</v>
      </c>
      <c r="AD65" s="100">
        <f>97</f>
        <v>97</v>
      </c>
    </row>
    <row r="66" spans="1:30">
      <c r="A66" s="91" t="s">
        <v>46</v>
      </c>
      <c r="B66" s="92" t="s">
        <v>1169</v>
      </c>
      <c r="C66" s="92" t="s">
        <v>1170</v>
      </c>
      <c r="D66" s="92" t="s">
        <v>74</v>
      </c>
      <c r="E66" s="93" t="s">
        <v>538</v>
      </c>
      <c r="F66" s="93" t="s">
        <v>840</v>
      </c>
      <c r="G66" s="94">
        <v>50</v>
      </c>
      <c r="H66" s="95" t="s">
        <v>52</v>
      </c>
      <c r="I66" s="96" t="s">
        <v>1203</v>
      </c>
      <c r="J66" s="95" t="s">
        <v>110</v>
      </c>
      <c r="K66" s="96" t="s">
        <v>1204</v>
      </c>
      <c r="L66" s="95" t="s">
        <v>857</v>
      </c>
      <c r="M66" s="96" t="s">
        <v>1205</v>
      </c>
      <c r="N66" s="95" t="s">
        <v>52</v>
      </c>
      <c r="O66" s="96" t="s">
        <v>1206</v>
      </c>
      <c r="P66" s="95" t="s">
        <v>514</v>
      </c>
      <c r="Q66" s="96" t="s">
        <v>1207</v>
      </c>
      <c r="R66" s="95" t="s">
        <v>1208</v>
      </c>
      <c r="S66" s="96" t="s">
        <v>1209</v>
      </c>
      <c r="T66" s="13">
        <f>76037.92</f>
        <v>76037.919999999998</v>
      </c>
      <c r="U66" s="97">
        <f>255941</f>
        <v>255941</v>
      </c>
      <c r="V66" s="97">
        <v>2745</v>
      </c>
      <c r="W66" s="97">
        <v>28356</v>
      </c>
      <c r="X66" s="97">
        <f>767890122000</f>
        <v>767890122000</v>
      </c>
      <c r="Y66" s="97">
        <v>10243076500</v>
      </c>
      <c r="Z66" s="98">
        <v>86143711000</v>
      </c>
      <c r="AA66" s="95" t="s">
        <v>60</v>
      </c>
      <c r="AB66" s="99">
        <f>4132</f>
        <v>4132</v>
      </c>
      <c r="AC66" s="99" t="str">
        <f t="shared" si="0"/>
        <v>－</v>
      </c>
      <c r="AD66" s="100">
        <f>119</f>
        <v>119</v>
      </c>
    </row>
    <row r="67" spans="1:30">
      <c r="A67" s="91" t="s">
        <v>46</v>
      </c>
      <c r="B67" s="92" t="s">
        <v>1169</v>
      </c>
      <c r="C67" s="92" t="s">
        <v>1170</v>
      </c>
      <c r="D67" s="92" t="s">
        <v>576</v>
      </c>
      <c r="E67" s="93" t="s">
        <v>538</v>
      </c>
      <c r="F67" s="93" t="s">
        <v>844</v>
      </c>
      <c r="G67" s="94">
        <v>50</v>
      </c>
      <c r="H67" s="95" t="s">
        <v>582</v>
      </c>
      <c r="I67" s="96" t="s">
        <v>1210</v>
      </c>
      <c r="J67" s="95" t="s">
        <v>1211</v>
      </c>
      <c r="K67" s="96" t="s">
        <v>1212</v>
      </c>
      <c r="L67" s="95" t="s">
        <v>110</v>
      </c>
      <c r="M67" s="96" t="s">
        <v>1213</v>
      </c>
      <c r="N67" s="95" t="s">
        <v>582</v>
      </c>
      <c r="O67" s="96" t="s">
        <v>1210</v>
      </c>
      <c r="P67" s="95" t="s">
        <v>1214</v>
      </c>
      <c r="Q67" s="96" t="s">
        <v>1215</v>
      </c>
      <c r="R67" s="95" t="s">
        <v>1216</v>
      </c>
      <c r="S67" s="96" t="s">
        <v>1217</v>
      </c>
      <c r="T67" s="13">
        <f>76416.64</f>
        <v>76416.639999999999</v>
      </c>
      <c r="U67" s="97">
        <f>306661</f>
        <v>306661</v>
      </c>
      <c r="V67" s="97">
        <v>5497</v>
      </c>
      <c r="W67" s="97">
        <v>40827</v>
      </c>
      <c r="X67" s="97">
        <f>1035577311500</f>
        <v>1035577311500</v>
      </c>
      <c r="Y67" s="97">
        <v>21975054500</v>
      </c>
      <c r="Z67" s="98">
        <v>142640005500</v>
      </c>
      <c r="AA67" s="95" t="s">
        <v>60</v>
      </c>
      <c r="AB67" s="99">
        <f>3864</f>
        <v>3864</v>
      </c>
      <c r="AC67" s="99" t="str">
        <f t="shared" si="0"/>
        <v>－</v>
      </c>
      <c r="AD67" s="100">
        <f>131</f>
        <v>131</v>
      </c>
    </row>
    <row r="68" spans="1:30">
      <c r="A68" s="91" t="s">
        <v>46</v>
      </c>
      <c r="B68" s="92" t="s">
        <v>1169</v>
      </c>
      <c r="C68" s="92" t="s">
        <v>1170</v>
      </c>
      <c r="D68" s="92" t="s">
        <v>81</v>
      </c>
      <c r="E68" s="93" t="s">
        <v>538</v>
      </c>
      <c r="F68" s="93" t="s">
        <v>849</v>
      </c>
      <c r="G68" s="94">
        <v>50</v>
      </c>
      <c r="H68" s="95" t="s">
        <v>512</v>
      </c>
      <c r="I68" s="96" t="s">
        <v>1218</v>
      </c>
      <c r="J68" s="95" t="s">
        <v>110</v>
      </c>
      <c r="K68" s="96" t="s">
        <v>1219</v>
      </c>
      <c r="L68" s="95" t="s">
        <v>110</v>
      </c>
      <c r="M68" s="96" t="s">
        <v>1220</v>
      </c>
      <c r="N68" s="95" t="s">
        <v>512</v>
      </c>
      <c r="O68" s="96" t="s">
        <v>1218</v>
      </c>
      <c r="P68" s="95" t="s">
        <v>499</v>
      </c>
      <c r="Q68" s="96" t="s">
        <v>1221</v>
      </c>
      <c r="R68" s="95" t="s">
        <v>606</v>
      </c>
      <c r="S68" s="96" t="s">
        <v>1222</v>
      </c>
      <c r="T68" s="13">
        <f>75391.79</f>
        <v>75391.789999999994</v>
      </c>
      <c r="U68" s="97">
        <f>262537</f>
        <v>262537</v>
      </c>
      <c r="V68" s="97">
        <v>3703</v>
      </c>
      <c r="W68" s="97">
        <v>41466</v>
      </c>
      <c r="X68" s="97">
        <f>969952305000</f>
        <v>969952305000</v>
      </c>
      <c r="Y68" s="97">
        <v>15603902000</v>
      </c>
      <c r="Z68" s="98">
        <v>154536790000</v>
      </c>
      <c r="AA68" s="95" t="s">
        <v>60</v>
      </c>
      <c r="AB68" s="99">
        <f>7266</f>
        <v>7266</v>
      </c>
      <c r="AC68" s="99" t="str">
        <f t="shared" si="0"/>
        <v>－</v>
      </c>
      <c r="AD68" s="100">
        <f>138</f>
        <v>138</v>
      </c>
    </row>
    <row r="69" spans="1:30">
      <c r="A69" s="91" t="s">
        <v>46</v>
      </c>
      <c r="B69" s="92" t="s">
        <v>1169</v>
      </c>
      <c r="C69" s="92" t="s">
        <v>1170</v>
      </c>
      <c r="D69" s="92" t="s">
        <v>596</v>
      </c>
      <c r="E69" s="93" t="s">
        <v>538</v>
      </c>
      <c r="F69" s="93" t="s">
        <v>855</v>
      </c>
      <c r="G69" s="94">
        <v>50</v>
      </c>
      <c r="H69" s="95" t="s">
        <v>1130</v>
      </c>
      <c r="I69" s="96" t="s">
        <v>1223</v>
      </c>
      <c r="J69" s="95" t="s">
        <v>110</v>
      </c>
      <c r="K69" s="96" t="s">
        <v>1224</v>
      </c>
      <c r="L69" s="95" t="s">
        <v>1208</v>
      </c>
      <c r="M69" s="96" t="s">
        <v>1225</v>
      </c>
      <c r="N69" s="95" t="s">
        <v>1130</v>
      </c>
      <c r="O69" s="96" t="s">
        <v>1223</v>
      </c>
      <c r="P69" s="95" t="s">
        <v>1082</v>
      </c>
      <c r="Q69" s="96" t="s">
        <v>1226</v>
      </c>
      <c r="R69" s="95" t="s">
        <v>417</v>
      </c>
      <c r="S69" s="96" t="s">
        <v>1227</v>
      </c>
      <c r="T69" s="13">
        <f>74821.76</f>
        <v>74821.759999999995</v>
      </c>
      <c r="U69" s="97">
        <f>209955</f>
        <v>209955</v>
      </c>
      <c r="V69" s="97">
        <v>3953</v>
      </c>
      <c r="W69" s="97">
        <v>33930</v>
      </c>
      <c r="X69" s="97">
        <f>811775011500</f>
        <v>811775011500</v>
      </c>
      <c r="Y69" s="97">
        <v>16435292000</v>
      </c>
      <c r="Z69" s="98">
        <v>130751143000</v>
      </c>
      <c r="AA69" s="95" t="s">
        <v>60</v>
      </c>
      <c r="AB69" s="99">
        <f>5178</f>
        <v>5178</v>
      </c>
      <c r="AC69" s="99" t="str">
        <f t="shared" si="0"/>
        <v>－</v>
      </c>
      <c r="AD69" s="100">
        <f>131</f>
        <v>131</v>
      </c>
    </row>
    <row r="70" spans="1:30">
      <c r="A70" s="91" t="s">
        <v>46</v>
      </c>
      <c r="B70" s="92" t="s">
        <v>1169</v>
      </c>
      <c r="C70" s="92" t="s">
        <v>1170</v>
      </c>
      <c r="D70" s="92" t="s">
        <v>93</v>
      </c>
      <c r="E70" s="93" t="s">
        <v>538</v>
      </c>
      <c r="F70" s="93" t="s">
        <v>861</v>
      </c>
      <c r="G70" s="94">
        <v>50</v>
      </c>
      <c r="H70" s="95" t="s">
        <v>1228</v>
      </c>
      <c r="I70" s="96" t="s">
        <v>1229</v>
      </c>
      <c r="J70" s="95" t="s">
        <v>110</v>
      </c>
      <c r="K70" s="96" t="s">
        <v>1230</v>
      </c>
      <c r="L70" s="95" t="s">
        <v>366</v>
      </c>
      <c r="M70" s="96" t="s">
        <v>1231</v>
      </c>
      <c r="N70" s="95" t="s">
        <v>1228</v>
      </c>
      <c r="O70" s="96" t="s">
        <v>1229</v>
      </c>
      <c r="P70" s="95" t="s">
        <v>297</v>
      </c>
      <c r="Q70" s="96" t="s">
        <v>1232</v>
      </c>
      <c r="R70" s="95" t="s">
        <v>740</v>
      </c>
      <c r="S70" s="96" t="s">
        <v>1233</v>
      </c>
      <c r="T70" s="13">
        <f>74233.66</f>
        <v>74233.66</v>
      </c>
      <c r="U70" s="97">
        <f>191751</f>
        <v>191751</v>
      </c>
      <c r="V70" s="97">
        <v>9430</v>
      </c>
      <c r="W70" s="97">
        <v>31865</v>
      </c>
      <c r="X70" s="97">
        <f>780176829000</f>
        <v>780176829000</v>
      </c>
      <c r="Y70" s="97">
        <v>37617751500</v>
      </c>
      <c r="Z70" s="98">
        <v>130683588500</v>
      </c>
      <c r="AA70" s="95" t="s">
        <v>60</v>
      </c>
      <c r="AB70" s="99">
        <f>6641</f>
        <v>6641</v>
      </c>
      <c r="AC70" s="99" t="str">
        <f t="shared" si="0"/>
        <v>－</v>
      </c>
      <c r="AD70" s="100">
        <f>134</f>
        <v>134</v>
      </c>
    </row>
    <row r="71" spans="1:30">
      <c r="A71" s="91" t="s">
        <v>46</v>
      </c>
      <c r="B71" s="92" t="s">
        <v>1169</v>
      </c>
      <c r="C71" s="92" t="s">
        <v>1170</v>
      </c>
      <c r="D71" s="92" t="s">
        <v>614</v>
      </c>
      <c r="E71" s="93" t="s">
        <v>538</v>
      </c>
      <c r="F71" s="93" t="s">
        <v>865</v>
      </c>
      <c r="G71" s="94">
        <v>50</v>
      </c>
      <c r="H71" s="95" t="s">
        <v>361</v>
      </c>
      <c r="I71" s="96" t="s">
        <v>1234</v>
      </c>
      <c r="J71" s="95" t="s">
        <v>110</v>
      </c>
      <c r="K71" s="96" t="s">
        <v>1235</v>
      </c>
      <c r="L71" s="95" t="s">
        <v>857</v>
      </c>
      <c r="M71" s="96" t="s">
        <v>1236</v>
      </c>
      <c r="N71" s="95" t="s">
        <v>361</v>
      </c>
      <c r="O71" s="96" t="s">
        <v>1234</v>
      </c>
      <c r="P71" s="95" t="s">
        <v>798</v>
      </c>
      <c r="Q71" s="96" t="s">
        <v>1237</v>
      </c>
      <c r="R71" s="95" t="s">
        <v>532</v>
      </c>
      <c r="S71" s="96" t="s">
        <v>1238</v>
      </c>
      <c r="T71" s="13">
        <f>73490</f>
        <v>73490</v>
      </c>
      <c r="U71" s="97">
        <f>186741</f>
        <v>186741</v>
      </c>
      <c r="V71" s="97">
        <v>5932</v>
      </c>
      <c r="W71" s="97">
        <v>27808</v>
      </c>
      <c r="X71" s="97">
        <f>747928092500</f>
        <v>747928092500</v>
      </c>
      <c r="Y71" s="97">
        <v>23627022000</v>
      </c>
      <c r="Z71" s="98">
        <v>111784641500</v>
      </c>
      <c r="AA71" s="95" t="s">
        <v>60</v>
      </c>
      <c r="AB71" s="99">
        <f>4489</f>
        <v>4489</v>
      </c>
      <c r="AC71" s="99" t="str">
        <f t="shared" ref="AC71:AD134" si="4">"－"</f>
        <v>－</v>
      </c>
      <c r="AD71" s="100">
        <f>141</f>
        <v>141</v>
      </c>
    </row>
    <row r="72" spans="1:30">
      <c r="A72" s="91" t="s">
        <v>46</v>
      </c>
      <c r="B72" s="92" t="s">
        <v>1169</v>
      </c>
      <c r="C72" s="92" t="s">
        <v>1170</v>
      </c>
      <c r="D72" s="92" t="s">
        <v>105</v>
      </c>
      <c r="E72" s="93" t="s">
        <v>854</v>
      </c>
      <c r="F72" s="93" t="s">
        <v>871</v>
      </c>
      <c r="G72" s="94">
        <v>50</v>
      </c>
      <c r="H72" s="95" t="s">
        <v>52</v>
      </c>
      <c r="I72" s="96" t="s">
        <v>1239</v>
      </c>
      <c r="J72" s="95" t="s">
        <v>110</v>
      </c>
      <c r="K72" s="96" t="s">
        <v>1240</v>
      </c>
      <c r="L72" s="95" t="s">
        <v>606</v>
      </c>
      <c r="M72" s="96" t="s">
        <v>1241</v>
      </c>
      <c r="N72" s="95" t="s">
        <v>52</v>
      </c>
      <c r="O72" s="96" t="s">
        <v>1239</v>
      </c>
      <c r="P72" s="95" t="s">
        <v>627</v>
      </c>
      <c r="Q72" s="96" t="s">
        <v>1242</v>
      </c>
      <c r="R72" s="95" t="s">
        <v>126</v>
      </c>
      <c r="S72" s="96" t="s">
        <v>1243</v>
      </c>
      <c r="T72" s="13">
        <f>71119.43</f>
        <v>71119.429999999993</v>
      </c>
      <c r="U72" s="97">
        <f>165236</f>
        <v>165236</v>
      </c>
      <c r="V72" s="97">
        <v>2457</v>
      </c>
      <c r="W72" s="97">
        <v>27657</v>
      </c>
      <c r="X72" s="97">
        <f>607677365000</f>
        <v>607677365000</v>
      </c>
      <c r="Y72" s="97">
        <v>9359029000</v>
      </c>
      <c r="Z72" s="98">
        <v>101362546000</v>
      </c>
      <c r="AA72" s="95" t="s">
        <v>60</v>
      </c>
      <c r="AB72" s="99">
        <f>3058</f>
        <v>3058</v>
      </c>
      <c r="AC72" s="99" t="str">
        <f t="shared" si="4"/>
        <v>－</v>
      </c>
      <c r="AD72" s="100">
        <f>176</f>
        <v>176</v>
      </c>
    </row>
    <row r="73" spans="1:30">
      <c r="A73" s="91" t="s">
        <v>46</v>
      </c>
      <c r="B73" s="92" t="s">
        <v>1169</v>
      </c>
      <c r="C73" s="92" t="s">
        <v>1170</v>
      </c>
      <c r="D73" s="92" t="s">
        <v>624</v>
      </c>
      <c r="E73" s="93" t="s">
        <v>860</v>
      </c>
      <c r="F73" s="93" t="s">
        <v>876</v>
      </c>
      <c r="G73" s="94">
        <v>50</v>
      </c>
      <c r="H73" s="95" t="s">
        <v>546</v>
      </c>
      <c r="I73" s="96" t="s">
        <v>1244</v>
      </c>
      <c r="J73" s="95" t="s">
        <v>764</v>
      </c>
      <c r="K73" s="96" t="s">
        <v>1245</v>
      </c>
      <c r="L73" s="95" t="s">
        <v>171</v>
      </c>
      <c r="M73" s="96" t="s">
        <v>1246</v>
      </c>
      <c r="N73" s="95" t="s">
        <v>582</v>
      </c>
      <c r="O73" s="96" t="s">
        <v>1247</v>
      </c>
      <c r="P73" s="95" t="s">
        <v>428</v>
      </c>
      <c r="Q73" s="96" t="s">
        <v>1248</v>
      </c>
      <c r="R73" s="95" t="s">
        <v>126</v>
      </c>
      <c r="S73" s="96" t="s">
        <v>1249</v>
      </c>
      <c r="T73" s="13">
        <f>70128.77</f>
        <v>70128.77</v>
      </c>
      <c r="U73" s="97">
        <f>165794</f>
        <v>165794</v>
      </c>
      <c r="V73" s="97">
        <v>2440</v>
      </c>
      <c r="W73" s="97">
        <v>28927</v>
      </c>
      <c r="X73" s="97">
        <f>609789556350</f>
        <v>609789556350</v>
      </c>
      <c r="Y73" s="97">
        <v>9173384850</v>
      </c>
      <c r="Z73" s="98">
        <v>105909904000</v>
      </c>
      <c r="AA73" s="95"/>
      <c r="AB73" s="99">
        <f>3469</f>
        <v>3469</v>
      </c>
      <c r="AC73" s="99" t="str">
        <f t="shared" si="4"/>
        <v>－</v>
      </c>
      <c r="AD73" s="100">
        <f>147</f>
        <v>147</v>
      </c>
    </row>
    <row r="74" spans="1:30">
      <c r="A74" s="91" t="s">
        <v>46</v>
      </c>
      <c r="B74" s="92" t="s">
        <v>1169</v>
      </c>
      <c r="C74" s="92" t="s">
        <v>1170</v>
      </c>
      <c r="D74" s="92" t="s">
        <v>115</v>
      </c>
      <c r="E74" s="93" t="s">
        <v>864</v>
      </c>
      <c r="F74" s="93" t="s">
        <v>879</v>
      </c>
      <c r="G74" s="94">
        <v>50</v>
      </c>
      <c r="H74" s="95" t="s">
        <v>52</v>
      </c>
      <c r="I74" s="96" t="s">
        <v>1250</v>
      </c>
      <c r="J74" s="95" t="s">
        <v>1251</v>
      </c>
      <c r="K74" s="96" t="s">
        <v>1252</v>
      </c>
      <c r="L74" s="95" t="s">
        <v>171</v>
      </c>
      <c r="M74" s="96" t="s">
        <v>1246</v>
      </c>
      <c r="N74" s="95" t="s">
        <v>52</v>
      </c>
      <c r="O74" s="96" t="s">
        <v>1253</v>
      </c>
      <c r="P74" s="95" t="s">
        <v>629</v>
      </c>
      <c r="Q74" s="96" t="s">
        <v>1254</v>
      </c>
      <c r="R74" s="95" t="s">
        <v>126</v>
      </c>
      <c r="S74" s="96" t="s">
        <v>1255</v>
      </c>
      <c r="T74" s="13">
        <f>69077.42</f>
        <v>69077.42</v>
      </c>
      <c r="U74" s="97">
        <f>156304</f>
        <v>156304</v>
      </c>
      <c r="V74" s="97">
        <v>2767</v>
      </c>
      <c r="W74" s="97">
        <v>27266</v>
      </c>
      <c r="X74" s="97">
        <f>574448678200</f>
        <v>574448678200</v>
      </c>
      <c r="Y74" s="97">
        <v>10237956200</v>
      </c>
      <c r="Z74" s="98">
        <v>101237968500</v>
      </c>
      <c r="AA74" s="95"/>
      <c r="AB74" s="99">
        <f>1784</f>
        <v>1784</v>
      </c>
      <c r="AC74" s="99" t="str">
        <f t="shared" si="4"/>
        <v>－</v>
      </c>
      <c r="AD74" s="100">
        <f>135</f>
        <v>135</v>
      </c>
    </row>
    <row r="75" spans="1:30">
      <c r="A75" s="91" t="s">
        <v>46</v>
      </c>
      <c r="B75" s="92" t="s">
        <v>1169</v>
      </c>
      <c r="C75" s="92" t="s">
        <v>1170</v>
      </c>
      <c r="D75" s="92" t="s">
        <v>634</v>
      </c>
      <c r="E75" s="93" t="s">
        <v>539</v>
      </c>
      <c r="F75" s="93" t="s">
        <v>885</v>
      </c>
      <c r="G75" s="94">
        <v>50</v>
      </c>
      <c r="H75" s="95" t="s">
        <v>52</v>
      </c>
      <c r="I75" s="96" t="s">
        <v>1256</v>
      </c>
      <c r="J75" s="95" t="s">
        <v>1251</v>
      </c>
      <c r="K75" s="96" t="s">
        <v>1257</v>
      </c>
      <c r="L75" s="95" t="s">
        <v>1251</v>
      </c>
      <c r="M75" s="96" t="s">
        <v>1258</v>
      </c>
      <c r="N75" s="95" t="s">
        <v>52</v>
      </c>
      <c r="O75" s="96" t="s">
        <v>1256</v>
      </c>
      <c r="P75" s="95" t="s">
        <v>147</v>
      </c>
      <c r="Q75" s="96" t="s">
        <v>1259</v>
      </c>
      <c r="R75" s="95" t="s">
        <v>126</v>
      </c>
      <c r="S75" s="96" t="s">
        <v>1260</v>
      </c>
      <c r="T75" s="13">
        <f>68404.75</f>
        <v>68404.75</v>
      </c>
      <c r="U75" s="97">
        <f>154944</f>
        <v>154944</v>
      </c>
      <c r="V75" s="97">
        <v>1465</v>
      </c>
      <c r="W75" s="97">
        <v>28295</v>
      </c>
      <c r="X75" s="97">
        <f>574740722500</f>
        <v>574740722500</v>
      </c>
      <c r="Y75" s="97">
        <v>5386924500</v>
      </c>
      <c r="Z75" s="98">
        <v>104594076000</v>
      </c>
      <c r="AA75" s="95"/>
      <c r="AB75" s="99">
        <f>1575</f>
        <v>1575</v>
      </c>
      <c r="AC75" s="99" t="str">
        <f t="shared" si="4"/>
        <v>－</v>
      </c>
      <c r="AD75" s="100">
        <f>146</f>
        <v>146</v>
      </c>
    </row>
    <row r="76" spans="1:30">
      <c r="A76" s="91" t="s">
        <v>46</v>
      </c>
      <c r="B76" s="92" t="s">
        <v>1169</v>
      </c>
      <c r="C76" s="92" t="s">
        <v>1170</v>
      </c>
      <c r="D76" s="92" t="s">
        <v>128</v>
      </c>
      <c r="E76" s="93" t="s">
        <v>543</v>
      </c>
      <c r="F76" s="93" t="s">
        <v>889</v>
      </c>
      <c r="G76" s="94">
        <v>50</v>
      </c>
      <c r="H76" s="95" t="s">
        <v>285</v>
      </c>
      <c r="I76" s="96" t="s">
        <v>1261</v>
      </c>
      <c r="J76" s="95" t="s">
        <v>1251</v>
      </c>
      <c r="K76" s="96" t="s">
        <v>1262</v>
      </c>
      <c r="L76" s="95" t="s">
        <v>171</v>
      </c>
      <c r="M76" s="96" t="s">
        <v>1263</v>
      </c>
      <c r="N76" s="95" t="s">
        <v>494</v>
      </c>
      <c r="O76" s="96" t="s">
        <v>1264</v>
      </c>
      <c r="P76" s="95" t="s">
        <v>179</v>
      </c>
      <c r="Q76" s="96" t="s">
        <v>1265</v>
      </c>
      <c r="R76" s="95" t="s">
        <v>126</v>
      </c>
      <c r="S76" s="96" t="s">
        <v>1266</v>
      </c>
      <c r="T76" s="13">
        <f>68952.67</f>
        <v>68952.67</v>
      </c>
      <c r="U76" s="97">
        <f>170341</f>
        <v>170341</v>
      </c>
      <c r="V76" s="97">
        <v>878</v>
      </c>
      <c r="W76" s="97">
        <v>28399</v>
      </c>
      <c r="X76" s="97">
        <f>577111979000</f>
        <v>577111979000</v>
      </c>
      <c r="Y76" s="97">
        <v>3017029000</v>
      </c>
      <c r="Z76" s="98">
        <v>95769843000</v>
      </c>
      <c r="AA76" s="95"/>
      <c r="AB76" s="99">
        <f>5876</f>
        <v>5876</v>
      </c>
      <c r="AC76" s="99" t="str">
        <f t="shared" si="4"/>
        <v>－</v>
      </c>
      <c r="AD76" s="100">
        <f>96</f>
        <v>96</v>
      </c>
    </row>
    <row r="77" spans="1:30">
      <c r="A77" s="91" t="s">
        <v>46</v>
      </c>
      <c r="B77" s="92" t="s">
        <v>1169</v>
      </c>
      <c r="C77" s="92" t="s">
        <v>1170</v>
      </c>
      <c r="D77" s="92" t="s">
        <v>641</v>
      </c>
      <c r="E77" s="93" t="s">
        <v>549</v>
      </c>
      <c r="F77" s="93" t="s">
        <v>890</v>
      </c>
      <c r="G77" s="94">
        <v>50</v>
      </c>
      <c r="H77" s="95" t="s">
        <v>553</v>
      </c>
      <c r="I77" s="96" t="s">
        <v>1267</v>
      </c>
      <c r="J77" s="95" t="s">
        <v>110</v>
      </c>
      <c r="K77" s="96" t="s">
        <v>1046</v>
      </c>
      <c r="L77" s="95" t="s">
        <v>171</v>
      </c>
      <c r="M77" s="96" t="s">
        <v>1268</v>
      </c>
      <c r="N77" s="95" t="s">
        <v>553</v>
      </c>
      <c r="O77" s="96" t="s">
        <v>1269</v>
      </c>
      <c r="P77" s="95" t="s">
        <v>629</v>
      </c>
      <c r="Q77" s="96" t="s">
        <v>1270</v>
      </c>
      <c r="R77" s="95" t="s">
        <v>126</v>
      </c>
      <c r="S77" s="96" t="s">
        <v>1271</v>
      </c>
      <c r="T77" s="13">
        <f>69255.07</f>
        <v>69255.070000000007</v>
      </c>
      <c r="U77" s="97">
        <f>87976</f>
        <v>87976</v>
      </c>
      <c r="V77" s="97">
        <v>188</v>
      </c>
      <c r="W77" s="97">
        <v>13557</v>
      </c>
      <c r="X77" s="97">
        <f>273717775000</f>
        <v>273717775000</v>
      </c>
      <c r="Y77" s="97">
        <v>608123500</v>
      </c>
      <c r="Z77" s="98">
        <v>41790012500</v>
      </c>
      <c r="AA77" s="95"/>
      <c r="AB77" s="99">
        <f>28765</f>
        <v>28765</v>
      </c>
      <c r="AC77" s="99" t="str">
        <f t="shared" si="4"/>
        <v>－</v>
      </c>
      <c r="AD77" s="100">
        <f>94</f>
        <v>94</v>
      </c>
    </row>
    <row r="78" spans="1:30">
      <c r="A78" s="91" t="s">
        <v>46</v>
      </c>
      <c r="B78" s="92" t="s">
        <v>1169</v>
      </c>
      <c r="C78" s="92" t="s">
        <v>1170</v>
      </c>
      <c r="D78" s="92" t="s">
        <v>140</v>
      </c>
      <c r="E78" s="93" t="s">
        <v>556</v>
      </c>
      <c r="F78" s="93" t="s">
        <v>891</v>
      </c>
      <c r="G78" s="94">
        <v>50</v>
      </c>
      <c r="H78" s="95" t="s">
        <v>559</v>
      </c>
      <c r="I78" s="96" t="s">
        <v>1272</v>
      </c>
      <c r="J78" s="95" t="s">
        <v>857</v>
      </c>
      <c r="K78" s="96" t="s">
        <v>1273</v>
      </c>
      <c r="L78" s="95" t="s">
        <v>171</v>
      </c>
      <c r="M78" s="96" t="s">
        <v>1268</v>
      </c>
      <c r="N78" s="95" t="s">
        <v>147</v>
      </c>
      <c r="O78" s="96" t="s">
        <v>1229</v>
      </c>
      <c r="P78" s="95" t="s">
        <v>1158</v>
      </c>
      <c r="Q78" s="96" t="s">
        <v>1274</v>
      </c>
      <c r="R78" s="95" t="s">
        <v>126</v>
      </c>
      <c r="S78" s="96" t="s">
        <v>1275</v>
      </c>
      <c r="T78" s="13">
        <f>69362.16</f>
        <v>69362.16</v>
      </c>
      <c r="U78" s="97">
        <f>590</f>
        <v>590</v>
      </c>
      <c r="V78" s="97">
        <v>44</v>
      </c>
      <c r="W78" s="97">
        <v>11</v>
      </c>
      <c r="X78" s="97">
        <f>1909995000</f>
        <v>1909995000</v>
      </c>
      <c r="Y78" s="97">
        <v>159035500</v>
      </c>
      <c r="Z78" s="98">
        <v>35198500</v>
      </c>
      <c r="AA78" s="95"/>
      <c r="AB78" s="99">
        <f>173</f>
        <v>173</v>
      </c>
      <c r="AC78" s="99" t="str">
        <f t="shared" si="4"/>
        <v>－</v>
      </c>
      <c r="AD78" s="100">
        <f>58</f>
        <v>58</v>
      </c>
    </row>
    <row r="79" spans="1:30">
      <c r="A79" s="91" t="s">
        <v>46</v>
      </c>
      <c r="B79" s="92" t="s">
        <v>1169</v>
      </c>
      <c r="C79" s="92" t="s">
        <v>1170</v>
      </c>
      <c r="D79" s="92" t="s">
        <v>783</v>
      </c>
      <c r="E79" s="93" t="s">
        <v>563</v>
      </c>
      <c r="F79" s="93" t="s">
        <v>892</v>
      </c>
      <c r="G79" s="94">
        <v>50</v>
      </c>
      <c r="H79" s="95" t="s">
        <v>846</v>
      </c>
      <c r="I79" s="96" t="s">
        <v>1276</v>
      </c>
      <c r="J79" s="95" t="s">
        <v>110</v>
      </c>
      <c r="K79" s="96" t="s">
        <v>1277</v>
      </c>
      <c r="L79" s="95" t="s">
        <v>171</v>
      </c>
      <c r="M79" s="96" t="s">
        <v>1268</v>
      </c>
      <c r="N79" s="95" t="s">
        <v>1278</v>
      </c>
      <c r="O79" s="96" t="s">
        <v>1279</v>
      </c>
      <c r="P79" s="95" t="s">
        <v>1158</v>
      </c>
      <c r="Q79" s="96" t="s">
        <v>1274</v>
      </c>
      <c r="R79" s="95" t="s">
        <v>1278</v>
      </c>
      <c r="S79" s="96" t="s">
        <v>1279</v>
      </c>
      <c r="T79" s="13">
        <f>68841.21</f>
        <v>68841.210000000006</v>
      </c>
      <c r="U79" s="97">
        <f>153</f>
        <v>153</v>
      </c>
      <c r="V79" s="97">
        <v>44</v>
      </c>
      <c r="W79" s="97">
        <v>7</v>
      </c>
      <c r="X79" s="97">
        <f>538876000</f>
        <v>538876000</v>
      </c>
      <c r="Y79" s="97">
        <v>159035500</v>
      </c>
      <c r="Z79" s="98">
        <v>23627000</v>
      </c>
      <c r="AA79" s="95"/>
      <c r="AB79" s="99">
        <f>51</f>
        <v>51</v>
      </c>
      <c r="AC79" s="99" t="str">
        <f t="shared" si="4"/>
        <v>－</v>
      </c>
      <c r="AD79" s="100">
        <f>43</f>
        <v>43</v>
      </c>
    </row>
    <row r="80" spans="1:30">
      <c r="A80" s="91" t="s">
        <v>46</v>
      </c>
      <c r="B80" s="92" t="s">
        <v>1169</v>
      </c>
      <c r="C80" s="92" t="s">
        <v>1170</v>
      </c>
      <c r="D80" s="92" t="s">
        <v>154</v>
      </c>
      <c r="E80" s="93" t="s">
        <v>570</v>
      </c>
      <c r="F80" s="93" t="s">
        <v>893</v>
      </c>
      <c r="G80" s="94">
        <v>50</v>
      </c>
      <c r="H80" s="95" t="s">
        <v>504</v>
      </c>
      <c r="I80" s="96" t="s">
        <v>1280</v>
      </c>
      <c r="J80" s="95" t="s">
        <v>110</v>
      </c>
      <c r="K80" s="96" t="s">
        <v>1281</v>
      </c>
      <c r="L80" s="95" t="s">
        <v>171</v>
      </c>
      <c r="M80" s="96" t="s">
        <v>1268</v>
      </c>
      <c r="N80" s="95" t="s">
        <v>1160</v>
      </c>
      <c r="O80" s="96" t="s">
        <v>1282</v>
      </c>
      <c r="P80" s="95" t="s">
        <v>1158</v>
      </c>
      <c r="Q80" s="96" t="s">
        <v>1274</v>
      </c>
      <c r="R80" s="95" t="s">
        <v>880</v>
      </c>
      <c r="S80" s="96" t="s">
        <v>1283</v>
      </c>
      <c r="T80" s="13">
        <f>68003.97</f>
        <v>68003.97</v>
      </c>
      <c r="U80" s="97">
        <f>124</f>
        <v>124</v>
      </c>
      <c r="V80" s="97">
        <v>44</v>
      </c>
      <c r="W80" s="97">
        <v>2</v>
      </c>
      <c r="X80" s="97">
        <f>444830000</f>
        <v>444830000</v>
      </c>
      <c r="Y80" s="97">
        <v>159035500</v>
      </c>
      <c r="Z80" s="98">
        <v>6177500</v>
      </c>
      <c r="AA80" s="95"/>
      <c r="AB80" s="99">
        <f>49</f>
        <v>49</v>
      </c>
      <c r="AC80" s="99" t="str">
        <f t="shared" si="4"/>
        <v>－</v>
      </c>
      <c r="AD80" s="100">
        <f>27</f>
        <v>27</v>
      </c>
    </row>
    <row r="81" spans="1:30">
      <c r="A81" s="91" t="s">
        <v>46</v>
      </c>
      <c r="B81" s="92" t="s">
        <v>1169</v>
      </c>
      <c r="C81" s="92" t="s">
        <v>1170</v>
      </c>
      <c r="D81" s="92" t="s">
        <v>795</v>
      </c>
      <c r="E81" s="93" t="s">
        <v>578</v>
      </c>
      <c r="F81" s="93" t="s">
        <v>894</v>
      </c>
      <c r="G81" s="94">
        <v>50</v>
      </c>
      <c r="H81" s="95" t="s">
        <v>1284</v>
      </c>
      <c r="I81" s="96" t="s">
        <v>1285</v>
      </c>
      <c r="J81" s="95" t="s">
        <v>779</v>
      </c>
      <c r="K81" s="96" t="s">
        <v>1286</v>
      </c>
      <c r="L81" s="95" t="s">
        <v>171</v>
      </c>
      <c r="M81" s="96" t="s">
        <v>1268</v>
      </c>
      <c r="N81" s="95" t="s">
        <v>317</v>
      </c>
      <c r="O81" s="96" t="s">
        <v>1287</v>
      </c>
      <c r="P81" s="95" t="s">
        <v>147</v>
      </c>
      <c r="Q81" s="96" t="s">
        <v>1288</v>
      </c>
      <c r="R81" s="95" t="s">
        <v>145</v>
      </c>
      <c r="S81" s="96" t="s">
        <v>1289</v>
      </c>
      <c r="T81" s="13">
        <f>66502.18</f>
        <v>66502.179999999993</v>
      </c>
      <c r="U81" s="97">
        <f>81</f>
        <v>81</v>
      </c>
      <c r="V81" s="97">
        <v>45</v>
      </c>
      <c r="W81" s="97"/>
      <c r="X81" s="97">
        <f>282149500</f>
        <v>282149500</v>
      </c>
      <c r="Y81" s="97">
        <v>161832000</v>
      </c>
      <c r="Z81" s="98"/>
      <c r="AA81" s="95"/>
      <c r="AB81" s="99">
        <f>38</f>
        <v>38</v>
      </c>
      <c r="AC81" s="99" t="str">
        <f t="shared" si="4"/>
        <v>－</v>
      </c>
      <c r="AD81" s="100">
        <f>18</f>
        <v>18</v>
      </c>
    </row>
    <row r="82" spans="1:30">
      <c r="A82" s="91" t="s">
        <v>46</v>
      </c>
      <c r="B82" s="92" t="s">
        <v>1169</v>
      </c>
      <c r="C82" s="92" t="s">
        <v>1170</v>
      </c>
      <c r="D82" s="92" t="s">
        <v>165</v>
      </c>
      <c r="E82" s="93" t="s">
        <v>587</v>
      </c>
      <c r="F82" s="93" t="s">
        <v>895</v>
      </c>
      <c r="G82" s="94">
        <v>50</v>
      </c>
      <c r="H82" s="95" t="s">
        <v>1290</v>
      </c>
      <c r="I82" s="96" t="s">
        <v>1291</v>
      </c>
      <c r="J82" s="95" t="s">
        <v>209</v>
      </c>
      <c r="K82" s="96" t="s">
        <v>1292</v>
      </c>
      <c r="L82" s="95" t="s">
        <v>171</v>
      </c>
      <c r="M82" s="96" t="s">
        <v>1268</v>
      </c>
      <c r="N82" s="95" t="s">
        <v>714</v>
      </c>
      <c r="O82" s="96" t="s">
        <v>1293</v>
      </c>
      <c r="P82" s="95" t="s">
        <v>147</v>
      </c>
      <c r="Q82" s="96" t="s">
        <v>1288</v>
      </c>
      <c r="R82" s="95" t="s">
        <v>1294</v>
      </c>
      <c r="S82" s="96" t="s">
        <v>1057</v>
      </c>
      <c r="T82" s="13">
        <f>65747.02</f>
        <v>65747.02</v>
      </c>
      <c r="U82" s="97">
        <f>67</f>
        <v>67</v>
      </c>
      <c r="V82" s="97">
        <v>45</v>
      </c>
      <c r="W82" s="97"/>
      <c r="X82" s="97">
        <f>236471500</f>
        <v>236471500</v>
      </c>
      <c r="Y82" s="97">
        <v>161832000</v>
      </c>
      <c r="Z82" s="98"/>
      <c r="AA82" s="95"/>
      <c r="AB82" s="99">
        <f>38</f>
        <v>38</v>
      </c>
      <c r="AC82" s="99" t="str">
        <f t="shared" si="4"/>
        <v>－</v>
      </c>
      <c r="AD82" s="100">
        <f>11</f>
        <v>11</v>
      </c>
    </row>
    <row r="83" spans="1:30">
      <c r="A83" s="91" t="s">
        <v>46</v>
      </c>
      <c r="B83" s="92" t="s">
        <v>1169</v>
      </c>
      <c r="C83" s="92" t="s">
        <v>1170</v>
      </c>
      <c r="D83" s="92" t="s">
        <v>809</v>
      </c>
      <c r="E83" s="93" t="s">
        <v>598</v>
      </c>
      <c r="F83" s="93" t="s">
        <v>896</v>
      </c>
      <c r="G83" s="94">
        <v>50</v>
      </c>
      <c r="H83" s="95" t="s">
        <v>329</v>
      </c>
      <c r="I83" s="96" t="s">
        <v>1295</v>
      </c>
      <c r="J83" s="95" t="s">
        <v>1296</v>
      </c>
      <c r="K83" s="96" t="s">
        <v>1297</v>
      </c>
      <c r="L83" s="95" t="s">
        <v>171</v>
      </c>
      <c r="M83" s="96" t="s">
        <v>1268</v>
      </c>
      <c r="N83" s="95" t="s">
        <v>798</v>
      </c>
      <c r="O83" s="96" t="s">
        <v>1298</v>
      </c>
      <c r="P83" s="95" t="s">
        <v>147</v>
      </c>
      <c r="Q83" s="96" t="s">
        <v>1288</v>
      </c>
      <c r="R83" s="95" t="s">
        <v>1296</v>
      </c>
      <c r="S83" s="96" t="s">
        <v>1297</v>
      </c>
      <c r="T83" s="13">
        <f>64569.15</f>
        <v>64569.15</v>
      </c>
      <c r="U83" s="97">
        <f>63</f>
        <v>63</v>
      </c>
      <c r="V83" s="97">
        <v>45</v>
      </c>
      <c r="W83" s="97"/>
      <c r="X83" s="97">
        <f>220740500</f>
        <v>220740500</v>
      </c>
      <c r="Y83" s="97">
        <v>161832000</v>
      </c>
      <c r="Z83" s="98"/>
      <c r="AA83" s="95"/>
      <c r="AB83" s="99">
        <f>34</f>
        <v>34</v>
      </c>
      <c r="AC83" s="99" t="str">
        <f t="shared" si="4"/>
        <v>－</v>
      </c>
      <c r="AD83" s="100">
        <f>10</f>
        <v>10</v>
      </c>
    </row>
    <row r="84" spans="1:30">
      <c r="A84" s="91" t="s">
        <v>46</v>
      </c>
      <c r="B84" s="92" t="s">
        <v>1169</v>
      </c>
      <c r="C84" s="92" t="s">
        <v>1170</v>
      </c>
      <c r="D84" s="92" t="s">
        <v>176</v>
      </c>
      <c r="E84" s="93" t="s">
        <v>609</v>
      </c>
      <c r="F84" s="93" t="s">
        <v>1299</v>
      </c>
      <c r="G84" s="94">
        <v>50</v>
      </c>
      <c r="H84" s="95" t="s">
        <v>98</v>
      </c>
      <c r="I84" s="96" t="s">
        <v>1300</v>
      </c>
      <c r="J84" s="95" t="s">
        <v>98</v>
      </c>
      <c r="K84" s="96" t="s">
        <v>1301</v>
      </c>
      <c r="L84" s="95" t="s">
        <v>145</v>
      </c>
      <c r="M84" s="96" t="s">
        <v>1302</v>
      </c>
      <c r="N84" s="95" t="s">
        <v>378</v>
      </c>
      <c r="O84" s="96" t="s">
        <v>1303</v>
      </c>
      <c r="P84" s="95" t="s">
        <v>147</v>
      </c>
      <c r="Q84" s="96" t="s">
        <v>1288</v>
      </c>
      <c r="R84" s="95" t="s">
        <v>145</v>
      </c>
      <c r="S84" s="96" t="s">
        <v>1181</v>
      </c>
      <c r="T84" s="13">
        <f>63713.87</f>
        <v>63713.87</v>
      </c>
      <c r="U84" s="97">
        <f>21</f>
        <v>21</v>
      </c>
      <c r="V84" s="97">
        <v>11</v>
      </c>
      <c r="W84" s="97"/>
      <c r="X84" s="97">
        <f>70644000</f>
        <v>70644000</v>
      </c>
      <c r="Y84" s="97">
        <v>37108000</v>
      </c>
      <c r="Z84" s="98"/>
      <c r="AA84" s="95"/>
      <c r="AB84" s="99">
        <f>14</f>
        <v>14</v>
      </c>
      <c r="AC84" s="99" t="str">
        <f t="shared" si="4"/>
        <v>－</v>
      </c>
      <c r="AD84" s="100">
        <f>9</f>
        <v>9</v>
      </c>
    </row>
    <row r="85" spans="1:30">
      <c r="A85" s="91" t="s">
        <v>46</v>
      </c>
      <c r="B85" s="92" t="s">
        <v>1169</v>
      </c>
      <c r="C85" s="92" t="s">
        <v>1170</v>
      </c>
      <c r="D85" s="92" t="s">
        <v>987</v>
      </c>
      <c r="E85" s="93" t="s">
        <v>616</v>
      </c>
      <c r="F85" s="93" t="s">
        <v>1304</v>
      </c>
      <c r="G85" s="94">
        <v>50</v>
      </c>
      <c r="H85" s="95" t="s">
        <v>145</v>
      </c>
      <c r="I85" s="96" t="s">
        <v>1305</v>
      </c>
      <c r="J85" s="95" t="s">
        <v>145</v>
      </c>
      <c r="K85" s="96" t="s">
        <v>1305</v>
      </c>
      <c r="L85" s="95" t="s">
        <v>145</v>
      </c>
      <c r="M85" s="96" t="s">
        <v>1302</v>
      </c>
      <c r="N85" s="95" t="s">
        <v>815</v>
      </c>
      <c r="O85" s="96" t="s">
        <v>1306</v>
      </c>
      <c r="P85" s="95" t="s">
        <v>147</v>
      </c>
      <c r="Q85" s="96" t="s">
        <v>1288</v>
      </c>
      <c r="R85" s="95" t="s">
        <v>179</v>
      </c>
      <c r="S85" s="96" t="s">
        <v>1307</v>
      </c>
      <c r="T85" s="13">
        <f>62156.43</f>
        <v>62156.43</v>
      </c>
      <c r="U85" s="97">
        <f>24</f>
        <v>24</v>
      </c>
      <c r="V85" s="97">
        <v>8</v>
      </c>
      <c r="W85" s="97"/>
      <c r="X85" s="97">
        <f>77457500</f>
        <v>77457500</v>
      </c>
      <c r="Y85" s="97">
        <v>26405500</v>
      </c>
      <c r="Z85" s="98"/>
      <c r="AA85" s="95"/>
      <c r="AB85" s="99">
        <f>17</f>
        <v>17</v>
      </c>
      <c r="AC85" s="99" t="str">
        <f t="shared" si="4"/>
        <v>－</v>
      </c>
      <c r="AD85" s="100">
        <f>9</f>
        <v>9</v>
      </c>
    </row>
    <row r="86" spans="1:30">
      <c r="A86" s="91" t="s">
        <v>46</v>
      </c>
      <c r="B86" s="92" t="s">
        <v>1169</v>
      </c>
      <c r="C86" s="92" t="s">
        <v>1170</v>
      </c>
      <c r="D86" s="92" t="s">
        <v>1308</v>
      </c>
      <c r="E86" s="93" t="s">
        <v>623</v>
      </c>
      <c r="F86" s="93" t="s">
        <v>1309</v>
      </c>
      <c r="G86" s="94">
        <v>50</v>
      </c>
      <c r="H86" s="95" t="s">
        <v>1310</v>
      </c>
      <c r="I86" s="96" t="s">
        <v>1311</v>
      </c>
      <c r="J86" s="95" t="s">
        <v>1310</v>
      </c>
      <c r="K86" s="96" t="s">
        <v>1311</v>
      </c>
      <c r="L86" s="95" t="s">
        <v>421</v>
      </c>
      <c r="M86" s="96" t="s">
        <v>1312</v>
      </c>
      <c r="N86" s="95" t="s">
        <v>147</v>
      </c>
      <c r="O86" s="96" t="s">
        <v>1313</v>
      </c>
      <c r="P86" s="95" t="s">
        <v>147</v>
      </c>
      <c r="Q86" s="96" t="s">
        <v>1288</v>
      </c>
      <c r="R86" s="95" t="s">
        <v>324</v>
      </c>
      <c r="S86" s="96" t="s">
        <v>1314</v>
      </c>
      <c r="T86" s="13">
        <f>58759.55</f>
        <v>58759.55</v>
      </c>
      <c r="U86" s="97">
        <f>15</f>
        <v>15</v>
      </c>
      <c r="V86" s="97">
        <v>2</v>
      </c>
      <c r="W86" s="97"/>
      <c r="X86" s="97">
        <f>44199000</f>
        <v>44199000</v>
      </c>
      <c r="Y86" s="97">
        <v>6151000</v>
      </c>
      <c r="Z86" s="98"/>
      <c r="AA86" s="95"/>
      <c r="AB86" s="99">
        <f>9</f>
        <v>9</v>
      </c>
      <c r="AC86" s="99" t="str">
        <f t="shared" si="4"/>
        <v>－</v>
      </c>
      <c r="AD86" s="100">
        <f>9</f>
        <v>9</v>
      </c>
    </row>
    <row r="87" spans="1:30">
      <c r="A87" s="91" t="s">
        <v>46</v>
      </c>
      <c r="B87" s="92" t="s">
        <v>1315</v>
      </c>
      <c r="C87" s="92" t="s">
        <v>1316</v>
      </c>
      <c r="D87" s="92" t="s">
        <v>537</v>
      </c>
      <c r="E87" s="93" t="s">
        <v>1317</v>
      </c>
      <c r="F87" s="93" t="s">
        <v>1318</v>
      </c>
      <c r="G87" s="94">
        <v>74400</v>
      </c>
      <c r="H87" s="95" t="s">
        <v>546</v>
      </c>
      <c r="I87" s="96" t="s">
        <v>1319</v>
      </c>
      <c r="J87" s="95" t="s">
        <v>506</v>
      </c>
      <c r="K87" s="96" t="s">
        <v>1320</v>
      </c>
      <c r="L87" s="95"/>
      <c r="M87" s="96"/>
      <c r="N87" s="95" t="s">
        <v>546</v>
      </c>
      <c r="O87" s="96" t="s">
        <v>1319</v>
      </c>
      <c r="P87" s="95"/>
      <c r="Q87" s="96"/>
      <c r="R87" s="95" t="s">
        <v>506</v>
      </c>
      <c r="S87" s="96" t="s">
        <v>1320</v>
      </c>
      <c r="T87" s="13">
        <f>24.67</f>
        <v>24.67</v>
      </c>
      <c r="U87" s="97">
        <f>20</f>
        <v>20</v>
      </c>
      <c r="V87" s="97"/>
      <c r="W87" s="97"/>
      <c r="X87" s="97">
        <f>38316000</f>
        <v>38316000</v>
      </c>
      <c r="Y87" s="97"/>
      <c r="Z87" s="98"/>
      <c r="AA87" s="95" t="s">
        <v>60</v>
      </c>
      <c r="AB87" s="99">
        <f>434</f>
        <v>434</v>
      </c>
      <c r="AC87" s="99" t="str">
        <f t="shared" si="4"/>
        <v>－</v>
      </c>
      <c r="AD87" s="100">
        <f>2</f>
        <v>2</v>
      </c>
    </row>
    <row r="88" spans="1:30">
      <c r="A88" s="91" t="s">
        <v>46</v>
      </c>
      <c r="B88" s="92" t="s">
        <v>1315</v>
      </c>
      <c r="C88" s="92" t="s">
        <v>1316</v>
      </c>
      <c r="D88" s="92" t="s">
        <v>49</v>
      </c>
      <c r="E88" s="93" t="s">
        <v>1321</v>
      </c>
      <c r="F88" s="93" t="s">
        <v>1041</v>
      </c>
      <c r="G88" s="94">
        <v>67200</v>
      </c>
      <c r="H88" s="95" t="s">
        <v>514</v>
      </c>
      <c r="I88" s="96" t="s">
        <v>1322</v>
      </c>
      <c r="J88" s="95" t="s">
        <v>389</v>
      </c>
      <c r="K88" s="96" t="s">
        <v>1323</v>
      </c>
      <c r="L88" s="95" t="s">
        <v>276</v>
      </c>
      <c r="M88" s="96" t="s">
        <v>1324</v>
      </c>
      <c r="N88" s="95" t="s">
        <v>902</v>
      </c>
      <c r="O88" s="96" t="s">
        <v>1325</v>
      </c>
      <c r="P88" s="95" t="s">
        <v>56</v>
      </c>
      <c r="Q88" s="96" t="s">
        <v>1326</v>
      </c>
      <c r="R88" s="95" t="s">
        <v>89</v>
      </c>
      <c r="S88" s="96" t="s">
        <v>1323</v>
      </c>
      <c r="T88" s="13">
        <f>23.51</f>
        <v>23.51</v>
      </c>
      <c r="U88" s="97">
        <f>202</f>
        <v>202</v>
      </c>
      <c r="V88" s="97">
        <v>154</v>
      </c>
      <c r="W88" s="97"/>
      <c r="X88" s="97">
        <f>323591520</f>
        <v>323591520</v>
      </c>
      <c r="Y88" s="97">
        <v>248693760</v>
      </c>
      <c r="Z88" s="98"/>
      <c r="AA88" s="95" t="s">
        <v>60</v>
      </c>
      <c r="AB88" s="99">
        <f>423</f>
        <v>423</v>
      </c>
      <c r="AC88" s="99" t="str">
        <f t="shared" si="4"/>
        <v>－</v>
      </c>
      <c r="AD88" s="100">
        <f>5</f>
        <v>5</v>
      </c>
    </row>
    <row r="89" spans="1:30">
      <c r="A89" s="91" t="s">
        <v>46</v>
      </c>
      <c r="B89" s="92" t="s">
        <v>1315</v>
      </c>
      <c r="C89" s="92" t="s">
        <v>1316</v>
      </c>
      <c r="D89" s="92" t="s">
        <v>548</v>
      </c>
      <c r="E89" s="93" t="s">
        <v>1327</v>
      </c>
      <c r="F89" s="93" t="s">
        <v>1328</v>
      </c>
      <c r="G89" s="94">
        <v>74400</v>
      </c>
      <c r="H89" s="95" t="s">
        <v>514</v>
      </c>
      <c r="I89" s="96" t="s">
        <v>1329</v>
      </c>
      <c r="J89" s="95" t="s">
        <v>118</v>
      </c>
      <c r="K89" s="96" t="s">
        <v>1330</v>
      </c>
      <c r="L89" s="95" t="s">
        <v>1331</v>
      </c>
      <c r="M89" s="96" t="s">
        <v>1332</v>
      </c>
      <c r="N89" s="95" t="s">
        <v>918</v>
      </c>
      <c r="O89" s="96" t="s">
        <v>1333</v>
      </c>
      <c r="P89" s="95" t="s">
        <v>1334</v>
      </c>
      <c r="Q89" s="96" t="s">
        <v>1335</v>
      </c>
      <c r="R89" s="95" t="s">
        <v>118</v>
      </c>
      <c r="S89" s="96" t="s">
        <v>1330</v>
      </c>
      <c r="T89" s="13">
        <f>21.08</f>
        <v>21.08</v>
      </c>
      <c r="U89" s="97">
        <f>590</f>
        <v>590</v>
      </c>
      <c r="V89" s="97">
        <v>510</v>
      </c>
      <c r="W89" s="97"/>
      <c r="X89" s="97">
        <f>1099832880</f>
        <v>1099832880</v>
      </c>
      <c r="Y89" s="97">
        <v>999564000</v>
      </c>
      <c r="Z89" s="98"/>
      <c r="AA89" s="95" t="s">
        <v>60</v>
      </c>
      <c r="AB89" s="99">
        <f>1416</f>
        <v>1416</v>
      </c>
      <c r="AC89" s="99" t="str">
        <f t="shared" si="4"/>
        <v>－</v>
      </c>
      <c r="AD89" s="100">
        <f>5</f>
        <v>5</v>
      </c>
    </row>
    <row r="90" spans="1:30">
      <c r="A90" s="91" t="s">
        <v>46</v>
      </c>
      <c r="B90" s="92" t="s">
        <v>1315</v>
      </c>
      <c r="C90" s="92" t="s">
        <v>1316</v>
      </c>
      <c r="D90" s="92" t="s">
        <v>61</v>
      </c>
      <c r="E90" s="93" t="s">
        <v>1336</v>
      </c>
      <c r="F90" s="93" t="s">
        <v>830</v>
      </c>
      <c r="G90" s="94">
        <v>72000</v>
      </c>
      <c r="H90" s="95" t="s">
        <v>86</v>
      </c>
      <c r="I90" s="96" t="s">
        <v>1337</v>
      </c>
      <c r="J90" s="95" t="s">
        <v>359</v>
      </c>
      <c r="K90" s="96" t="s">
        <v>1338</v>
      </c>
      <c r="L90" s="95" t="s">
        <v>86</v>
      </c>
      <c r="M90" s="96" t="s">
        <v>1339</v>
      </c>
      <c r="N90" s="95" t="s">
        <v>1340</v>
      </c>
      <c r="O90" s="96" t="s">
        <v>1323</v>
      </c>
      <c r="P90" s="95" t="s">
        <v>357</v>
      </c>
      <c r="Q90" s="96" t="s">
        <v>1341</v>
      </c>
      <c r="R90" s="95" t="s">
        <v>1342</v>
      </c>
      <c r="S90" s="96" t="s">
        <v>1319</v>
      </c>
      <c r="T90" s="13">
        <f>18.66</f>
        <v>18.66</v>
      </c>
      <c r="U90" s="97">
        <f>117</f>
        <v>117</v>
      </c>
      <c r="V90" s="97">
        <v>65</v>
      </c>
      <c r="W90" s="97"/>
      <c r="X90" s="97">
        <f>213602400</f>
        <v>213602400</v>
      </c>
      <c r="Y90" s="97">
        <v>118620000</v>
      </c>
      <c r="Z90" s="98"/>
      <c r="AA90" s="95" t="s">
        <v>60</v>
      </c>
      <c r="AB90" s="99">
        <f>143</f>
        <v>143</v>
      </c>
      <c r="AC90" s="99" t="str">
        <f t="shared" si="4"/>
        <v>－</v>
      </c>
      <c r="AD90" s="100">
        <f>4</f>
        <v>4</v>
      </c>
    </row>
    <row r="91" spans="1:30">
      <c r="A91" s="91" t="s">
        <v>46</v>
      </c>
      <c r="B91" s="92" t="s">
        <v>1315</v>
      </c>
      <c r="C91" s="92" t="s">
        <v>1316</v>
      </c>
      <c r="D91" s="92" t="s">
        <v>561</v>
      </c>
      <c r="E91" s="93" t="s">
        <v>1343</v>
      </c>
      <c r="F91" s="93" t="s">
        <v>1344</v>
      </c>
      <c r="G91" s="94">
        <v>74400</v>
      </c>
      <c r="H91" s="95" t="s">
        <v>718</v>
      </c>
      <c r="I91" s="96" t="s">
        <v>1345</v>
      </c>
      <c r="J91" s="95" t="s">
        <v>718</v>
      </c>
      <c r="K91" s="96" t="s">
        <v>1345</v>
      </c>
      <c r="L91" s="95" t="s">
        <v>86</v>
      </c>
      <c r="M91" s="96" t="s">
        <v>1339</v>
      </c>
      <c r="N91" s="95" t="s">
        <v>374</v>
      </c>
      <c r="O91" s="96" t="s">
        <v>1325</v>
      </c>
      <c r="P91" s="95" t="s">
        <v>357</v>
      </c>
      <c r="Q91" s="96" t="s">
        <v>1341</v>
      </c>
      <c r="R91" s="95" t="s">
        <v>954</v>
      </c>
      <c r="S91" s="96" t="s">
        <v>1346</v>
      </c>
      <c r="T91" s="13">
        <f>18.89</f>
        <v>18.89</v>
      </c>
      <c r="U91" s="97">
        <f>118</f>
        <v>118</v>
      </c>
      <c r="V91" s="97">
        <v>65</v>
      </c>
      <c r="W91" s="97"/>
      <c r="X91" s="97">
        <f>209536440</f>
        <v>209536440</v>
      </c>
      <c r="Y91" s="97">
        <v>122574000</v>
      </c>
      <c r="Z91" s="98"/>
      <c r="AA91" s="95" t="s">
        <v>60</v>
      </c>
      <c r="AB91" s="99">
        <f>130</f>
        <v>130</v>
      </c>
      <c r="AC91" s="99" t="str">
        <f t="shared" si="4"/>
        <v>－</v>
      </c>
      <c r="AD91" s="100">
        <f>4</f>
        <v>4</v>
      </c>
    </row>
    <row r="92" spans="1:30">
      <c r="A92" s="91" t="s">
        <v>46</v>
      </c>
      <c r="B92" s="92" t="s">
        <v>1315</v>
      </c>
      <c r="C92" s="92" t="s">
        <v>1316</v>
      </c>
      <c r="D92" s="92" t="s">
        <v>74</v>
      </c>
      <c r="E92" s="93" t="s">
        <v>1347</v>
      </c>
      <c r="F92" s="93" t="s">
        <v>1348</v>
      </c>
      <c r="G92" s="94">
        <v>72000</v>
      </c>
      <c r="H92" s="95" t="s">
        <v>1349</v>
      </c>
      <c r="I92" s="96" t="s">
        <v>1350</v>
      </c>
      <c r="J92" s="95" t="s">
        <v>1349</v>
      </c>
      <c r="K92" s="96" t="s">
        <v>1350</v>
      </c>
      <c r="L92" s="95" t="s">
        <v>286</v>
      </c>
      <c r="M92" s="96" t="s">
        <v>1351</v>
      </c>
      <c r="N92" s="95" t="s">
        <v>1349</v>
      </c>
      <c r="O92" s="96" t="s">
        <v>1350</v>
      </c>
      <c r="P92" s="95" t="s">
        <v>121</v>
      </c>
      <c r="Q92" s="96" t="s">
        <v>1352</v>
      </c>
      <c r="R92" s="95" t="s">
        <v>1349</v>
      </c>
      <c r="S92" s="96" t="s">
        <v>1350</v>
      </c>
      <c r="T92" s="13">
        <f>20.3</f>
        <v>20.3</v>
      </c>
      <c r="U92" s="97">
        <f>115</f>
        <v>115</v>
      </c>
      <c r="V92" s="97">
        <v>105</v>
      </c>
      <c r="W92" s="97"/>
      <c r="X92" s="97">
        <f>212220000</f>
        <v>212220000</v>
      </c>
      <c r="Y92" s="97">
        <v>194580000</v>
      </c>
      <c r="Z92" s="98"/>
      <c r="AA92" s="95" t="s">
        <v>60</v>
      </c>
      <c r="AB92" s="99">
        <f>155</f>
        <v>155</v>
      </c>
      <c r="AC92" s="99" t="str">
        <f t="shared" si="4"/>
        <v>－</v>
      </c>
      <c r="AD92" s="100">
        <f>1</f>
        <v>1</v>
      </c>
    </row>
    <row r="93" spans="1:30">
      <c r="A93" s="91" t="s">
        <v>46</v>
      </c>
      <c r="B93" s="92" t="s">
        <v>1315</v>
      </c>
      <c r="C93" s="92" t="s">
        <v>1316</v>
      </c>
      <c r="D93" s="92" t="s">
        <v>576</v>
      </c>
      <c r="E93" s="93" t="s">
        <v>1353</v>
      </c>
      <c r="F93" s="93" t="s">
        <v>844</v>
      </c>
      <c r="G93" s="94">
        <v>74400</v>
      </c>
      <c r="H93" s="95" t="s">
        <v>72</v>
      </c>
      <c r="I93" s="96" t="s">
        <v>1354</v>
      </c>
      <c r="J93" s="95" t="s">
        <v>137</v>
      </c>
      <c r="K93" s="96" t="s">
        <v>1355</v>
      </c>
      <c r="L93" s="95" t="s">
        <v>584</v>
      </c>
      <c r="M93" s="96" t="s">
        <v>1356</v>
      </c>
      <c r="N93" s="95" t="s">
        <v>72</v>
      </c>
      <c r="O93" s="96" t="s">
        <v>1354</v>
      </c>
      <c r="P93" s="95" t="s">
        <v>357</v>
      </c>
      <c r="Q93" s="96" t="s">
        <v>1341</v>
      </c>
      <c r="R93" s="95" t="s">
        <v>292</v>
      </c>
      <c r="S93" s="96" t="s">
        <v>1357</v>
      </c>
      <c r="T93" s="13">
        <f>26.97</f>
        <v>26.97</v>
      </c>
      <c r="U93" s="97">
        <f>487</f>
        <v>487</v>
      </c>
      <c r="V93" s="97">
        <v>465</v>
      </c>
      <c r="W93" s="97"/>
      <c r="X93" s="97">
        <f>1117334736</f>
        <v>1117334736</v>
      </c>
      <c r="Y93" s="97">
        <v>1064965320</v>
      </c>
      <c r="Z93" s="98"/>
      <c r="AA93" s="95" t="s">
        <v>60</v>
      </c>
      <c r="AB93" s="99">
        <f>350</f>
        <v>350</v>
      </c>
      <c r="AC93" s="99" t="str">
        <f t="shared" si="4"/>
        <v>－</v>
      </c>
      <c r="AD93" s="100">
        <f>9</f>
        <v>9</v>
      </c>
    </row>
    <row r="94" spans="1:30">
      <c r="A94" s="91" t="s">
        <v>46</v>
      </c>
      <c r="B94" s="92" t="s">
        <v>1315</v>
      </c>
      <c r="C94" s="92" t="s">
        <v>1316</v>
      </c>
      <c r="D94" s="92" t="s">
        <v>81</v>
      </c>
      <c r="E94" s="93" t="s">
        <v>1358</v>
      </c>
      <c r="F94" s="93" t="s">
        <v>1359</v>
      </c>
      <c r="G94" s="94">
        <v>74400</v>
      </c>
      <c r="H94" s="95" t="s">
        <v>954</v>
      </c>
      <c r="I94" s="96" t="s">
        <v>1360</v>
      </c>
      <c r="J94" s="95" t="s">
        <v>1284</v>
      </c>
      <c r="K94" s="96" t="s">
        <v>1361</v>
      </c>
      <c r="L94" s="95" t="s">
        <v>1284</v>
      </c>
      <c r="M94" s="96" t="s">
        <v>1362</v>
      </c>
      <c r="N94" s="95" t="s">
        <v>954</v>
      </c>
      <c r="O94" s="96" t="s">
        <v>1360</v>
      </c>
      <c r="P94" s="95" t="s">
        <v>357</v>
      </c>
      <c r="Q94" s="96" t="s">
        <v>1341</v>
      </c>
      <c r="R94" s="95" t="s">
        <v>1216</v>
      </c>
      <c r="S94" s="96" t="s">
        <v>1363</v>
      </c>
      <c r="T94" s="13">
        <f>31.43</f>
        <v>31.43</v>
      </c>
      <c r="U94" s="97">
        <f>884</f>
        <v>884</v>
      </c>
      <c r="V94" s="97">
        <v>865</v>
      </c>
      <c r="W94" s="97"/>
      <c r="X94" s="97">
        <f>2250156576</f>
        <v>2250156576</v>
      </c>
      <c r="Y94" s="97">
        <v>2195101320</v>
      </c>
      <c r="Z94" s="98"/>
      <c r="AA94" s="95" t="s">
        <v>60</v>
      </c>
      <c r="AB94" s="99">
        <f>287</f>
        <v>287</v>
      </c>
      <c r="AC94" s="99" t="str">
        <f t="shared" si="4"/>
        <v>－</v>
      </c>
      <c r="AD94" s="100">
        <f>10</f>
        <v>10</v>
      </c>
    </row>
    <row r="95" spans="1:30">
      <c r="A95" s="91" t="s">
        <v>46</v>
      </c>
      <c r="B95" s="92" t="s">
        <v>1315</v>
      </c>
      <c r="C95" s="92" t="s">
        <v>1316</v>
      </c>
      <c r="D95" s="92" t="s">
        <v>596</v>
      </c>
      <c r="E95" s="93" t="s">
        <v>1364</v>
      </c>
      <c r="F95" s="93" t="s">
        <v>1365</v>
      </c>
      <c r="G95" s="94">
        <v>72000</v>
      </c>
      <c r="H95" s="95" t="s">
        <v>403</v>
      </c>
      <c r="I95" s="96" t="s">
        <v>1338</v>
      </c>
      <c r="J95" s="95" t="s">
        <v>1284</v>
      </c>
      <c r="K95" s="96" t="s">
        <v>1366</v>
      </c>
      <c r="L95" s="95" t="s">
        <v>1367</v>
      </c>
      <c r="M95" s="96" t="s">
        <v>1368</v>
      </c>
      <c r="N95" s="95" t="s">
        <v>403</v>
      </c>
      <c r="O95" s="96" t="s">
        <v>1338</v>
      </c>
      <c r="P95" s="95" t="s">
        <v>89</v>
      </c>
      <c r="Q95" s="96" t="s">
        <v>1369</v>
      </c>
      <c r="R95" s="95" t="s">
        <v>160</v>
      </c>
      <c r="S95" s="96" t="s">
        <v>1370</v>
      </c>
      <c r="T95" s="13">
        <f>26.95</f>
        <v>26.95</v>
      </c>
      <c r="U95" s="97">
        <f>719</f>
        <v>719</v>
      </c>
      <c r="V95" s="97">
        <v>665</v>
      </c>
      <c r="W95" s="97"/>
      <c r="X95" s="97">
        <f>1552755600</f>
        <v>1552755600</v>
      </c>
      <c r="Y95" s="97">
        <v>1428843600</v>
      </c>
      <c r="Z95" s="98"/>
      <c r="AA95" s="95" t="s">
        <v>60</v>
      </c>
      <c r="AB95" s="99">
        <f>365</f>
        <v>365</v>
      </c>
      <c r="AC95" s="99" t="str">
        <f t="shared" si="4"/>
        <v>－</v>
      </c>
      <c r="AD95" s="100">
        <f>9</f>
        <v>9</v>
      </c>
    </row>
    <row r="96" spans="1:30">
      <c r="A96" s="91" t="s">
        <v>46</v>
      </c>
      <c r="B96" s="92" t="s">
        <v>1315</v>
      </c>
      <c r="C96" s="92" t="s">
        <v>1316</v>
      </c>
      <c r="D96" s="92" t="s">
        <v>93</v>
      </c>
      <c r="E96" s="93" t="s">
        <v>821</v>
      </c>
      <c r="F96" s="93" t="s">
        <v>1371</v>
      </c>
      <c r="G96" s="94">
        <v>74400</v>
      </c>
      <c r="H96" s="95" t="s">
        <v>281</v>
      </c>
      <c r="I96" s="96" t="s">
        <v>1325</v>
      </c>
      <c r="J96" s="95" t="s">
        <v>335</v>
      </c>
      <c r="K96" s="96" t="s">
        <v>1372</v>
      </c>
      <c r="L96" s="95" t="s">
        <v>1085</v>
      </c>
      <c r="M96" s="96" t="s">
        <v>1373</v>
      </c>
      <c r="N96" s="95" t="s">
        <v>281</v>
      </c>
      <c r="O96" s="96" t="s">
        <v>1325</v>
      </c>
      <c r="P96" s="95" t="s">
        <v>89</v>
      </c>
      <c r="Q96" s="96" t="s">
        <v>1369</v>
      </c>
      <c r="R96" s="95" t="s">
        <v>1374</v>
      </c>
      <c r="S96" s="96" t="s">
        <v>1363</v>
      </c>
      <c r="T96" s="13">
        <f>25.05</f>
        <v>25.05</v>
      </c>
      <c r="U96" s="97">
        <f>631</f>
        <v>631</v>
      </c>
      <c r="V96" s="97">
        <v>425</v>
      </c>
      <c r="W96" s="97"/>
      <c r="X96" s="97">
        <f>1416129600</f>
        <v>1416129600</v>
      </c>
      <c r="Y96" s="97">
        <v>942313200</v>
      </c>
      <c r="Z96" s="98"/>
      <c r="AA96" s="95" t="s">
        <v>60</v>
      </c>
      <c r="AB96" s="99">
        <f>340</f>
        <v>340</v>
      </c>
      <c r="AC96" s="99" t="str">
        <f t="shared" si="4"/>
        <v>－</v>
      </c>
      <c r="AD96" s="100">
        <f>15</f>
        <v>15</v>
      </c>
    </row>
    <row r="97" spans="1:30">
      <c r="A97" s="91" t="s">
        <v>46</v>
      </c>
      <c r="B97" s="92" t="s">
        <v>1315</v>
      </c>
      <c r="C97" s="92" t="s">
        <v>1316</v>
      </c>
      <c r="D97" s="92" t="s">
        <v>614</v>
      </c>
      <c r="E97" s="93" t="s">
        <v>1375</v>
      </c>
      <c r="F97" s="93" t="s">
        <v>1376</v>
      </c>
      <c r="G97" s="94">
        <v>72000</v>
      </c>
      <c r="H97" s="95" t="s">
        <v>281</v>
      </c>
      <c r="I97" s="96" t="s">
        <v>1377</v>
      </c>
      <c r="J97" s="95" t="s">
        <v>335</v>
      </c>
      <c r="K97" s="96" t="s">
        <v>1378</v>
      </c>
      <c r="L97" s="95" t="s">
        <v>580</v>
      </c>
      <c r="M97" s="96" t="s">
        <v>1339</v>
      </c>
      <c r="N97" s="95" t="s">
        <v>281</v>
      </c>
      <c r="O97" s="96" t="s">
        <v>1377</v>
      </c>
      <c r="P97" s="95" t="s">
        <v>1342</v>
      </c>
      <c r="Q97" s="96" t="s">
        <v>1352</v>
      </c>
      <c r="R97" s="95" t="s">
        <v>724</v>
      </c>
      <c r="S97" s="96" t="s">
        <v>1379</v>
      </c>
      <c r="T97" s="13">
        <f>26.71</f>
        <v>26.71</v>
      </c>
      <c r="U97" s="97">
        <f>193</f>
        <v>193</v>
      </c>
      <c r="V97" s="97">
        <v>110</v>
      </c>
      <c r="W97" s="97"/>
      <c r="X97" s="97">
        <f>398790000</f>
        <v>398790000</v>
      </c>
      <c r="Y97" s="97">
        <v>200772000</v>
      </c>
      <c r="Z97" s="98"/>
      <c r="AA97" s="95" t="s">
        <v>60</v>
      </c>
      <c r="AB97" s="99">
        <f>161</f>
        <v>161</v>
      </c>
      <c r="AC97" s="99" t="str">
        <f t="shared" si="4"/>
        <v>－</v>
      </c>
      <c r="AD97" s="100">
        <f>9</f>
        <v>9</v>
      </c>
    </row>
    <row r="98" spans="1:30">
      <c r="A98" s="91" t="s">
        <v>46</v>
      </c>
      <c r="B98" s="92" t="s">
        <v>1315</v>
      </c>
      <c r="C98" s="92" t="s">
        <v>1316</v>
      </c>
      <c r="D98" s="92" t="s">
        <v>105</v>
      </c>
      <c r="E98" s="93" t="s">
        <v>1380</v>
      </c>
      <c r="F98" s="93" t="s">
        <v>871</v>
      </c>
      <c r="G98" s="94">
        <v>74400</v>
      </c>
      <c r="H98" s="95" t="s">
        <v>1211</v>
      </c>
      <c r="I98" s="96" t="s">
        <v>1357</v>
      </c>
      <c r="J98" s="95" t="s">
        <v>1367</v>
      </c>
      <c r="K98" s="96" t="s">
        <v>1381</v>
      </c>
      <c r="L98" s="95" t="s">
        <v>329</v>
      </c>
      <c r="M98" s="96" t="s">
        <v>1382</v>
      </c>
      <c r="N98" s="95" t="s">
        <v>1155</v>
      </c>
      <c r="O98" s="96" t="s">
        <v>1338</v>
      </c>
      <c r="P98" s="95" t="s">
        <v>1342</v>
      </c>
      <c r="Q98" s="96" t="s">
        <v>1352</v>
      </c>
      <c r="R98" s="95" t="s">
        <v>1155</v>
      </c>
      <c r="S98" s="96" t="s">
        <v>1338</v>
      </c>
      <c r="T98" s="13">
        <f>30.73</f>
        <v>30.73</v>
      </c>
      <c r="U98" s="97">
        <f>1611</f>
        <v>1611</v>
      </c>
      <c r="V98" s="97">
        <v>1491</v>
      </c>
      <c r="W98" s="97"/>
      <c r="X98" s="97">
        <f>3974875800</f>
        <v>3974875800</v>
      </c>
      <c r="Y98" s="97">
        <v>3647664600</v>
      </c>
      <c r="Z98" s="98"/>
      <c r="AA98" s="95" t="s">
        <v>60</v>
      </c>
      <c r="AB98" s="99">
        <f>728</f>
        <v>728</v>
      </c>
      <c r="AC98" s="99" t="str">
        <f t="shared" si="4"/>
        <v>－</v>
      </c>
      <c r="AD98" s="100">
        <f>12</f>
        <v>12</v>
      </c>
    </row>
    <row r="99" spans="1:30">
      <c r="A99" s="91" t="s">
        <v>46</v>
      </c>
      <c r="B99" s="92" t="s">
        <v>1315</v>
      </c>
      <c r="C99" s="92" t="s">
        <v>1316</v>
      </c>
      <c r="D99" s="92" t="s">
        <v>624</v>
      </c>
      <c r="E99" s="93" t="s">
        <v>860</v>
      </c>
      <c r="F99" s="93" t="s">
        <v>1383</v>
      </c>
      <c r="G99" s="94">
        <v>74400</v>
      </c>
      <c r="H99" s="95" t="s">
        <v>288</v>
      </c>
      <c r="I99" s="96" t="s">
        <v>1357</v>
      </c>
      <c r="J99" s="95" t="s">
        <v>322</v>
      </c>
      <c r="K99" s="96" t="s">
        <v>1384</v>
      </c>
      <c r="L99" s="95" t="s">
        <v>160</v>
      </c>
      <c r="M99" s="96" t="s">
        <v>1385</v>
      </c>
      <c r="N99" s="95" t="s">
        <v>288</v>
      </c>
      <c r="O99" s="96" t="s">
        <v>1357</v>
      </c>
      <c r="P99" s="95" t="s">
        <v>1342</v>
      </c>
      <c r="Q99" s="96" t="s">
        <v>1352</v>
      </c>
      <c r="R99" s="95" t="s">
        <v>181</v>
      </c>
      <c r="S99" s="96" t="s">
        <v>1357</v>
      </c>
      <c r="T99" s="13">
        <f>34.44</f>
        <v>34.44</v>
      </c>
      <c r="U99" s="97">
        <f>1841</f>
        <v>1841</v>
      </c>
      <c r="V99" s="97">
        <v>1673</v>
      </c>
      <c r="W99" s="97"/>
      <c r="X99" s="97">
        <f>4912730952</f>
        <v>4912730952</v>
      </c>
      <c r="Y99" s="97">
        <v>4456853880</v>
      </c>
      <c r="Z99" s="98"/>
      <c r="AA99" s="95"/>
      <c r="AB99" s="99">
        <f>785</f>
        <v>785</v>
      </c>
      <c r="AC99" s="99" t="str">
        <f t="shared" si="4"/>
        <v>－</v>
      </c>
      <c r="AD99" s="100">
        <f>18</f>
        <v>18</v>
      </c>
    </row>
    <row r="100" spans="1:30">
      <c r="A100" s="91" t="s">
        <v>46</v>
      </c>
      <c r="B100" s="92" t="s">
        <v>1315</v>
      </c>
      <c r="C100" s="92" t="s">
        <v>1316</v>
      </c>
      <c r="D100" s="92" t="s">
        <v>115</v>
      </c>
      <c r="E100" s="93" t="s">
        <v>1386</v>
      </c>
      <c r="F100" s="93" t="s">
        <v>1387</v>
      </c>
      <c r="G100" s="94">
        <v>67200</v>
      </c>
      <c r="H100" s="95" t="s">
        <v>514</v>
      </c>
      <c r="I100" s="96" t="s">
        <v>1388</v>
      </c>
      <c r="J100" s="95" t="s">
        <v>160</v>
      </c>
      <c r="K100" s="96" t="s">
        <v>1389</v>
      </c>
      <c r="L100" s="95" t="s">
        <v>329</v>
      </c>
      <c r="M100" s="96" t="s">
        <v>1390</v>
      </c>
      <c r="N100" s="95" t="s">
        <v>514</v>
      </c>
      <c r="O100" s="96" t="s">
        <v>1388</v>
      </c>
      <c r="P100" s="95" t="s">
        <v>1342</v>
      </c>
      <c r="Q100" s="96" t="s">
        <v>1352</v>
      </c>
      <c r="R100" s="95" t="s">
        <v>324</v>
      </c>
      <c r="S100" s="96" t="s">
        <v>1379</v>
      </c>
      <c r="T100" s="13">
        <f>33.1</f>
        <v>33.1</v>
      </c>
      <c r="U100" s="97">
        <f>1955</f>
        <v>1955</v>
      </c>
      <c r="V100" s="97">
        <v>1739</v>
      </c>
      <c r="W100" s="97"/>
      <c r="X100" s="97">
        <f>4611249216</f>
        <v>4611249216</v>
      </c>
      <c r="Y100" s="97">
        <v>4099777920</v>
      </c>
      <c r="Z100" s="98"/>
      <c r="AA100" s="95"/>
      <c r="AB100" s="99">
        <f>794</f>
        <v>794</v>
      </c>
      <c r="AC100" s="99" t="str">
        <f t="shared" si="4"/>
        <v>－</v>
      </c>
      <c r="AD100" s="100">
        <f>21</f>
        <v>21</v>
      </c>
    </row>
    <row r="101" spans="1:30">
      <c r="A101" s="91" t="s">
        <v>46</v>
      </c>
      <c r="B101" s="92" t="s">
        <v>1315</v>
      </c>
      <c r="C101" s="92" t="s">
        <v>1316</v>
      </c>
      <c r="D101" s="92" t="s">
        <v>634</v>
      </c>
      <c r="E101" s="93" t="s">
        <v>539</v>
      </c>
      <c r="F101" s="93" t="s">
        <v>1391</v>
      </c>
      <c r="G101" s="94">
        <v>74400</v>
      </c>
      <c r="H101" s="95" t="s">
        <v>527</v>
      </c>
      <c r="I101" s="96" t="s">
        <v>1392</v>
      </c>
      <c r="J101" s="95" t="s">
        <v>335</v>
      </c>
      <c r="K101" s="96" t="s">
        <v>1393</v>
      </c>
      <c r="L101" s="95" t="s">
        <v>603</v>
      </c>
      <c r="M101" s="96" t="s">
        <v>1394</v>
      </c>
      <c r="N101" s="95" t="s">
        <v>147</v>
      </c>
      <c r="O101" s="96" t="s">
        <v>1377</v>
      </c>
      <c r="P101" s="95" t="s">
        <v>1342</v>
      </c>
      <c r="Q101" s="96" t="s">
        <v>1352</v>
      </c>
      <c r="R101" s="95" t="s">
        <v>324</v>
      </c>
      <c r="S101" s="96" t="s">
        <v>1395</v>
      </c>
      <c r="T101" s="13">
        <f>26.2</f>
        <v>26.2</v>
      </c>
      <c r="U101" s="97">
        <f>732</f>
        <v>732</v>
      </c>
      <c r="V101" s="97">
        <v>655</v>
      </c>
      <c r="W101" s="97"/>
      <c r="X101" s="97">
        <f>1704509952</f>
        <v>1704509952</v>
      </c>
      <c r="Y101" s="97">
        <v>1525912752</v>
      </c>
      <c r="Z101" s="98"/>
      <c r="AA101" s="95"/>
      <c r="AB101" s="99">
        <f>260</f>
        <v>260</v>
      </c>
      <c r="AC101" s="99" t="str">
        <f t="shared" si="4"/>
        <v>－</v>
      </c>
      <c r="AD101" s="100">
        <f>7</f>
        <v>7</v>
      </c>
    </row>
    <row r="102" spans="1:30">
      <c r="A102" s="91" t="s">
        <v>46</v>
      </c>
      <c r="B102" s="92" t="s">
        <v>1315</v>
      </c>
      <c r="C102" s="92" t="s">
        <v>1316</v>
      </c>
      <c r="D102" s="92" t="s">
        <v>128</v>
      </c>
      <c r="E102" s="93" t="s">
        <v>822</v>
      </c>
      <c r="F102" s="93" t="s">
        <v>889</v>
      </c>
      <c r="G102" s="94">
        <v>72000</v>
      </c>
      <c r="H102" s="95"/>
      <c r="I102" s="96" t="s">
        <v>261</v>
      </c>
      <c r="J102" s="95"/>
      <c r="K102" s="96" t="s">
        <v>261</v>
      </c>
      <c r="L102" s="95" t="s">
        <v>385</v>
      </c>
      <c r="M102" s="96" t="s">
        <v>1396</v>
      </c>
      <c r="N102" s="95"/>
      <c r="O102" s="96" t="s">
        <v>261</v>
      </c>
      <c r="P102" s="95" t="s">
        <v>448</v>
      </c>
      <c r="Q102" s="96" t="s">
        <v>1397</v>
      </c>
      <c r="R102" s="95"/>
      <c r="S102" s="96" t="s">
        <v>261</v>
      </c>
      <c r="T102" s="13">
        <f>22.91</f>
        <v>22.91</v>
      </c>
      <c r="U102" s="97">
        <f>73</f>
        <v>73</v>
      </c>
      <c r="V102" s="97">
        <v>73</v>
      </c>
      <c r="W102" s="97"/>
      <c r="X102" s="97">
        <f>156276000</f>
        <v>156276000</v>
      </c>
      <c r="Y102" s="97">
        <v>156276000</v>
      </c>
      <c r="Z102" s="98"/>
      <c r="AA102" s="95"/>
      <c r="AB102" s="99">
        <f>33</f>
        <v>33</v>
      </c>
      <c r="AC102" s="99" t="str">
        <f t="shared" si="4"/>
        <v>－</v>
      </c>
      <c r="AD102" s="100" t="str">
        <f t="shared" si="4"/>
        <v>－</v>
      </c>
    </row>
    <row r="103" spans="1:30">
      <c r="A103" s="91" t="s">
        <v>46</v>
      </c>
      <c r="B103" s="92" t="s">
        <v>1315</v>
      </c>
      <c r="C103" s="92" t="s">
        <v>1316</v>
      </c>
      <c r="D103" s="92" t="s">
        <v>641</v>
      </c>
      <c r="E103" s="93" t="s">
        <v>824</v>
      </c>
      <c r="F103" s="93" t="s">
        <v>1398</v>
      </c>
      <c r="G103" s="94">
        <v>74400</v>
      </c>
      <c r="H103" s="95"/>
      <c r="I103" s="96" t="s">
        <v>261</v>
      </c>
      <c r="J103" s="95"/>
      <c r="K103" s="96" t="s">
        <v>261</v>
      </c>
      <c r="L103" s="95" t="s">
        <v>385</v>
      </c>
      <c r="M103" s="96" t="s">
        <v>1396</v>
      </c>
      <c r="N103" s="95"/>
      <c r="O103" s="96" t="s">
        <v>261</v>
      </c>
      <c r="P103" s="95" t="s">
        <v>179</v>
      </c>
      <c r="Q103" s="96" t="s">
        <v>1399</v>
      </c>
      <c r="R103" s="95"/>
      <c r="S103" s="96" t="s">
        <v>261</v>
      </c>
      <c r="T103" s="13">
        <f>22.97</f>
        <v>22.97</v>
      </c>
      <c r="U103" s="97">
        <f>73</f>
        <v>73</v>
      </c>
      <c r="V103" s="97">
        <v>73</v>
      </c>
      <c r="W103" s="97"/>
      <c r="X103" s="97">
        <f>163010400</f>
        <v>163010400</v>
      </c>
      <c r="Y103" s="97">
        <v>163010400</v>
      </c>
      <c r="Z103" s="98"/>
      <c r="AA103" s="95"/>
      <c r="AB103" s="99">
        <f>33</f>
        <v>33</v>
      </c>
      <c r="AC103" s="99" t="str">
        <f t="shared" si="4"/>
        <v>－</v>
      </c>
      <c r="AD103" s="100" t="str">
        <f t="shared" si="4"/>
        <v>－</v>
      </c>
    </row>
    <row r="104" spans="1:30">
      <c r="A104" s="91" t="s">
        <v>46</v>
      </c>
      <c r="B104" s="92" t="s">
        <v>1315</v>
      </c>
      <c r="C104" s="92" t="s">
        <v>1316</v>
      </c>
      <c r="D104" s="92" t="s">
        <v>140</v>
      </c>
      <c r="E104" s="93" t="s">
        <v>825</v>
      </c>
      <c r="F104" s="93" t="s">
        <v>1400</v>
      </c>
      <c r="G104" s="94">
        <v>72000</v>
      </c>
      <c r="H104" s="95"/>
      <c r="I104" s="96" t="s">
        <v>261</v>
      </c>
      <c r="J104" s="95"/>
      <c r="K104" s="96" t="s">
        <v>261</v>
      </c>
      <c r="L104" s="95" t="s">
        <v>448</v>
      </c>
      <c r="M104" s="96" t="s">
        <v>1401</v>
      </c>
      <c r="N104" s="95"/>
      <c r="O104" s="96" t="s">
        <v>261</v>
      </c>
      <c r="P104" s="95" t="s">
        <v>121</v>
      </c>
      <c r="Q104" s="96" t="s">
        <v>1352</v>
      </c>
      <c r="R104" s="95"/>
      <c r="S104" s="96" t="s">
        <v>261</v>
      </c>
      <c r="T104" s="13">
        <f>25.37</f>
        <v>25.37</v>
      </c>
      <c r="U104" s="97">
        <f>83</f>
        <v>83</v>
      </c>
      <c r="V104" s="97">
        <v>83</v>
      </c>
      <c r="W104" s="97"/>
      <c r="X104" s="97">
        <f>176436000</f>
        <v>176436000</v>
      </c>
      <c r="Y104" s="97">
        <v>176436000</v>
      </c>
      <c r="Z104" s="98"/>
      <c r="AA104" s="95"/>
      <c r="AB104" s="99">
        <f>33</f>
        <v>33</v>
      </c>
      <c r="AC104" s="99" t="str">
        <f t="shared" si="4"/>
        <v>－</v>
      </c>
      <c r="AD104" s="100" t="str">
        <f t="shared" si="4"/>
        <v>－</v>
      </c>
    </row>
    <row r="105" spans="1:30">
      <c r="A105" s="91" t="s">
        <v>46</v>
      </c>
      <c r="B105" s="92" t="s">
        <v>1315</v>
      </c>
      <c r="C105" s="92" t="s">
        <v>1316</v>
      </c>
      <c r="D105" s="92" t="s">
        <v>783</v>
      </c>
      <c r="E105" s="93" t="s">
        <v>608</v>
      </c>
      <c r="F105" s="93" t="s">
        <v>1402</v>
      </c>
      <c r="G105" s="94">
        <v>74400</v>
      </c>
      <c r="H105" s="95"/>
      <c r="I105" s="96" t="s">
        <v>261</v>
      </c>
      <c r="J105" s="95"/>
      <c r="K105" s="96" t="s">
        <v>261</v>
      </c>
      <c r="L105" s="95" t="s">
        <v>448</v>
      </c>
      <c r="M105" s="96" t="s">
        <v>1403</v>
      </c>
      <c r="N105" s="95"/>
      <c r="O105" s="96" t="s">
        <v>261</v>
      </c>
      <c r="P105" s="95" t="s">
        <v>179</v>
      </c>
      <c r="Q105" s="96" t="s">
        <v>1399</v>
      </c>
      <c r="R105" s="95"/>
      <c r="S105" s="96" t="s">
        <v>261</v>
      </c>
      <c r="T105" s="13">
        <f>30.88</f>
        <v>30.88</v>
      </c>
      <c r="U105" s="97">
        <f>143</f>
        <v>143</v>
      </c>
      <c r="V105" s="97">
        <v>143</v>
      </c>
      <c r="W105" s="97"/>
      <c r="X105" s="97">
        <f>348995520</f>
        <v>348995520</v>
      </c>
      <c r="Y105" s="97">
        <v>348995520</v>
      </c>
      <c r="Z105" s="98"/>
      <c r="AA105" s="95"/>
      <c r="AB105" s="99">
        <f>70</f>
        <v>70</v>
      </c>
      <c r="AC105" s="99" t="str">
        <f t="shared" si="4"/>
        <v>－</v>
      </c>
      <c r="AD105" s="100" t="str">
        <f t="shared" si="4"/>
        <v>－</v>
      </c>
    </row>
    <row r="106" spans="1:30">
      <c r="A106" s="91" t="s">
        <v>46</v>
      </c>
      <c r="B106" s="92" t="s">
        <v>1315</v>
      </c>
      <c r="C106" s="92" t="s">
        <v>1316</v>
      </c>
      <c r="D106" s="92" t="s">
        <v>154</v>
      </c>
      <c r="E106" s="93" t="s">
        <v>608</v>
      </c>
      <c r="F106" s="93" t="s">
        <v>1404</v>
      </c>
      <c r="G106" s="94">
        <v>74400</v>
      </c>
      <c r="H106" s="95"/>
      <c r="I106" s="96" t="s">
        <v>261</v>
      </c>
      <c r="J106" s="95"/>
      <c r="K106" s="96" t="s">
        <v>261</v>
      </c>
      <c r="L106" s="95" t="s">
        <v>448</v>
      </c>
      <c r="M106" s="96" t="s">
        <v>1405</v>
      </c>
      <c r="N106" s="95"/>
      <c r="O106" s="96" t="s">
        <v>261</v>
      </c>
      <c r="P106" s="95" t="s">
        <v>179</v>
      </c>
      <c r="Q106" s="96" t="s">
        <v>1399</v>
      </c>
      <c r="R106" s="95"/>
      <c r="S106" s="96" t="s">
        <v>261</v>
      </c>
      <c r="T106" s="13">
        <f>33.68</f>
        <v>33.68</v>
      </c>
      <c r="U106" s="97">
        <f>143</f>
        <v>143</v>
      </c>
      <c r="V106" s="97">
        <v>143</v>
      </c>
      <c r="W106" s="97"/>
      <c r="X106" s="97">
        <f>360564720</f>
        <v>360564720</v>
      </c>
      <c r="Y106" s="97">
        <v>360564720</v>
      </c>
      <c r="Z106" s="98"/>
      <c r="AA106" s="95"/>
      <c r="AB106" s="99">
        <f>70</f>
        <v>70</v>
      </c>
      <c r="AC106" s="99" t="str">
        <f t="shared" si="4"/>
        <v>－</v>
      </c>
      <c r="AD106" s="100" t="str">
        <f t="shared" si="4"/>
        <v>－</v>
      </c>
    </row>
    <row r="107" spans="1:30">
      <c r="A107" s="91" t="s">
        <v>46</v>
      </c>
      <c r="B107" s="92" t="s">
        <v>1315</v>
      </c>
      <c r="C107" s="92" t="s">
        <v>1316</v>
      </c>
      <c r="D107" s="92" t="s">
        <v>795</v>
      </c>
      <c r="E107" s="93" t="s">
        <v>608</v>
      </c>
      <c r="F107" s="93" t="s">
        <v>894</v>
      </c>
      <c r="G107" s="94">
        <v>72000</v>
      </c>
      <c r="H107" s="95"/>
      <c r="I107" s="96" t="s">
        <v>261</v>
      </c>
      <c r="J107" s="95"/>
      <c r="K107" s="96" t="s">
        <v>261</v>
      </c>
      <c r="L107" s="95" t="s">
        <v>147</v>
      </c>
      <c r="M107" s="96" t="s">
        <v>1406</v>
      </c>
      <c r="N107" s="95"/>
      <c r="O107" s="96" t="s">
        <v>261</v>
      </c>
      <c r="P107" s="95" t="s">
        <v>179</v>
      </c>
      <c r="Q107" s="96" t="s">
        <v>1399</v>
      </c>
      <c r="R107" s="95"/>
      <c r="S107" s="96" t="s">
        <v>261</v>
      </c>
      <c r="T107" s="13">
        <f>28.15</f>
        <v>28.15</v>
      </c>
      <c r="U107" s="97">
        <f>113</f>
        <v>113</v>
      </c>
      <c r="V107" s="97">
        <v>113</v>
      </c>
      <c r="W107" s="97"/>
      <c r="X107" s="97">
        <f>260748000</f>
        <v>260748000</v>
      </c>
      <c r="Y107" s="97">
        <v>260748000</v>
      </c>
      <c r="Z107" s="98"/>
      <c r="AA107" s="95"/>
      <c r="AB107" s="99">
        <f>40</f>
        <v>40</v>
      </c>
      <c r="AC107" s="99" t="str">
        <f t="shared" si="4"/>
        <v>－</v>
      </c>
      <c r="AD107" s="100" t="str">
        <f t="shared" si="4"/>
        <v>－</v>
      </c>
    </row>
    <row r="108" spans="1:30">
      <c r="A108" s="91" t="s">
        <v>46</v>
      </c>
      <c r="B108" s="92" t="s">
        <v>1315</v>
      </c>
      <c r="C108" s="92" t="s">
        <v>1316</v>
      </c>
      <c r="D108" s="92" t="s">
        <v>165</v>
      </c>
      <c r="E108" s="93" t="s">
        <v>608</v>
      </c>
      <c r="F108" s="93" t="s">
        <v>1407</v>
      </c>
      <c r="G108" s="94">
        <v>74400</v>
      </c>
      <c r="H108" s="95"/>
      <c r="I108" s="96" t="s">
        <v>261</v>
      </c>
      <c r="J108" s="95"/>
      <c r="K108" s="96" t="s">
        <v>261</v>
      </c>
      <c r="L108" s="95" t="s">
        <v>448</v>
      </c>
      <c r="M108" s="96" t="s">
        <v>1408</v>
      </c>
      <c r="N108" s="95"/>
      <c r="O108" s="96" t="s">
        <v>261</v>
      </c>
      <c r="P108" s="95" t="s">
        <v>179</v>
      </c>
      <c r="Q108" s="96" t="s">
        <v>1399</v>
      </c>
      <c r="R108" s="95"/>
      <c r="S108" s="96" t="s">
        <v>261</v>
      </c>
      <c r="T108" s="13">
        <f>26.23</f>
        <v>26.23</v>
      </c>
      <c r="U108" s="97">
        <f>73</f>
        <v>73</v>
      </c>
      <c r="V108" s="97">
        <v>73</v>
      </c>
      <c r="W108" s="97"/>
      <c r="X108" s="97">
        <f>165019200</f>
        <v>165019200</v>
      </c>
      <c r="Y108" s="97">
        <v>165019200</v>
      </c>
      <c r="Z108" s="98"/>
      <c r="AA108" s="95"/>
      <c r="AB108" s="99">
        <f>33</f>
        <v>33</v>
      </c>
      <c r="AC108" s="99" t="str">
        <f t="shared" si="4"/>
        <v>－</v>
      </c>
      <c r="AD108" s="100" t="str">
        <f t="shared" si="4"/>
        <v>－</v>
      </c>
    </row>
    <row r="109" spans="1:30">
      <c r="A109" s="91" t="s">
        <v>46</v>
      </c>
      <c r="B109" s="92" t="s">
        <v>1315</v>
      </c>
      <c r="C109" s="92" t="s">
        <v>1316</v>
      </c>
      <c r="D109" s="92" t="s">
        <v>809</v>
      </c>
      <c r="E109" s="93" t="s">
        <v>608</v>
      </c>
      <c r="F109" s="93" t="s">
        <v>1409</v>
      </c>
      <c r="G109" s="94">
        <v>72000</v>
      </c>
      <c r="H109" s="95"/>
      <c r="I109" s="96" t="s">
        <v>261</v>
      </c>
      <c r="J109" s="95"/>
      <c r="K109" s="96" t="s">
        <v>261</v>
      </c>
      <c r="L109" s="95" t="s">
        <v>448</v>
      </c>
      <c r="M109" s="96" t="s">
        <v>1410</v>
      </c>
      <c r="N109" s="95"/>
      <c r="O109" s="96" t="s">
        <v>261</v>
      </c>
      <c r="P109" s="95" t="s">
        <v>179</v>
      </c>
      <c r="Q109" s="96" t="s">
        <v>1399</v>
      </c>
      <c r="R109" s="95"/>
      <c r="S109" s="96" t="s">
        <v>261</v>
      </c>
      <c r="T109" s="13">
        <f>27.24</f>
        <v>27.24</v>
      </c>
      <c r="U109" s="97">
        <f>73</f>
        <v>73</v>
      </c>
      <c r="V109" s="97">
        <v>73</v>
      </c>
      <c r="W109" s="97"/>
      <c r="X109" s="97">
        <f>160704000</f>
        <v>160704000</v>
      </c>
      <c r="Y109" s="97">
        <v>160704000</v>
      </c>
      <c r="Z109" s="98"/>
      <c r="AA109" s="95"/>
      <c r="AB109" s="99">
        <f>33</f>
        <v>33</v>
      </c>
      <c r="AC109" s="99" t="str">
        <f t="shared" si="4"/>
        <v>－</v>
      </c>
      <c r="AD109" s="100" t="str">
        <f t="shared" si="4"/>
        <v>－</v>
      </c>
    </row>
    <row r="110" spans="1:30">
      <c r="A110" s="91" t="s">
        <v>46</v>
      </c>
      <c r="B110" s="92" t="s">
        <v>1315</v>
      </c>
      <c r="C110" s="92" t="s">
        <v>1316</v>
      </c>
      <c r="D110" s="92" t="s">
        <v>176</v>
      </c>
      <c r="E110" s="93" t="s">
        <v>608</v>
      </c>
      <c r="F110" s="93" t="s">
        <v>1299</v>
      </c>
      <c r="G110" s="94">
        <v>74400</v>
      </c>
      <c r="H110" s="95"/>
      <c r="I110" s="96" t="s">
        <v>261</v>
      </c>
      <c r="J110" s="95"/>
      <c r="K110" s="96" t="s">
        <v>261</v>
      </c>
      <c r="L110" s="95" t="s">
        <v>448</v>
      </c>
      <c r="M110" s="96" t="s">
        <v>1411</v>
      </c>
      <c r="N110" s="95"/>
      <c r="O110" s="96" t="s">
        <v>261</v>
      </c>
      <c r="P110" s="95" t="s">
        <v>179</v>
      </c>
      <c r="Q110" s="96" t="s">
        <v>1399</v>
      </c>
      <c r="R110" s="95"/>
      <c r="S110" s="96" t="s">
        <v>261</v>
      </c>
      <c r="T110" s="13">
        <f>30.86</f>
        <v>30.86</v>
      </c>
      <c r="U110" s="97">
        <f>73</f>
        <v>73</v>
      </c>
      <c r="V110" s="97">
        <v>73</v>
      </c>
      <c r="W110" s="97"/>
      <c r="X110" s="97">
        <f>169446000</f>
        <v>169446000</v>
      </c>
      <c r="Y110" s="97">
        <v>169446000</v>
      </c>
      <c r="Z110" s="98"/>
      <c r="AA110" s="95"/>
      <c r="AB110" s="99">
        <f>33</f>
        <v>33</v>
      </c>
      <c r="AC110" s="99" t="str">
        <f t="shared" si="4"/>
        <v>－</v>
      </c>
      <c r="AD110" s="100" t="str">
        <f t="shared" si="4"/>
        <v>－</v>
      </c>
    </row>
    <row r="111" spans="1:30">
      <c r="A111" s="91" t="s">
        <v>46</v>
      </c>
      <c r="B111" s="92" t="s">
        <v>1315</v>
      </c>
      <c r="C111" s="92" t="s">
        <v>1316</v>
      </c>
      <c r="D111" s="92" t="s">
        <v>987</v>
      </c>
      <c r="E111" s="93" t="s">
        <v>608</v>
      </c>
      <c r="F111" s="93" t="s">
        <v>1412</v>
      </c>
      <c r="G111" s="94">
        <v>74400</v>
      </c>
      <c r="H111" s="95"/>
      <c r="I111" s="96" t="s">
        <v>261</v>
      </c>
      <c r="J111" s="95"/>
      <c r="K111" s="96" t="s">
        <v>261</v>
      </c>
      <c r="L111" s="95" t="s">
        <v>448</v>
      </c>
      <c r="M111" s="96" t="s">
        <v>1413</v>
      </c>
      <c r="N111" s="95"/>
      <c r="O111" s="96" t="s">
        <v>261</v>
      </c>
      <c r="P111" s="95" t="s">
        <v>179</v>
      </c>
      <c r="Q111" s="96" t="s">
        <v>1399</v>
      </c>
      <c r="R111" s="95"/>
      <c r="S111" s="96" t="s">
        <v>261</v>
      </c>
      <c r="T111" s="13">
        <f>31.7</f>
        <v>31.7</v>
      </c>
      <c r="U111" s="97">
        <f>103</f>
        <v>103</v>
      </c>
      <c r="V111" s="97">
        <v>103</v>
      </c>
      <c r="W111" s="97"/>
      <c r="X111" s="97">
        <f>242685360</f>
        <v>242685360</v>
      </c>
      <c r="Y111" s="97">
        <v>242685360</v>
      </c>
      <c r="Z111" s="98"/>
      <c r="AA111" s="95"/>
      <c r="AB111" s="99">
        <f>60</f>
        <v>60</v>
      </c>
      <c r="AC111" s="99" t="str">
        <f t="shared" si="4"/>
        <v>－</v>
      </c>
      <c r="AD111" s="100" t="str">
        <f t="shared" si="4"/>
        <v>－</v>
      </c>
    </row>
    <row r="112" spans="1:30">
      <c r="A112" s="91" t="s">
        <v>46</v>
      </c>
      <c r="B112" s="92" t="s">
        <v>1315</v>
      </c>
      <c r="C112" s="92" t="s">
        <v>1316</v>
      </c>
      <c r="D112" s="92" t="s">
        <v>1308</v>
      </c>
      <c r="E112" s="93" t="s">
        <v>608</v>
      </c>
      <c r="F112" s="93" t="s">
        <v>1414</v>
      </c>
      <c r="G112" s="94">
        <v>69600</v>
      </c>
      <c r="H112" s="95"/>
      <c r="I112" s="96" t="s">
        <v>261</v>
      </c>
      <c r="J112" s="95"/>
      <c r="K112" s="96" t="s">
        <v>261</v>
      </c>
      <c r="L112" s="95" t="s">
        <v>448</v>
      </c>
      <c r="M112" s="96" t="s">
        <v>1415</v>
      </c>
      <c r="N112" s="95"/>
      <c r="O112" s="96" t="s">
        <v>261</v>
      </c>
      <c r="P112" s="95" t="s">
        <v>179</v>
      </c>
      <c r="Q112" s="96" t="s">
        <v>1399</v>
      </c>
      <c r="R112" s="95"/>
      <c r="S112" s="96" t="s">
        <v>261</v>
      </c>
      <c r="T112" s="13">
        <f>30.81</f>
        <v>30.81</v>
      </c>
      <c r="U112" s="97">
        <f>103</f>
        <v>103</v>
      </c>
      <c r="V112" s="97">
        <v>103</v>
      </c>
      <c r="W112" s="97"/>
      <c r="X112" s="97">
        <f>224091120</f>
        <v>224091120</v>
      </c>
      <c r="Y112" s="97">
        <v>224091120</v>
      </c>
      <c r="Z112" s="98"/>
      <c r="AA112" s="95"/>
      <c r="AB112" s="99">
        <f>60</f>
        <v>60</v>
      </c>
      <c r="AC112" s="99" t="str">
        <f t="shared" si="4"/>
        <v>－</v>
      </c>
      <c r="AD112" s="100" t="str">
        <f t="shared" si="4"/>
        <v>－</v>
      </c>
    </row>
    <row r="113" spans="1:30">
      <c r="A113" s="91" t="s">
        <v>46</v>
      </c>
      <c r="B113" s="92" t="s">
        <v>1315</v>
      </c>
      <c r="C113" s="92" t="s">
        <v>1316</v>
      </c>
      <c r="D113" s="92" t="s">
        <v>1416</v>
      </c>
      <c r="E113" s="93" t="s">
        <v>608</v>
      </c>
      <c r="F113" s="93" t="s">
        <v>1417</v>
      </c>
      <c r="G113" s="94">
        <v>74400</v>
      </c>
      <c r="H113" s="95"/>
      <c r="I113" s="96" t="s">
        <v>261</v>
      </c>
      <c r="J113" s="95"/>
      <c r="K113" s="96" t="s">
        <v>261</v>
      </c>
      <c r="L113" s="95" t="s">
        <v>385</v>
      </c>
      <c r="M113" s="96" t="s">
        <v>1396</v>
      </c>
      <c r="N113" s="95"/>
      <c r="O113" s="96" t="s">
        <v>261</v>
      </c>
      <c r="P113" s="95" t="s">
        <v>179</v>
      </c>
      <c r="Q113" s="96" t="s">
        <v>1399</v>
      </c>
      <c r="R113" s="95"/>
      <c r="S113" s="96" t="s">
        <v>261</v>
      </c>
      <c r="T113" s="13">
        <f>26.13</f>
        <v>26.13</v>
      </c>
      <c r="U113" s="97">
        <f>73</f>
        <v>73</v>
      </c>
      <c r="V113" s="97">
        <v>73</v>
      </c>
      <c r="W113" s="97"/>
      <c r="X113" s="97">
        <f>164833200</f>
        <v>164833200</v>
      </c>
      <c r="Y113" s="97">
        <v>164833200</v>
      </c>
      <c r="Z113" s="98"/>
      <c r="AA113" s="95"/>
      <c r="AB113" s="99">
        <f>33</f>
        <v>33</v>
      </c>
      <c r="AC113" s="99" t="str">
        <f t="shared" si="4"/>
        <v>－</v>
      </c>
      <c r="AD113" s="100" t="str">
        <f t="shared" si="4"/>
        <v>－</v>
      </c>
    </row>
    <row r="114" spans="1:30">
      <c r="A114" s="91" t="s">
        <v>46</v>
      </c>
      <c r="B114" s="92" t="s">
        <v>1315</v>
      </c>
      <c r="C114" s="92" t="s">
        <v>1316</v>
      </c>
      <c r="D114" s="92" t="s">
        <v>1418</v>
      </c>
      <c r="E114" s="93" t="s">
        <v>563</v>
      </c>
      <c r="F114" s="93" t="s">
        <v>1419</v>
      </c>
      <c r="G114" s="94">
        <v>72000</v>
      </c>
      <c r="H114" s="95"/>
      <c r="I114" s="96" t="s">
        <v>261</v>
      </c>
      <c r="J114" s="95"/>
      <c r="K114" s="96" t="s">
        <v>261</v>
      </c>
      <c r="L114" s="95"/>
      <c r="M114" s="96"/>
      <c r="N114" s="95"/>
      <c r="O114" s="96" t="s">
        <v>261</v>
      </c>
      <c r="P114" s="95"/>
      <c r="Q114" s="96"/>
      <c r="R114" s="95"/>
      <c r="S114" s="96" t="s">
        <v>261</v>
      </c>
      <c r="T114" s="13">
        <f>20.11</f>
        <v>20.11</v>
      </c>
      <c r="U114" s="97" t="str">
        <f t="shared" ref="U114:U122" si="5">"－"</f>
        <v>－</v>
      </c>
      <c r="V114" s="97"/>
      <c r="W114" s="97"/>
      <c r="X114" s="97" t="str">
        <f t="shared" ref="X114:X122" si="6">"－"</f>
        <v>－</v>
      </c>
      <c r="Y114" s="97"/>
      <c r="Z114" s="98"/>
      <c r="AA114" s="95"/>
      <c r="AB114" s="99" t="str">
        <f t="shared" ref="AB114:AB121" si="7">"－"</f>
        <v>－</v>
      </c>
      <c r="AC114" s="99" t="str">
        <f t="shared" si="4"/>
        <v>－</v>
      </c>
      <c r="AD114" s="100" t="str">
        <f t="shared" si="4"/>
        <v>－</v>
      </c>
    </row>
    <row r="115" spans="1:30">
      <c r="A115" s="91" t="s">
        <v>46</v>
      </c>
      <c r="B115" s="92" t="s">
        <v>1315</v>
      </c>
      <c r="C115" s="92" t="s">
        <v>1316</v>
      </c>
      <c r="D115" s="92" t="s">
        <v>1420</v>
      </c>
      <c r="E115" s="93" t="s">
        <v>835</v>
      </c>
      <c r="F115" s="93" t="s">
        <v>1421</v>
      </c>
      <c r="G115" s="94">
        <v>74400</v>
      </c>
      <c r="H115" s="95"/>
      <c r="I115" s="96" t="s">
        <v>261</v>
      </c>
      <c r="J115" s="95"/>
      <c r="K115" s="96" t="s">
        <v>261</v>
      </c>
      <c r="L115" s="95"/>
      <c r="M115" s="96"/>
      <c r="N115" s="95"/>
      <c r="O115" s="96" t="s">
        <v>261</v>
      </c>
      <c r="P115" s="95"/>
      <c r="Q115" s="96"/>
      <c r="R115" s="95"/>
      <c r="S115" s="96" t="s">
        <v>261</v>
      </c>
      <c r="T115" s="13">
        <f>19.23</f>
        <v>19.23</v>
      </c>
      <c r="U115" s="97" t="str">
        <f t="shared" si="5"/>
        <v>－</v>
      </c>
      <c r="V115" s="97"/>
      <c r="W115" s="97"/>
      <c r="X115" s="97" t="str">
        <f t="shared" si="6"/>
        <v>－</v>
      </c>
      <c r="Y115" s="97"/>
      <c r="Z115" s="98"/>
      <c r="AA115" s="95"/>
      <c r="AB115" s="99" t="str">
        <f t="shared" si="7"/>
        <v>－</v>
      </c>
      <c r="AC115" s="99" t="str">
        <f t="shared" si="4"/>
        <v>－</v>
      </c>
      <c r="AD115" s="100" t="str">
        <f t="shared" si="4"/>
        <v>－</v>
      </c>
    </row>
    <row r="116" spans="1:30">
      <c r="A116" s="91" t="s">
        <v>46</v>
      </c>
      <c r="B116" s="92" t="s">
        <v>1315</v>
      </c>
      <c r="C116" s="92" t="s">
        <v>1316</v>
      </c>
      <c r="D116" s="92" t="s">
        <v>1422</v>
      </c>
      <c r="E116" s="93" t="s">
        <v>840</v>
      </c>
      <c r="F116" s="93" t="s">
        <v>1423</v>
      </c>
      <c r="G116" s="94">
        <v>72000</v>
      </c>
      <c r="H116" s="95"/>
      <c r="I116" s="96" t="s">
        <v>261</v>
      </c>
      <c r="J116" s="95"/>
      <c r="K116" s="96" t="s">
        <v>261</v>
      </c>
      <c r="L116" s="95"/>
      <c r="M116" s="96"/>
      <c r="N116" s="95"/>
      <c r="O116" s="96" t="s">
        <v>261</v>
      </c>
      <c r="P116" s="95"/>
      <c r="Q116" s="96"/>
      <c r="R116" s="95"/>
      <c r="S116" s="96" t="s">
        <v>261</v>
      </c>
      <c r="T116" s="13">
        <f>21.07</f>
        <v>21.07</v>
      </c>
      <c r="U116" s="97" t="str">
        <f t="shared" si="5"/>
        <v>－</v>
      </c>
      <c r="V116" s="97"/>
      <c r="W116" s="97"/>
      <c r="X116" s="97" t="str">
        <f t="shared" si="6"/>
        <v>－</v>
      </c>
      <c r="Y116" s="97"/>
      <c r="Z116" s="98"/>
      <c r="AA116" s="95"/>
      <c r="AB116" s="99" t="str">
        <f t="shared" si="7"/>
        <v>－</v>
      </c>
      <c r="AC116" s="99" t="str">
        <f t="shared" si="4"/>
        <v>－</v>
      </c>
      <c r="AD116" s="100" t="str">
        <f t="shared" si="4"/>
        <v>－</v>
      </c>
    </row>
    <row r="117" spans="1:30">
      <c r="A117" s="91" t="s">
        <v>46</v>
      </c>
      <c r="B117" s="92" t="s">
        <v>1315</v>
      </c>
      <c r="C117" s="92" t="s">
        <v>1316</v>
      </c>
      <c r="D117" s="92" t="s">
        <v>1424</v>
      </c>
      <c r="E117" s="93" t="s">
        <v>587</v>
      </c>
      <c r="F117" s="93" t="s">
        <v>1425</v>
      </c>
      <c r="G117" s="94">
        <v>74400</v>
      </c>
      <c r="H117" s="95"/>
      <c r="I117" s="96" t="s">
        <v>261</v>
      </c>
      <c r="J117" s="95"/>
      <c r="K117" s="96" t="s">
        <v>261</v>
      </c>
      <c r="L117" s="95"/>
      <c r="M117" s="96"/>
      <c r="N117" s="95"/>
      <c r="O117" s="96" t="s">
        <v>261</v>
      </c>
      <c r="P117" s="95"/>
      <c r="Q117" s="96"/>
      <c r="R117" s="95"/>
      <c r="S117" s="96" t="s">
        <v>261</v>
      </c>
      <c r="T117" s="13">
        <f>24.76</f>
        <v>24.76</v>
      </c>
      <c r="U117" s="97" t="str">
        <f t="shared" si="5"/>
        <v>－</v>
      </c>
      <c r="V117" s="97"/>
      <c r="W117" s="97"/>
      <c r="X117" s="97" t="str">
        <f t="shared" si="6"/>
        <v>－</v>
      </c>
      <c r="Y117" s="97"/>
      <c r="Z117" s="98"/>
      <c r="AA117" s="95"/>
      <c r="AB117" s="99" t="str">
        <f t="shared" si="7"/>
        <v>－</v>
      </c>
      <c r="AC117" s="99" t="str">
        <f t="shared" si="4"/>
        <v>－</v>
      </c>
      <c r="AD117" s="100" t="str">
        <f t="shared" si="4"/>
        <v>－</v>
      </c>
    </row>
    <row r="118" spans="1:30">
      <c r="A118" s="91" t="s">
        <v>46</v>
      </c>
      <c r="B118" s="92" t="s">
        <v>1315</v>
      </c>
      <c r="C118" s="92" t="s">
        <v>1316</v>
      </c>
      <c r="D118" s="92" t="s">
        <v>1426</v>
      </c>
      <c r="E118" s="93" t="s">
        <v>849</v>
      </c>
      <c r="F118" s="93" t="s">
        <v>1427</v>
      </c>
      <c r="G118" s="94">
        <v>74400</v>
      </c>
      <c r="H118" s="95"/>
      <c r="I118" s="96" t="s">
        <v>261</v>
      </c>
      <c r="J118" s="95"/>
      <c r="K118" s="96" t="s">
        <v>261</v>
      </c>
      <c r="L118" s="95"/>
      <c r="M118" s="96"/>
      <c r="N118" s="95"/>
      <c r="O118" s="96" t="s">
        <v>261</v>
      </c>
      <c r="P118" s="95"/>
      <c r="Q118" s="96"/>
      <c r="R118" s="95"/>
      <c r="S118" s="96" t="s">
        <v>261</v>
      </c>
      <c r="T118" s="13">
        <f>25.25</f>
        <v>25.25</v>
      </c>
      <c r="U118" s="97" t="str">
        <f t="shared" si="5"/>
        <v>－</v>
      </c>
      <c r="V118" s="97"/>
      <c r="W118" s="97"/>
      <c r="X118" s="97" t="str">
        <f t="shared" si="6"/>
        <v>－</v>
      </c>
      <c r="Y118" s="97"/>
      <c r="Z118" s="98"/>
      <c r="AA118" s="95"/>
      <c r="AB118" s="99" t="str">
        <f t="shared" si="7"/>
        <v>－</v>
      </c>
      <c r="AC118" s="99" t="str">
        <f t="shared" si="4"/>
        <v>－</v>
      </c>
      <c r="AD118" s="100" t="str">
        <f t="shared" si="4"/>
        <v>－</v>
      </c>
    </row>
    <row r="119" spans="1:30">
      <c r="A119" s="91" t="s">
        <v>46</v>
      </c>
      <c r="B119" s="92" t="s">
        <v>1315</v>
      </c>
      <c r="C119" s="92" t="s">
        <v>1316</v>
      </c>
      <c r="D119" s="92" t="s">
        <v>1428</v>
      </c>
      <c r="E119" s="93" t="s">
        <v>855</v>
      </c>
      <c r="F119" s="93" t="s">
        <v>1429</v>
      </c>
      <c r="G119" s="94">
        <v>72000</v>
      </c>
      <c r="H119" s="95"/>
      <c r="I119" s="96" t="s">
        <v>261</v>
      </c>
      <c r="J119" s="95"/>
      <c r="K119" s="96" t="s">
        <v>261</v>
      </c>
      <c r="L119" s="95"/>
      <c r="M119" s="96"/>
      <c r="N119" s="95"/>
      <c r="O119" s="96" t="s">
        <v>261</v>
      </c>
      <c r="P119" s="95"/>
      <c r="Q119" s="96"/>
      <c r="R119" s="95"/>
      <c r="S119" s="96" t="s">
        <v>261</v>
      </c>
      <c r="T119" s="13">
        <f>19.91</f>
        <v>19.91</v>
      </c>
      <c r="U119" s="97" t="str">
        <f t="shared" si="5"/>
        <v>－</v>
      </c>
      <c r="V119" s="97"/>
      <c r="W119" s="97"/>
      <c r="X119" s="97" t="str">
        <f t="shared" si="6"/>
        <v>－</v>
      </c>
      <c r="Y119" s="97"/>
      <c r="Z119" s="98"/>
      <c r="AA119" s="95"/>
      <c r="AB119" s="99" t="str">
        <f t="shared" si="7"/>
        <v>－</v>
      </c>
      <c r="AC119" s="99" t="str">
        <f t="shared" si="4"/>
        <v>－</v>
      </c>
      <c r="AD119" s="100" t="str">
        <f t="shared" si="4"/>
        <v>－</v>
      </c>
    </row>
    <row r="120" spans="1:30">
      <c r="A120" s="91" t="s">
        <v>46</v>
      </c>
      <c r="B120" s="92" t="s">
        <v>1315</v>
      </c>
      <c r="C120" s="92" t="s">
        <v>1316</v>
      </c>
      <c r="D120" s="92" t="s">
        <v>1430</v>
      </c>
      <c r="E120" s="93" t="s">
        <v>861</v>
      </c>
      <c r="F120" s="93" t="s">
        <v>1431</v>
      </c>
      <c r="G120" s="94">
        <v>74400</v>
      </c>
      <c r="H120" s="95"/>
      <c r="I120" s="96" t="s">
        <v>261</v>
      </c>
      <c r="J120" s="95"/>
      <c r="K120" s="96" t="s">
        <v>261</v>
      </c>
      <c r="L120" s="95"/>
      <c r="M120" s="96"/>
      <c r="N120" s="95"/>
      <c r="O120" s="96" t="s">
        <v>261</v>
      </c>
      <c r="P120" s="95"/>
      <c r="Q120" s="96"/>
      <c r="R120" s="95"/>
      <c r="S120" s="96" t="s">
        <v>261</v>
      </c>
      <c r="T120" s="13">
        <f>17</f>
        <v>17</v>
      </c>
      <c r="U120" s="97" t="str">
        <f t="shared" si="5"/>
        <v>－</v>
      </c>
      <c r="V120" s="97"/>
      <c r="W120" s="97"/>
      <c r="X120" s="97" t="str">
        <f t="shared" si="6"/>
        <v>－</v>
      </c>
      <c r="Y120" s="97"/>
      <c r="Z120" s="98"/>
      <c r="AA120" s="95"/>
      <c r="AB120" s="99" t="str">
        <f t="shared" si="7"/>
        <v>－</v>
      </c>
      <c r="AC120" s="99" t="str">
        <f t="shared" si="4"/>
        <v>－</v>
      </c>
      <c r="AD120" s="100" t="str">
        <f t="shared" si="4"/>
        <v>－</v>
      </c>
    </row>
    <row r="121" spans="1:30">
      <c r="A121" s="91" t="s">
        <v>46</v>
      </c>
      <c r="B121" s="92" t="s">
        <v>1315</v>
      </c>
      <c r="C121" s="92" t="s">
        <v>1316</v>
      </c>
      <c r="D121" s="92" t="s">
        <v>1432</v>
      </c>
      <c r="E121" s="93" t="s">
        <v>865</v>
      </c>
      <c r="F121" s="93" t="s">
        <v>1433</v>
      </c>
      <c r="G121" s="94">
        <v>72000</v>
      </c>
      <c r="H121" s="95"/>
      <c r="I121" s="96" t="s">
        <v>261</v>
      </c>
      <c r="J121" s="95"/>
      <c r="K121" s="96" t="s">
        <v>261</v>
      </c>
      <c r="L121" s="95"/>
      <c r="M121" s="96"/>
      <c r="N121" s="95"/>
      <c r="O121" s="96" t="s">
        <v>261</v>
      </c>
      <c r="P121" s="95"/>
      <c r="Q121" s="96"/>
      <c r="R121" s="95"/>
      <c r="S121" s="96" t="s">
        <v>261</v>
      </c>
      <c r="T121" s="13">
        <f>17.32</f>
        <v>17.32</v>
      </c>
      <c r="U121" s="97" t="str">
        <f t="shared" si="5"/>
        <v>－</v>
      </c>
      <c r="V121" s="97"/>
      <c r="W121" s="97"/>
      <c r="X121" s="97" t="str">
        <f t="shared" si="6"/>
        <v>－</v>
      </c>
      <c r="Y121" s="97"/>
      <c r="Z121" s="98"/>
      <c r="AA121" s="95"/>
      <c r="AB121" s="99" t="str">
        <f t="shared" si="7"/>
        <v>－</v>
      </c>
      <c r="AC121" s="99" t="str">
        <f t="shared" si="4"/>
        <v>－</v>
      </c>
      <c r="AD121" s="100" t="str">
        <f t="shared" si="4"/>
        <v>－</v>
      </c>
    </row>
    <row r="122" spans="1:30">
      <c r="A122" s="91" t="s">
        <v>46</v>
      </c>
      <c r="B122" s="92" t="s">
        <v>1434</v>
      </c>
      <c r="C122" s="92" t="s">
        <v>1435</v>
      </c>
      <c r="D122" s="92" t="s">
        <v>537</v>
      </c>
      <c r="E122" s="93" t="s">
        <v>1317</v>
      </c>
      <c r="F122" s="93" t="s">
        <v>1318</v>
      </c>
      <c r="G122" s="94">
        <v>74400</v>
      </c>
      <c r="H122" s="95"/>
      <c r="I122" s="96" t="s">
        <v>261</v>
      </c>
      <c r="J122" s="95"/>
      <c r="K122" s="96" t="s">
        <v>261</v>
      </c>
      <c r="L122" s="95"/>
      <c r="M122" s="96"/>
      <c r="N122" s="95"/>
      <c r="O122" s="96" t="s">
        <v>261</v>
      </c>
      <c r="P122" s="95"/>
      <c r="Q122" s="96"/>
      <c r="R122" s="95"/>
      <c r="S122" s="96" t="s">
        <v>261</v>
      </c>
      <c r="T122" s="13">
        <f>23.84</f>
        <v>23.84</v>
      </c>
      <c r="U122" s="97" t="str">
        <f t="shared" si="5"/>
        <v>－</v>
      </c>
      <c r="V122" s="97"/>
      <c r="W122" s="97"/>
      <c r="X122" s="97" t="str">
        <f t="shared" si="6"/>
        <v>－</v>
      </c>
      <c r="Y122" s="97"/>
      <c r="Z122" s="98"/>
      <c r="AA122" s="95" t="s">
        <v>60</v>
      </c>
      <c r="AB122" s="99">
        <f>250</f>
        <v>250</v>
      </c>
      <c r="AC122" s="99" t="str">
        <f t="shared" si="4"/>
        <v>－</v>
      </c>
      <c r="AD122" s="100" t="str">
        <f t="shared" si="4"/>
        <v>－</v>
      </c>
    </row>
    <row r="123" spans="1:30">
      <c r="A123" s="91" t="s">
        <v>46</v>
      </c>
      <c r="B123" s="92" t="s">
        <v>1434</v>
      </c>
      <c r="C123" s="92" t="s">
        <v>1435</v>
      </c>
      <c r="D123" s="92" t="s">
        <v>49</v>
      </c>
      <c r="E123" s="93" t="s">
        <v>1321</v>
      </c>
      <c r="F123" s="93" t="s">
        <v>1041</v>
      </c>
      <c r="G123" s="94">
        <v>67200</v>
      </c>
      <c r="H123" s="95"/>
      <c r="I123" s="96" t="s">
        <v>261</v>
      </c>
      <c r="J123" s="95"/>
      <c r="K123" s="96" t="s">
        <v>261</v>
      </c>
      <c r="L123" s="95" t="s">
        <v>514</v>
      </c>
      <c r="M123" s="96" t="s">
        <v>1352</v>
      </c>
      <c r="N123" s="95"/>
      <c r="O123" s="96" t="s">
        <v>261</v>
      </c>
      <c r="P123" s="95" t="s">
        <v>514</v>
      </c>
      <c r="Q123" s="96" t="s">
        <v>1352</v>
      </c>
      <c r="R123" s="95"/>
      <c r="S123" s="96" t="s">
        <v>261</v>
      </c>
      <c r="T123" s="13">
        <f>22.45</f>
        <v>22.45</v>
      </c>
      <c r="U123" s="97">
        <f>30</f>
        <v>30</v>
      </c>
      <c r="V123" s="97">
        <v>30</v>
      </c>
      <c r="W123" s="97"/>
      <c r="X123" s="97">
        <f>46368000</f>
        <v>46368000</v>
      </c>
      <c r="Y123" s="97">
        <v>46368000</v>
      </c>
      <c r="Z123" s="98"/>
      <c r="AA123" s="95" t="s">
        <v>60</v>
      </c>
      <c r="AB123" s="99">
        <f>184</f>
        <v>184</v>
      </c>
      <c r="AC123" s="99" t="str">
        <f t="shared" si="4"/>
        <v>－</v>
      </c>
      <c r="AD123" s="100" t="str">
        <f t="shared" si="4"/>
        <v>－</v>
      </c>
    </row>
    <row r="124" spans="1:30">
      <c r="A124" s="91" t="s">
        <v>46</v>
      </c>
      <c r="B124" s="92" t="s">
        <v>1434</v>
      </c>
      <c r="C124" s="92" t="s">
        <v>1435</v>
      </c>
      <c r="D124" s="92" t="s">
        <v>548</v>
      </c>
      <c r="E124" s="93" t="s">
        <v>1327</v>
      </c>
      <c r="F124" s="93" t="s">
        <v>1328</v>
      </c>
      <c r="G124" s="94">
        <v>74400</v>
      </c>
      <c r="H124" s="95" t="s">
        <v>918</v>
      </c>
      <c r="I124" s="96" t="s">
        <v>1436</v>
      </c>
      <c r="J124" s="95" t="s">
        <v>918</v>
      </c>
      <c r="K124" s="96" t="s">
        <v>1436</v>
      </c>
      <c r="L124" s="95" t="s">
        <v>1437</v>
      </c>
      <c r="M124" s="96" t="s">
        <v>1438</v>
      </c>
      <c r="N124" s="95" t="s">
        <v>918</v>
      </c>
      <c r="O124" s="96" t="s">
        <v>1333</v>
      </c>
      <c r="P124" s="95" t="s">
        <v>553</v>
      </c>
      <c r="Q124" s="96" t="s">
        <v>1439</v>
      </c>
      <c r="R124" s="95" t="s">
        <v>494</v>
      </c>
      <c r="S124" s="96" t="s">
        <v>1436</v>
      </c>
      <c r="T124" s="13">
        <f>20.18</f>
        <v>20.18</v>
      </c>
      <c r="U124" s="97">
        <f>353</f>
        <v>353</v>
      </c>
      <c r="V124" s="97">
        <v>313</v>
      </c>
      <c r="W124" s="97"/>
      <c r="X124" s="97">
        <f>540962400</f>
        <v>540962400</v>
      </c>
      <c r="Y124" s="97">
        <v>491412000</v>
      </c>
      <c r="Z124" s="98"/>
      <c r="AA124" s="95" t="s">
        <v>60</v>
      </c>
      <c r="AB124" s="99">
        <f>323</f>
        <v>323</v>
      </c>
      <c r="AC124" s="99" t="str">
        <f t="shared" si="4"/>
        <v>－</v>
      </c>
      <c r="AD124" s="100">
        <f>2</f>
        <v>2</v>
      </c>
    </row>
    <row r="125" spans="1:30">
      <c r="A125" s="91" t="s">
        <v>46</v>
      </c>
      <c r="B125" s="92" t="s">
        <v>1434</v>
      </c>
      <c r="C125" s="92" t="s">
        <v>1435</v>
      </c>
      <c r="D125" s="92" t="s">
        <v>61</v>
      </c>
      <c r="E125" s="93" t="s">
        <v>1336</v>
      </c>
      <c r="F125" s="93" t="s">
        <v>830</v>
      </c>
      <c r="G125" s="94">
        <v>72000</v>
      </c>
      <c r="H125" s="95" t="s">
        <v>86</v>
      </c>
      <c r="I125" s="96" t="s">
        <v>1319</v>
      </c>
      <c r="J125" s="95" t="s">
        <v>86</v>
      </c>
      <c r="K125" s="96" t="s">
        <v>1319</v>
      </c>
      <c r="L125" s="95" t="s">
        <v>518</v>
      </c>
      <c r="M125" s="96" t="s">
        <v>1440</v>
      </c>
      <c r="N125" s="95" t="s">
        <v>283</v>
      </c>
      <c r="O125" s="96" t="s">
        <v>1441</v>
      </c>
      <c r="P125" s="95" t="s">
        <v>512</v>
      </c>
      <c r="Q125" s="96" t="s">
        <v>1442</v>
      </c>
      <c r="R125" s="95" t="s">
        <v>283</v>
      </c>
      <c r="S125" s="96" t="s">
        <v>1441</v>
      </c>
      <c r="T125" s="13">
        <f>17.15</f>
        <v>17.149999999999999</v>
      </c>
      <c r="U125" s="97">
        <f>107</f>
        <v>107</v>
      </c>
      <c r="V125" s="97">
        <v>89</v>
      </c>
      <c r="W125" s="97"/>
      <c r="X125" s="97">
        <f>126894960</f>
        <v>126894960</v>
      </c>
      <c r="Y125" s="97">
        <v>99102240</v>
      </c>
      <c r="Z125" s="98"/>
      <c r="AA125" s="95" t="s">
        <v>60</v>
      </c>
      <c r="AB125" s="99">
        <f>50</f>
        <v>50</v>
      </c>
      <c r="AC125" s="99" t="str">
        <f t="shared" si="4"/>
        <v>－</v>
      </c>
      <c r="AD125" s="100">
        <f>2</f>
        <v>2</v>
      </c>
    </row>
    <row r="126" spans="1:30">
      <c r="A126" s="91" t="s">
        <v>46</v>
      </c>
      <c r="B126" s="92" t="s">
        <v>1434</v>
      </c>
      <c r="C126" s="92" t="s">
        <v>1435</v>
      </c>
      <c r="D126" s="92" t="s">
        <v>561</v>
      </c>
      <c r="E126" s="93" t="s">
        <v>1343</v>
      </c>
      <c r="F126" s="93" t="s">
        <v>1344</v>
      </c>
      <c r="G126" s="94">
        <v>74400</v>
      </c>
      <c r="H126" s="95" t="s">
        <v>264</v>
      </c>
      <c r="I126" s="96" t="s">
        <v>1443</v>
      </c>
      <c r="J126" s="95" t="s">
        <v>288</v>
      </c>
      <c r="K126" s="96" t="s">
        <v>1444</v>
      </c>
      <c r="L126" s="95" t="s">
        <v>518</v>
      </c>
      <c r="M126" s="96" t="s">
        <v>1440</v>
      </c>
      <c r="N126" s="95" t="s">
        <v>283</v>
      </c>
      <c r="O126" s="96" t="s">
        <v>1330</v>
      </c>
      <c r="P126" s="95" t="s">
        <v>512</v>
      </c>
      <c r="Q126" s="96" t="s">
        <v>1442</v>
      </c>
      <c r="R126" s="95" t="s">
        <v>283</v>
      </c>
      <c r="S126" s="96" t="s">
        <v>1330</v>
      </c>
      <c r="T126" s="13">
        <f>17.49</f>
        <v>17.489999999999998</v>
      </c>
      <c r="U126" s="97">
        <f>107</f>
        <v>107</v>
      </c>
      <c r="V126" s="97">
        <v>89</v>
      </c>
      <c r="W126" s="97"/>
      <c r="X126" s="97">
        <f>128006688</f>
        <v>128006688</v>
      </c>
      <c r="Y126" s="97">
        <v>102405648</v>
      </c>
      <c r="Z126" s="98"/>
      <c r="AA126" s="95" t="s">
        <v>60</v>
      </c>
      <c r="AB126" s="99">
        <f>51</f>
        <v>51</v>
      </c>
      <c r="AC126" s="99" t="str">
        <f t="shared" si="4"/>
        <v>－</v>
      </c>
      <c r="AD126" s="100">
        <f>3</f>
        <v>3</v>
      </c>
    </row>
    <row r="127" spans="1:30">
      <c r="A127" s="91" t="s">
        <v>46</v>
      </c>
      <c r="B127" s="92" t="s">
        <v>1434</v>
      </c>
      <c r="C127" s="92" t="s">
        <v>1435</v>
      </c>
      <c r="D127" s="92" t="s">
        <v>74</v>
      </c>
      <c r="E127" s="93" t="s">
        <v>1347</v>
      </c>
      <c r="F127" s="93" t="s">
        <v>1348</v>
      </c>
      <c r="G127" s="94">
        <v>72000</v>
      </c>
      <c r="H127" s="95" t="s">
        <v>288</v>
      </c>
      <c r="I127" s="96" t="s">
        <v>1323</v>
      </c>
      <c r="J127" s="95" t="s">
        <v>288</v>
      </c>
      <c r="K127" s="96" t="s">
        <v>1323</v>
      </c>
      <c r="L127" s="95" t="s">
        <v>67</v>
      </c>
      <c r="M127" s="96" t="s">
        <v>1445</v>
      </c>
      <c r="N127" s="95" t="s">
        <v>283</v>
      </c>
      <c r="O127" s="96" t="s">
        <v>1446</v>
      </c>
      <c r="P127" s="95" t="s">
        <v>512</v>
      </c>
      <c r="Q127" s="96" t="s">
        <v>1442</v>
      </c>
      <c r="R127" s="95" t="s">
        <v>1447</v>
      </c>
      <c r="S127" s="96" t="s">
        <v>1448</v>
      </c>
      <c r="T127" s="13">
        <f>19.03</f>
        <v>19.03</v>
      </c>
      <c r="U127" s="97">
        <f>763</f>
        <v>763</v>
      </c>
      <c r="V127" s="97">
        <v>724</v>
      </c>
      <c r="W127" s="97"/>
      <c r="X127" s="97">
        <f>1314246240</f>
        <v>1314246240</v>
      </c>
      <c r="Y127" s="97">
        <v>1252218240</v>
      </c>
      <c r="Z127" s="98"/>
      <c r="AA127" s="95" t="s">
        <v>60</v>
      </c>
      <c r="AB127" s="99">
        <f>207</f>
        <v>207</v>
      </c>
      <c r="AC127" s="99" t="str">
        <f t="shared" si="4"/>
        <v>－</v>
      </c>
      <c r="AD127" s="100">
        <f>4</f>
        <v>4</v>
      </c>
    </row>
    <row r="128" spans="1:30">
      <c r="A128" s="91" t="s">
        <v>46</v>
      </c>
      <c r="B128" s="92" t="s">
        <v>1434</v>
      </c>
      <c r="C128" s="92" t="s">
        <v>1435</v>
      </c>
      <c r="D128" s="92" t="s">
        <v>576</v>
      </c>
      <c r="E128" s="93" t="s">
        <v>1353</v>
      </c>
      <c r="F128" s="93" t="s">
        <v>844</v>
      </c>
      <c r="G128" s="94">
        <v>74400</v>
      </c>
      <c r="H128" s="95" t="s">
        <v>292</v>
      </c>
      <c r="I128" s="96" t="s">
        <v>1449</v>
      </c>
      <c r="J128" s="95" t="s">
        <v>292</v>
      </c>
      <c r="K128" s="96" t="s">
        <v>1449</v>
      </c>
      <c r="L128" s="95" t="s">
        <v>1208</v>
      </c>
      <c r="M128" s="96" t="s">
        <v>1394</v>
      </c>
      <c r="N128" s="95" t="s">
        <v>292</v>
      </c>
      <c r="O128" s="96" t="s">
        <v>1449</v>
      </c>
      <c r="P128" s="95" t="s">
        <v>512</v>
      </c>
      <c r="Q128" s="96" t="s">
        <v>1442</v>
      </c>
      <c r="R128" s="95" t="s">
        <v>292</v>
      </c>
      <c r="S128" s="96" t="s">
        <v>1449</v>
      </c>
      <c r="T128" s="13">
        <f>24.72</f>
        <v>24.72</v>
      </c>
      <c r="U128" s="97">
        <f>354</f>
        <v>354</v>
      </c>
      <c r="V128" s="97">
        <v>349</v>
      </c>
      <c r="W128" s="97"/>
      <c r="X128" s="97">
        <f>703743648</f>
        <v>703743648</v>
      </c>
      <c r="Y128" s="97">
        <v>693141648</v>
      </c>
      <c r="Z128" s="98"/>
      <c r="AA128" s="95" t="s">
        <v>60</v>
      </c>
      <c r="AB128" s="99">
        <f>235</f>
        <v>235</v>
      </c>
      <c r="AC128" s="99" t="str">
        <f t="shared" si="4"/>
        <v>－</v>
      </c>
      <c r="AD128" s="100">
        <f>1</f>
        <v>1</v>
      </c>
    </row>
    <row r="129" spans="1:30">
      <c r="A129" s="91" t="s">
        <v>46</v>
      </c>
      <c r="B129" s="92" t="s">
        <v>1434</v>
      </c>
      <c r="C129" s="92" t="s">
        <v>1435</v>
      </c>
      <c r="D129" s="92" t="s">
        <v>81</v>
      </c>
      <c r="E129" s="93" t="s">
        <v>1358</v>
      </c>
      <c r="F129" s="93" t="s">
        <v>1359</v>
      </c>
      <c r="G129" s="94">
        <v>74400</v>
      </c>
      <c r="H129" s="95"/>
      <c r="I129" s="96" t="s">
        <v>261</v>
      </c>
      <c r="J129" s="95"/>
      <c r="K129" s="96" t="s">
        <v>261</v>
      </c>
      <c r="L129" s="95" t="s">
        <v>1208</v>
      </c>
      <c r="M129" s="96" t="s">
        <v>1450</v>
      </c>
      <c r="N129" s="95"/>
      <c r="O129" s="96" t="s">
        <v>261</v>
      </c>
      <c r="P129" s="95" t="s">
        <v>512</v>
      </c>
      <c r="Q129" s="96" t="s">
        <v>1442</v>
      </c>
      <c r="R129" s="95"/>
      <c r="S129" s="96" t="s">
        <v>261</v>
      </c>
      <c r="T129" s="13">
        <f>27.45</f>
        <v>27.45</v>
      </c>
      <c r="U129" s="97">
        <f>449</f>
        <v>449</v>
      </c>
      <c r="V129" s="97">
        <v>449</v>
      </c>
      <c r="W129" s="97"/>
      <c r="X129" s="97">
        <f>969946848</f>
        <v>969946848</v>
      </c>
      <c r="Y129" s="97">
        <v>969946848</v>
      </c>
      <c r="Z129" s="98"/>
      <c r="AA129" s="95" t="s">
        <v>60</v>
      </c>
      <c r="AB129" s="99">
        <f>320</f>
        <v>320</v>
      </c>
      <c r="AC129" s="99" t="str">
        <f t="shared" si="4"/>
        <v>－</v>
      </c>
      <c r="AD129" s="100" t="str">
        <f>"－"</f>
        <v>－</v>
      </c>
    </row>
    <row r="130" spans="1:30">
      <c r="A130" s="91" t="s">
        <v>46</v>
      </c>
      <c r="B130" s="92" t="s">
        <v>1434</v>
      </c>
      <c r="C130" s="92" t="s">
        <v>1435</v>
      </c>
      <c r="D130" s="92" t="s">
        <v>596</v>
      </c>
      <c r="E130" s="93" t="s">
        <v>1364</v>
      </c>
      <c r="F130" s="93" t="s">
        <v>1365</v>
      </c>
      <c r="G130" s="94">
        <v>72000</v>
      </c>
      <c r="H130" s="95" t="s">
        <v>848</v>
      </c>
      <c r="I130" s="96" t="s">
        <v>1338</v>
      </c>
      <c r="J130" s="95" t="s">
        <v>1367</v>
      </c>
      <c r="K130" s="96" t="s">
        <v>1451</v>
      </c>
      <c r="L130" s="95" t="s">
        <v>1284</v>
      </c>
      <c r="M130" s="96" t="s">
        <v>1410</v>
      </c>
      <c r="N130" s="95" t="s">
        <v>848</v>
      </c>
      <c r="O130" s="96" t="s">
        <v>1338</v>
      </c>
      <c r="P130" s="95" t="s">
        <v>512</v>
      </c>
      <c r="Q130" s="96" t="s">
        <v>1442</v>
      </c>
      <c r="R130" s="95" t="s">
        <v>1367</v>
      </c>
      <c r="S130" s="96" t="s">
        <v>1451</v>
      </c>
      <c r="T130" s="13">
        <f>24.21</f>
        <v>24.21</v>
      </c>
      <c r="U130" s="97">
        <f>242</f>
        <v>242</v>
      </c>
      <c r="V130" s="97">
        <v>239</v>
      </c>
      <c r="W130" s="97"/>
      <c r="X130" s="97">
        <f>426296880</f>
        <v>426296880</v>
      </c>
      <c r="Y130" s="97">
        <v>420006240</v>
      </c>
      <c r="Z130" s="98"/>
      <c r="AA130" s="95" t="s">
        <v>60</v>
      </c>
      <c r="AB130" s="99">
        <f>130</f>
        <v>130</v>
      </c>
      <c r="AC130" s="99" t="str">
        <f t="shared" si="4"/>
        <v>－</v>
      </c>
      <c r="AD130" s="100">
        <f>3</f>
        <v>3</v>
      </c>
    </row>
    <row r="131" spans="1:30">
      <c r="A131" s="91" t="s">
        <v>46</v>
      </c>
      <c r="B131" s="92" t="s">
        <v>1434</v>
      </c>
      <c r="C131" s="92" t="s">
        <v>1435</v>
      </c>
      <c r="D131" s="92" t="s">
        <v>93</v>
      </c>
      <c r="E131" s="93" t="s">
        <v>821</v>
      </c>
      <c r="F131" s="93" t="s">
        <v>1371</v>
      </c>
      <c r="G131" s="94">
        <v>74400</v>
      </c>
      <c r="H131" s="95" t="s">
        <v>848</v>
      </c>
      <c r="I131" s="96" t="s">
        <v>1448</v>
      </c>
      <c r="J131" s="95" t="s">
        <v>1452</v>
      </c>
      <c r="K131" s="96" t="s">
        <v>1453</v>
      </c>
      <c r="L131" s="95" t="s">
        <v>160</v>
      </c>
      <c r="M131" s="96" t="s">
        <v>1454</v>
      </c>
      <c r="N131" s="95" t="s">
        <v>848</v>
      </c>
      <c r="O131" s="96" t="s">
        <v>1448</v>
      </c>
      <c r="P131" s="95" t="s">
        <v>512</v>
      </c>
      <c r="Q131" s="96" t="s">
        <v>1442</v>
      </c>
      <c r="R131" s="95" t="s">
        <v>1455</v>
      </c>
      <c r="S131" s="96" t="s">
        <v>1319</v>
      </c>
      <c r="T131" s="13">
        <f>22.27</f>
        <v>22.27</v>
      </c>
      <c r="U131" s="97">
        <f>295</f>
        <v>295</v>
      </c>
      <c r="V131" s="97">
        <v>260</v>
      </c>
      <c r="W131" s="97"/>
      <c r="X131" s="97">
        <f>713458800</f>
        <v>713458800</v>
      </c>
      <c r="Y131" s="97">
        <v>636678000</v>
      </c>
      <c r="Z131" s="98"/>
      <c r="AA131" s="95" t="s">
        <v>60</v>
      </c>
      <c r="AB131" s="99">
        <f>194</f>
        <v>194</v>
      </c>
      <c r="AC131" s="99" t="str">
        <f t="shared" si="4"/>
        <v>－</v>
      </c>
      <c r="AD131" s="100">
        <f>7</f>
        <v>7</v>
      </c>
    </row>
    <row r="132" spans="1:30">
      <c r="A132" s="91" t="s">
        <v>46</v>
      </c>
      <c r="B132" s="92" t="s">
        <v>1434</v>
      </c>
      <c r="C132" s="92" t="s">
        <v>1435</v>
      </c>
      <c r="D132" s="92" t="s">
        <v>614</v>
      </c>
      <c r="E132" s="93" t="s">
        <v>1375</v>
      </c>
      <c r="F132" s="93" t="s">
        <v>1376</v>
      </c>
      <c r="G132" s="94">
        <v>72000</v>
      </c>
      <c r="H132" s="95" t="s">
        <v>848</v>
      </c>
      <c r="I132" s="96" t="s">
        <v>1323</v>
      </c>
      <c r="J132" s="95" t="s">
        <v>1456</v>
      </c>
      <c r="K132" s="96" t="s">
        <v>1457</v>
      </c>
      <c r="L132" s="95" t="s">
        <v>160</v>
      </c>
      <c r="M132" s="96" t="s">
        <v>1454</v>
      </c>
      <c r="N132" s="95" t="s">
        <v>848</v>
      </c>
      <c r="O132" s="96" t="s">
        <v>1323</v>
      </c>
      <c r="P132" s="95" t="s">
        <v>512</v>
      </c>
      <c r="Q132" s="96" t="s">
        <v>1442</v>
      </c>
      <c r="R132" s="95" t="s">
        <v>214</v>
      </c>
      <c r="S132" s="96" t="s">
        <v>1319</v>
      </c>
      <c r="T132" s="13">
        <f>23.78</f>
        <v>23.78</v>
      </c>
      <c r="U132" s="97">
        <f>325</f>
        <v>325</v>
      </c>
      <c r="V132" s="97">
        <v>308</v>
      </c>
      <c r="W132" s="97"/>
      <c r="X132" s="97">
        <f>740586960</f>
        <v>740586960</v>
      </c>
      <c r="Y132" s="97">
        <v>707241600</v>
      </c>
      <c r="Z132" s="98"/>
      <c r="AA132" s="95" t="s">
        <v>60</v>
      </c>
      <c r="AB132" s="99">
        <f>194</f>
        <v>194</v>
      </c>
      <c r="AC132" s="99" t="str">
        <f t="shared" si="4"/>
        <v>－</v>
      </c>
      <c r="AD132" s="100">
        <f>5</f>
        <v>5</v>
      </c>
    </row>
    <row r="133" spans="1:30">
      <c r="A133" s="91" t="s">
        <v>46</v>
      </c>
      <c r="B133" s="92" t="s">
        <v>1434</v>
      </c>
      <c r="C133" s="92" t="s">
        <v>1435</v>
      </c>
      <c r="D133" s="92" t="s">
        <v>105</v>
      </c>
      <c r="E133" s="93" t="s">
        <v>1380</v>
      </c>
      <c r="F133" s="93" t="s">
        <v>871</v>
      </c>
      <c r="G133" s="94">
        <v>74400</v>
      </c>
      <c r="H133" s="95" t="s">
        <v>1458</v>
      </c>
      <c r="I133" s="96" t="s">
        <v>1459</v>
      </c>
      <c r="J133" s="95" t="s">
        <v>1458</v>
      </c>
      <c r="K133" s="96" t="s">
        <v>1459</v>
      </c>
      <c r="L133" s="95" t="s">
        <v>1367</v>
      </c>
      <c r="M133" s="96" t="s">
        <v>1332</v>
      </c>
      <c r="N133" s="95" t="s">
        <v>1460</v>
      </c>
      <c r="O133" s="96" t="s">
        <v>1395</v>
      </c>
      <c r="P133" s="95" t="s">
        <v>512</v>
      </c>
      <c r="Q133" s="96" t="s">
        <v>1442</v>
      </c>
      <c r="R133" s="95" t="s">
        <v>1460</v>
      </c>
      <c r="S133" s="96" t="s">
        <v>1395</v>
      </c>
      <c r="T133" s="13">
        <f>28.05</f>
        <v>28.05</v>
      </c>
      <c r="U133" s="97">
        <f>607</f>
        <v>607</v>
      </c>
      <c r="V133" s="97">
        <v>585</v>
      </c>
      <c r="W133" s="97"/>
      <c r="X133" s="97">
        <f>1526377752</f>
        <v>1526377752</v>
      </c>
      <c r="Y133" s="97">
        <v>1474500120</v>
      </c>
      <c r="Z133" s="98"/>
      <c r="AA133" s="95" t="s">
        <v>60</v>
      </c>
      <c r="AB133" s="99">
        <f>514</f>
        <v>514</v>
      </c>
      <c r="AC133" s="99" t="str">
        <f t="shared" si="4"/>
        <v>－</v>
      </c>
      <c r="AD133" s="100">
        <f>6</f>
        <v>6</v>
      </c>
    </row>
    <row r="134" spans="1:30">
      <c r="A134" s="91" t="s">
        <v>46</v>
      </c>
      <c r="B134" s="92" t="s">
        <v>1434</v>
      </c>
      <c r="C134" s="92" t="s">
        <v>1435</v>
      </c>
      <c r="D134" s="92" t="s">
        <v>624</v>
      </c>
      <c r="E134" s="93" t="s">
        <v>860</v>
      </c>
      <c r="F134" s="93" t="s">
        <v>1383</v>
      </c>
      <c r="G134" s="94">
        <v>74400</v>
      </c>
      <c r="H134" s="95" t="s">
        <v>311</v>
      </c>
      <c r="I134" s="96" t="s">
        <v>1370</v>
      </c>
      <c r="J134" s="95" t="s">
        <v>301</v>
      </c>
      <c r="K134" s="96" t="s">
        <v>1363</v>
      </c>
      <c r="L134" s="95" t="s">
        <v>1461</v>
      </c>
      <c r="M134" s="96" t="s">
        <v>1462</v>
      </c>
      <c r="N134" s="95" t="s">
        <v>1463</v>
      </c>
      <c r="O134" s="96" t="s">
        <v>1338</v>
      </c>
      <c r="P134" s="95" t="s">
        <v>512</v>
      </c>
      <c r="Q134" s="96" t="s">
        <v>1442</v>
      </c>
      <c r="R134" s="95" t="s">
        <v>1463</v>
      </c>
      <c r="S134" s="96" t="s">
        <v>1338</v>
      </c>
      <c r="T134" s="13">
        <f>30.77</f>
        <v>30.77</v>
      </c>
      <c r="U134" s="97">
        <f>642</f>
        <v>642</v>
      </c>
      <c r="V134" s="97">
        <v>567</v>
      </c>
      <c r="W134" s="97"/>
      <c r="X134" s="97">
        <f>1574361288</f>
        <v>1574361288</v>
      </c>
      <c r="Y134" s="97">
        <v>1386761688</v>
      </c>
      <c r="Z134" s="98"/>
      <c r="AA134" s="95"/>
      <c r="AB134" s="99">
        <f>445</f>
        <v>445</v>
      </c>
      <c r="AC134" s="99" t="str">
        <f t="shared" si="4"/>
        <v>－</v>
      </c>
      <c r="AD134" s="100">
        <f>10</f>
        <v>10</v>
      </c>
    </row>
    <row r="135" spans="1:30">
      <c r="A135" s="91" t="s">
        <v>46</v>
      </c>
      <c r="B135" s="92" t="s">
        <v>1434</v>
      </c>
      <c r="C135" s="92" t="s">
        <v>1435</v>
      </c>
      <c r="D135" s="92" t="s">
        <v>115</v>
      </c>
      <c r="E135" s="93" t="s">
        <v>1386</v>
      </c>
      <c r="F135" s="93" t="s">
        <v>1387</v>
      </c>
      <c r="G135" s="94">
        <v>67200</v>
      </c>
      <c r="H135" s="95" t="s">
        <v>972</v>
      </c>
      <c r="I135" s="96" t="s">
        <v>1370</v>
      </c>
      <c r="J135" s="95" t="s">
        <v>972</v>
      </c>
      <c r="K135" s="96" t="s">
        <v>1370</v>
      </c>
      <c r="L135" s="95" t="s">
        <v>798</v>
      </c>
      <c r="M135" s="96" t="s">
        <v>1464</v>
      </c>
      <c r="N135" s="95" t="s">
        <v>815</v>
      </c>
      <c r="O135" s="96" t="s">
        <v>1465</v>
      </c>
      <c r="P135" s="95" t="s">
        <v>512</v>
      </c>
      <c r="Q135" s="96" t="s">
        <v>1442</v>
      </c>
      <c r="R135" s="95" t="s">
        <v>1463</v>
      </c>
      <c r="S135" s="96" t="s">
        <v>1338</v>
      </c>
      <c r="T135" s="13">
        <f>29.54</f>
        <v>29.54</v>
      </c>
      <c r="U135" s="97">
        <f>190</f>
        <v>190</v>
      </c>
      <c r="V135" s="97">
        <v>159</v>
      </c>
      <c r="W135" s="97"/>
      <c r="X135" s="97">
        <f>362177760</f>
        <v>362177760</v>
      </c>
      <c r="Y135" s="97">
        <v>297491040</v>
      </c>
      <c r="Z135" s="98"/>
      <c r="AA135" s="95"/>
      <c r="AB135" s="99">
        <f>152</f>
        <v>152</v>
      </c>
      <c r="AC135" s="99" t="str">
        <f t="shared" ref="AC135:AD198" si="8">"－"</f>
        <v>－</v>
      </c>
      <c r="AD135" s="100">
        <f>7</f>
        <v>7</v>
      </c>
    </row>
    <row r="136" spans="1:30">
      <c r="A136" s="91" t="s">
        <v>46</v>
      </c>
      <c r="B136" s="92" t="s">
        <v>1434</v>
      </c>
      <c r="C136" s="92" t="s">
        <v>1435</v>
      </c>
      <c r="D136" s="92" t="s">
        <v>634</v>
      </c>
      <c r="E136" s="93" t="s">
        <v>539</v>
      </c>
      <c r="F136" s="93" t="s">
        <v>1391</v>
      </c>
      <c r="G136" s="94">
        <v>74400</v>
      </c>
      <c r="H136" s="95" t="s">
        <v>409</v>
      </c>
      <c r="I136" s="96" t="s">
        <v>1392</v>
      </c>
      <c r="J136" s="95" t="s">
        <v>409</v>
      </c>
      <c r="K136" s="96" t="s">
        <v>1392</v>
      </c>
      <c r="L136" s="95" t="s">
        <v>1461</v>
      </c>
      <c r="M136" s="96" t="s">
        <v>1406</v>
      </c>
      <c r="N136" s="95" t="s">
        <v>332</v>
      </c>
      <c r="O136" s="96" t="s">
        <v>1466</v>
      </c>
      <c r="P136" s="95" t="s">
        <v>512</v>
      </c>
      <c r="Q136" s="96" t="s">
        <v>1442</v>
      </c>
      <c r="R136" s="95" t="s">
        <v>332</v>
      </c>
      <c r="S136" s="96" t="s">
        <v>1466</v>
      </c>
      <c r="T136" s="13">
        <f>23.44</f>
        <v>23.44</v>
      </c>
      <c r="U136" s="97">
        <f>192</f>
        <v>192</v>
      </c>
      <c r="V136" s="97">
        <v>170</v>
      </c>
      <c r="W136" s="97"/>
      <c r="X136" s="97">
        <f>370921200</f>
        <v>370921200</v>
      </c>
      <c r="Y136" s="97">
        <v>326653200</v>
      </c>
      <c r="Z136" s="98"/>
      <c r="AA136" s="95"/>
      <c r="AB136" s="99">
        <f>142</f>
        <v>142</v>
      </c>
      <c r="AC136" s="99" t="str">
        <f t="shared" si="8"/>
        <v>－</v>
      </c>
      <c r="AD136" s="100">
        <f>4</f>
        <v>4</v>
      </c>
    </row>
    <row r="137" spans="1:30">
      <c r="A137" s="91" t="s">
        <v>46</v>
      </c>
      <c r="B137" s="92" t="s">
        <v>1434</v>
      </c>
      <c r="C137" s="92" t="s">
        <v>1435</v>
      </c>
      <c r="D137" s="92" t="s">
        <v>128</v>
      </c>
      <c r="E137" s="93" t="s">
        <v>822</v>
      </c>
      <c r="F137" s="93" t="s">
        <v>889</v>
      </c>
      <c r="G137" s="94">
        <v>72000</v>
      </c>
      <c r="H137" s="95"/>
      <c r="I137" s="96" t="s">
        <v>261</v>
      </c>
      <c r="J137" s="95"/>
      <c r="K137" s="96" t="s">
        <v>261</v>
      </c>
      <c r="L137" s="95" t="s">
        <v>798</v>
      </c>
      <c r="M137" s="96" t="s">
        <v>1467</v>
      </c>
      <c r="N137" s="95"/>
      <c r="O137" s="96" t="s">
        <v>261</v>
      </c>
      <c r="P137" s="95" t="s">
        <v>312</v>
      </c>
      <c r="Q137" s="96" t="s">
        <v>1468</v>
      </c>
      <c r="R137" s="95"/>
      <c r="S137" s="96" t="s">
        <v>261</v>
      </c>
      <c r="T137" s="13">
        <f>19.55</f>
        <v>19.55</v>
      </c>
      <c r="U137" s="97">
        <f>70</f>
        <v>70</v>
      </c>
      <c r="V137" s="97">
        <v>70</v>
      </c>
      <c r="W137" s="97"/>
      <c r="X137" s="97">
        <f>127080000</f>
        <v>127080000</v>
      </c>
      <c r="Y137" s="97">
        <v>127080000</v>
      </c>
      <c r="Z137" s="98"/>
      <c r="AA137" s="95"/>
      <c r="AB137" s="99">
        <f>50</f>
        <v>50</v>
      </c>
      <c r="AC137" s="99" t="str">
        <f t="shared" si="8"/>
        <v>－</v>
      </c>
      <c r="AD137" s="100" t="str">
        <f t="shared" si="8"/>
        <v>－</v>
      </c>
    </row>
    <row r="138" spans="1:30">
      <c r="A138" s="91" t="s">
        <v>46</v>
      </c>
      <c r="B138" s="92" t="s">
        <v>1434</v>
      </c>
      <c r="C138" s="92" t="s">
        <v>1435</v>
      </c>
      <c r="D138" s="92" t="s">
        <v>641</v>
      </c>
      <c r="E138" s="93" t="s">
        <v>824</v>
      </c>
      <c r="F138" s="93" t="s">
        <v>1398</v>
      </c>
      <c r="G138" s="94">
        <v>74400</v>
      </c>
      <c r="H138" s="95"/>
      <c r="I138" s="96" t="s">
        <v>261</v>
      </c>
      <c r="J138" s="95"/>
      <c r="K138" s="96" t="s">
        <v>261</v>
      </c>
      <c r="L138" s="95" t="s">
        <v>312</v>
      </c>
      <c r="M138" s="96" t="s">
        <v>1468</v>
      </c>
      <c r="N138" s="95"/>
      <c r="O138" s="96" t="s">
        <v>261</v>
      </c>
      <c r="P138" s="95" t="s">
        <v>312</v>
      </c>
      <c r="Q138" s="96" t="s">
        <v>1468</v>
      </c>
      <c r="R138" s="95"/>
      <c r="S138" s="96" t="s">
        <v>261</v>
      </c>
      <c r="T138" s="13">
        <f>19.72</f>
        <v>19.72</v>
      </c>
      <c r="U138" s="97">
        <f>50</f>
        <v>50</v>
      </c>
      <c r="V138" s="97">
        <v>50</v>
      </c>
      <c r="W138" s="97"/>
      <c r="X138" s="97">
        <f>92628000</f>
        <v>92628000</v>
      </c>
      <c r="Y138" s="97">
        <v>92628000</v>
      </c>
      <c r="Z138" s="98"/>
      <c r="AA138" s="95"/>
      <c r="AB138" s="99">
        <f>50</f>
        <v>50</v>
      </c>
      <c r="AC138" s="99" t="str">
        <f t="shared" si="8"/>
        <v>－</v>
      </c>
      <c r="AD138" s="100" t="str">
        <f t="shared" si="8"/>
        <v>－</v>
      </c>
    </row>
    <row r="139" spans="1:30">
      <c r="A139" s="91" t="s">
        <v>46</v>
      </c>
      <c r="B139" s="92" t="s">
        <v>1434</v>
      </c>
      <c r="C139" s="92" t="s">
        <v>1435</v>
      </c>
      <c r="D139" s="92" t="s">
        <v>140</v>
      </c>
      <c r="E139" s="93" t="s">
        <v>825</v>
      </c>
      <c r="F139" s="93" t="s">
        <v>1400</v>
      </c>
      <c r="G139" s="94">
        <v>72000</v>
      </c>
      <c r="H139" s="95"/>
      <c r="I139" s="96" t="s">
        <v>261</v>
      </c>
      <c r="J139" s="95"/>
      <c r="K139" s="96" t="s">
        <v>261</v>
      </c>
      <c r="L139" s="95" t="s">
        <v>312</v>
      </c>
      <c r="M139" s="96" t="s">
        <v>1468</v>
      </c>
      <c r="N139" s="95"/>
      <c r="O139" s="96" t="s">
        <v>261</v>
      </c>
      <c r="P139" s="95" t="s">
        <v>312</v>
      </c>
      <c r="Q139" s="96" t="s">
        <v>1468</v>
      </c>
      <c r="R139" s="95"/>
      <c r="S139" s="96" t="s">
        <v>261</v>
      </c>
      <c r="T139" s="13">
        <f>21.33</f>
        <v>21.33</v>
      </c>
      <c r="U139" s="97">
        <f>50</f>
        <v>50</v>
      </c>
      <c r="V139" s="97">
        <v>50</v>
      </c>
      <c r="W139" s="97"/>
      <c r="X139" s="97">
        <f>89640000</f>
        <v>89640000</v>
      </c>
      <c r="Y139" s="97">
        <v>89640000</v>
      </c>
      <c r="Z139" s="98"/>
      <c r="AA139" s="95"/>
      <c r="AB139" s="99">
        <f>50</f>
        <v>50</v>
      </c>
      <c r="AC139" s="99" t="str">
        <f t="shared" si="8"/>
        <v>－</v>
      </c>
      <c r="AD139" s="100" t="str">
        <f t="shared" si="8"/>
        <v>－</v>
      </c>
    </row>
    <row r="140" spans="1:30">
      <c r="A140" s="91" t="s">
        <v>46</v>
      </c>
      <c r="B140" s="92" t="s">
        <v>1434</v>
      </c>
      <c r="C140" s="92" t="s">
        <v>1435</v>
      </c>
      <c r="D140" s="92" t="s">
        <v>783</v>
      </c>
      <c r="E140" s="93" t="s">
        <v>608</v>
      </c>
      <c r="F140" s="93" t="s">
        <v>1402</v>
      </c>
      <c r="G140" s="94">
        <v>74400</v>
      </c>
      <c r="H140" s="95"/>
      <c r="I140" s="96" t="s">
        <v>261</v>
      </c>
      <c r="J140" s="95"/>
      <c r="K140" s="96" t="s">
        <v>261</v>
      </c>
      <c r="L140" s="95" t="s">
        <v>312</v>
      </c>
      <c r="M140" s="96" t="s">
        <v>1468</v>
      </c>
      <c r="N140" s="95"/>
      <c r="O140" s="96" t="s">
        <v>261</v>
      </c>
      <c r="P140" s="95" t="s">
        <v>312</v>
      </c>
      <c r="Q140" s="96" t="s">
        <v>1468</v>
      </c>
      <c r="R140" s="95"/>
      <c r="S140" s="96" t="s">
        <v>261</v>
      </c>
      <c r="T140" s="13">
        <f>25.08</f>
        <v>25.08</v>
      </c>
      <c r="U140" s="97">
        <f>50</f>
        <v>50</v>
      </c>
      <c r="V140" s="97">
        <v>50</v>
      </c>
      <c r="W140" s="97"/>
      <c r="X140" s="97">
        <f>92628000</f>
        <v>92628000</v>
      </c>
      <c r="Y140" s="97">
        <v>92628000</v>
      </c>
      <c r="Z140" s="98"/>
      <c r="AA140" s="95"/>
      <c r="AB140" s="99">
        <f>50</f>
        <v>50</v>
      </c>
      <c r="AC140" s="99" t="str">
        <f t="shared" si="8"/>
        <v>－</v>
      </c>
      <c r="AD140" s="100" t="str">
        <f t="shared" si="8"/>
        <v>－</v>
      </c>
    </row>
    <row r="141" spans="1:30">
      <c r="A141" s="91" t="s">
        <v>46</v>
      </c>
      <c r="B141" s="92" t="s">
        <v>1434</v>
      </c>
      <c r="C141" s="92" t="s">
        <v>1435</v>
      </c>
      <c r="D141" s="92" t="s">
        <v>154</v>
      </c>
      <c r="E141" s="93" t="s">
        <v>608</v>
      </c>
      <c r="F141" s="93" t="s">
        <v>1404</v>
      </c>
      <c r="G141" s="94">
        <v>74400</v>
      </c>
      <c r="H141" s="95"/>
      <c r="I141" s="96" t="s">
        <v>261</v>
      </c>
      <c r="J141" s="95"/>
      <c r="K141" s="96" t="s">
        <v>261</v>
      </c>
      <c r="L141" s="95" t="s">
        <v>312</v>
      </c>
      <c r="M141" s="96" t="s">
        <v>1468</v>
      </c>
      <c r="N141" s="95"/>
      <c r="O141" s="96" t="s">
        <v>261</v>
      </c>
      <c r="P141" s="95" t="s">
        <v>312</v>
      </c>
      <c r="Q141" s="96" t="s">
        <v>1468</v>
      </c>
      <c r="R141" s="95"/>
      <c r="S141" s="96" t="s">
        <v>261</v>
      </c>
      <c r="T141" s="13">
        <f>27.42</f>
        <v>27.42</v>
      </c>
      <c r="U141" s="97">
        <f>50</f>
        <v>50</v>
      </c>
      <c r="V141" s="97">
        <v>50</v>
      </c>
      <c r="W141" s="97"/>
      <c r="X141" s="97">
        <f>92628000</f>
        <v>92628000</v>
      </c>
      <c r="Y141" s="97">
        <v>92628000</v>
      </c>
      <c r="Z141" s="98"/>
      <c r="AA141" s="95"/>
      <c r="AB141" s="99">
        <f>50</f>
        <v>50</v>
      </c>
      <c r="AC141" s="99" t="str">
        <f t="shared" si="8"/>
        <v>－</v>
      </c>
      <c r="AD141" s="100" t="str">
        <f t="shared" si="8"/>
        <v>－</v>
      </c>
    </row>
    <row r="142" spans="1:30">
      <c r="A142" s="91" t="s">
        <v>46</v>
      </c>
      <c r="B142" s="92" t="s">
        <v>1434</v>
      </c>
      <c r="C142" s="92" t="s">
        <v>1435</v>
      </c>
      <c r="D142" s="92" t="s">
        <v>795</v>
      </c>
      <c r="E142" s="93" t="s">
        <v>608</v>
      </c>
      <c r="F142" s="93" t="s">
        <v>894</v>
      </c>
      <c r="G142" s="94">
        <v>72000</v>
      </c>
      <c r="H142" s="95"/>
      <c r="I142" s="96" t="s">
        <v>261</v>
      </c>
      <c r="J142" s="95"/>
      <c r="K142" s="96" t="s">
        <v>261</v>
      </c>
      <c r="L142" s="95" t="s">
        <v>312</v>
      </c>
      <c r="M142" s="96" t="s">
        <v>1468</v>
      </c>
      <c r="N142" s="95"/>
      <c r="O142" s="96" t="s">
        <v>261</v>
      </c>
      <c r="P142" s="95" t="s">
        <v>312</v>
      </c>
      <c r="Q142" s="96" t="s">
        <v>1468</v>
      </c>
      <c r="R142" s="95"/>
      <c r="S142" s="96" t="s">
        <v>261</v>
      </c>
      <c r="T142" s="13">
        <f>22.44</f>
        <v>22.44</v>
      </c>
      <c r="U142" s="97">
        <f>50</f>
        <v>50</v>
      </c>
      <c r="V142" s="97">
        <v>50</v>
      </c>
      <c r="W142" s="97"/>
      <c r="X142" s="97">
        <f>89640000</f>
        <v>89640000</v>
      </c>
      <c r="Y142" s="97">
        <v>89640000</v>
      </c>
      <c r="Z142" s="98"/>
      <c r="AA142" s="95"/>
      <c r="AB142" s="99">
        <f>50</f>
        <v>50</v>
      </c>
      <c r="AC142" s="99" t="str">
        <f t="shared" si="8"/>
        <v>－</v>
      </c>
      <c r="AD142" s="100" t="str">
        <f t="shared" si="8"/>
        <v>－</v>
      </c>
    </row>
    <row r="143" spans="1:30">
      <c r="A143" s="91" t="s">
        <v>46</v>
      </c>
      <c r="B143" s="92" t="s">
        <v>1434</v>
      </c>
      <c r="C143" s="92" t="s">
        <v>1435</v>
      </c>
      <c r="D143" s="92" t="s">
        <v>165</v>
      </c>
      <c r="E143" s="93" t="s">
        <v>608</v>
      </c>
      <c r="F143" s="93" t="s">
        <v>1407</v>
      </c>
      <c r="G143" s="94">
        <v>74400</v>
      </c>
      <c r="H143" s="95"/>
      <c r="I143" s="96" t="s">
        <v>261</v>
      </c>
      <c r="J143" s="95"/>
      <c r="K143" s="96" t="s">
        <v>261</v>
      </c>
      <c r="L143" s="95" t="s">
        <v>312</v>
      </c>
      <c r="M143" s="96" t="s">
        <v>1468</v>
      </c>
      <c r="N143" s="95"/>
      <c r="O143" s="96" t="s">
        <v>261</v>
      </c>
      <c r="P143" s="95" t="s">
        <v>312</v>
      </c>
      <c r="Q143" s="96" t="s">
        <v>1468</v>
      </c>
      <c r="R143" s="95"/>
      <c r="S143" s="96" t="s">
        <v>261</v>
      </c>
      <c r="T143" s="13">
        <f>20.59</f>
        <v>20.59</v>
      </c>
      <c r="U143" s="97">
        <f>50</f>
        <v>50</v>
      </c>
      <c r="V143" s="97">
        <v>50</v>
      </c>
      <c r="W143" s="97"/>
      <c r="X143" s="97">
        <f>92628000</f>
        <v>92628000</v>
      </c>
      <c r="Y143" s="97">
        <v>92628000</v>
      </c>
      <c r="Z143" s="98"/>
      <c r="AA143" s="95"/>
      <c r="AB143" s="99">
        <f>50</f>
        <v>50</v>
      </c>
      <c r="AC143" s="99" t="str">
        <f t="shared" si="8"/>
        <v>－</v>
      </c>
      <c r="AD143" s="100" t="str">
        <f t="shared" si="8"/>
        <v>－</v>
      </c>
    </row>
    <row r="144" spans="1:30">
      <c r="A144" s="91" t="s">
        <v>46</v>
      </c>
      <c r="B144" s="92" t="s">
        <v>1434</v>
      </c>
      <c r="C144" s="92" t="s">
        <v>1435</v>
      </c>
      <c r="D144" s="92" t="s">
        <v>809</v>
      </c>
      <c r="E144" s="93" t="s">
        <v>608</v>
      </c>
      <c r="F144" s="93" t="s">
        <v>1409</v>
      </c>
      <c r="G144" s="94">
        <v>72000</v>
      </c>
      <c r="H144" s="95"/>
      <c r="I144" s="96" t="s">
        <v>261</v>
      </c>
      <c r="J144" s="95"/>
      <c r="K144" s="96" t="s">
        <v>261</v>
      </c>
      <c r="L144" s="95" t="s">
        <v>312</v>
      </c>
      <c r="M144" s="96" t="s">
        <v>1468</v>
      </c>
      <c r="N144" s="95"/>
      <c r="O144" s="96" t="s">
        <v>261</v>
      </c>
      <c r="P144" s="95" t="s">
        <v>312</v>
      </c>
      <c r="Q144" s="96" t="s">
        <v>1468</v>
      </c>
      <c r="R144" s="95"/>
      <c r="S144" s="96" t="s">
        <v>261</v>
      </c>
      <c r="T144" s="13">
        <f>21.65</f>
        <v>21.65</v>
      </c>
      <c r="U144" s="97">
        <f>50</f>
        <v>50</v>
      </c>
      <c r="V144" s="97">
        <v>50</v>
      </c>
      <c r="W144" s="97"/>
      <c r="X144" s="97">
        <f>89640000</f>
        <v>89640000</v>
      </c>
      <c r="Y144" s="97">
        <v>89640000</v>
      </c>
      <c r="Z144" s="98"/>
      <c r="AA144" s="95"/>
      <c r="AB144" s="99">
        <f>50</f>
        <v>50</v>
      </c>
      <c r="AC144" s="99" t="str">
        <f t="shared" si="8"/>
        <v>－</v>
      </c>
      <c r="AD144" s="100" t="str">
        <f t="shared" si="8"/>
        <v>－</v>
      </c>
    </row>
    <row r="145" spans="1:30">
      <c r="A145" s="91" t="s">
        <v>46</v>
      </c>
      <c r="B145" s="92" t="s">
        <v>1434</v>
      </c>
      <c r="C145" s="92" t="s">
        <v>1435</v>
      </c>
      <c r="D145" s="92" t="s">
        <v>176</v>
      </c>
      <c r="E145" s="93" t="s">
        <v>608</v>
      </c>
      <c r="F145" s="93" t="s">
        <v>1299</v>
      </c>
      <c r="G145" s="94">
        <v>74400</v>
      </c>
      <c r="H145" s="95"/>
      <c r="I145" s="96" t="s">
        <v>261</v>
      </c>
      <c r="J145" s="95"/>
      <c r="K145" s="96" t="s">
        <v>261</v>
      </c>
      <c r="L145" s="95" t="s">
        <v>312</v>
      </c>
      <c r="M145" s="96" t="s">
        <v>1468</v>
      </c>
      <c r="N145" s="95"/>
      <c r="O145" s="96" t="s">
        <v>261</v>
      </c>
      <c r="P145" s="95" t="s">
        <v>312</v>
      </c>
      <c r="Q145" s="96" t="s">
        <v>1468</v>
      </c>
      <c r="R145" s="95"/>
      <c r="S145" s="96" t="s">
        <v>261</v>
      </c>
      <c r="T145" s="13">
        <f>25.37</f>
        <v>25.37</v>
      </c>
      <c r="U145" s="97">
        <f>50</f>
        <v>50</v>
      </c>
      <c r="V145" s="97">
        <v>50</v>
      </c>
      <c r="W145" s="97"/>
      <c r="X145" s="97">
        <f>92628000</f>
        <v>92628000</v>
      </c>
      <c r="Y145" s="97">
        <v>92628000</v>
      </c>
      <c r="Z145" s="98"/>
      <c r="AA145" s="95"/>
      <c r="AB145" s="99">
        <f>50</f>
        <v>50</v>
      </c>
      <c r="AC145" s="99" t="str">
        <f t="shared" si="8"/>
        <v>－</v>
      </c>
      <c r="AD145" s="100" t="str">
        <f t="shared" si="8"/>
        <v>－</v>
      </c>
    </row>
    <row r="146" spans="1:30">
      <c r="A146" s="91" t="s">
        <v>46</v>
      </c>
      <c r="B146" s="92" t="s">
        <v>1434</v>
      </c>
      <c r="C146" s="92" t="s">
        <v>1435</v>
      </c>
      <c r="D146" s="92" t="s">
        <v>987</v>
      </c>
      <c r="E146" s="93" t="s">
        <v>608</v>
      </c>
      <c r="F146" s="93" t="s">
        <v>1412</v>
      </c>
      <c r="G146" s="94">
        <v>74400</v>
      </c>
      <c r="H146" s="95"/>
      <c r="I146" s="96" t="s">
        <v>261</v>
      </c>
      <c r="J146" s="95"/>
      <c r="K146" s="96" t="s">
        <v>261</v>
      </c>
      <c r="L146" s="95" t="s">
        <v>312</v>
      </c>
      <c r="M146" s="96" t="s">
        <v>1468</v>
      </c>
      <c r="N146" s="95"/>
      <c r="O146" s="96" t="s">
        <v>261</v>
      </c>
      <c r="P146" s="95" t="s">
        <v>312</v>
      </c>
      <c r="Q146" s="96" t="s">
        <v>1468</v>
      </c>
      <c r="R146" s="95"/>
      <c r="S146" s="96" t="s">
        <v>261</v>
      </c>
      <c r="T146" s="13">
        <f>25.88</f>
        <v>25.88</v>
      </c>
      <c r="U146" s="97">
        <f>50</f>
        <v>50</v>
      </c>
      <c r="V146" s="97">
        <v>50</v>
      </c>
      <c r="W146" s="97"/>
      <c r="X146" s="97">
        <f>92628000</f>
        <v>92628000</v>
      </c>
      <c r="Y146" s="97">
        <v>92628000</v>
      </c>
      <c r="Z146" s="98"/>
      <c r="AA146" s="95"/>
      <c r="AB146" s="99">
        <f>50</f>
        <v>50</v>
      </c>
      <c r="AC146" s="99" t="str">
        <f t="shared" si="8"/>
        <v>－</v>
      </c>
      <c r="AD146" s="100" t="str">
        <f t="shared" si="8"/>
        <v>－</v>
      </c>
    </row>
    <row r="147" spans="1:30">
      <c r="A147" s="91" t="s">
        <v>46</v>
      </c>
      <c r="B147" s="92" t="s">
        <v>1434</v>
      </c>
      <c r="C147" s="92" t="s">
        <v>1435</v>
      </c>
      <c r="D147" s="92" t="s">
        <v>1308</v>
      </c>
      <c r="E147" s="93" t="s">
        <v>608</v>
      </c>
      <c r="F147" s="93" t="s">
        <v>1414</v>
      </c>
      <c r="G147" s="94">
        <v>69600</v>
      </c>
      <c r="H147" s="95"/>
      <c r="I147" s="96" t="s">
        <v>261</v>
      </c>
      <c r="J147" s="95"/>
      <c r="K147" s="96" t="s">
        <v>261</v>
      </c>
      <c r="L147" s="95" t="s">
        <v>312</v>
      </c>
      <c r="M147" s="96" t="s">
        <v>1468</v>
      </c>
      <c r="N147" s="95"/>
      <c r="O147" s="96" t="s">
        <v>261</v>
      </c>
      <c r="P147" s="95" t="s">
        <v>312</v>
      </c>
      <c r="Q147" s="96" t="s">
        <v>1468</v>
      </c>
      <c r="R147" s="95"/>
      <c r="S147" s="96" t="s">
        <v>261</v>
      </c>
      <c r="T147" s="13">
        <f>25.33</f>
        <v>25.33</v>
      </c>
      <c r="U147" s="97">
        <f>50</f>
        <v>50</v>
      </c>
      <c r="V147" s="97">
        <v>50</v>
      </c>
      <c r="W147" s="97"/>
      <c r="X147" s="97">
        <f>86652000</f>
        <v>86652000</v>
      </c>
      <c r="Y147" s="97">
        <v>86652000</v>
      </c>
      <c r="Z147" s="98"/>
      <c r="AA147" s="95"/>
      <c r="AB147" s="99">
        <f>50</f>
        <v>50</v>
      </c>
      <c r="AC147" s="99" t="str">
        <f t="shared" si="8"/>
        <v>－</v>
      </c>
      <c r="AD147" s="100" t="str">
        <f t="shared" si="8"/>
        <v>－</v>
      </c>
    </row>
    <row r="148" spans="1:30">
      <c r="A148" s="91" t="s">
        <v>46</v>
      </c>
      <c r="B148" s="92" t="s">
        <v>1434</v>
      </c>
      <c r="C148" s="92" t="s">
        <v>1435</v>
      </c>
      <c r="D148" s="92" t="s">
        <v>1416</v>
      </c>
      <c r="E148" s="93" t="s">
        <v>608</v>
      </c>
      <c r="F148" s="93" t="s">
        <v>1417</v>
      </c>
      <c r="G148" s="94">
        <v>74400</v>
      </c>
      <c r="H148" s="95"/>
      <c r="I148" s="96" t="s">
        <v>261</v>
      </c>
      <c r="J148" s="95"/>
      <c r="K148" s="96" t="s">
        <v>261</v>
      </c>
      <c r="L148" s="95" t="s">
        <v>312</v>
      </c>
      <c r="M148" s="96" t="s">
        <v>1468</v>
      </c>
      <c r="N148" s="95"/>
      <c r="O148" s="96" t="s">
        <v>261</v>
      </c>
      <c r="P148" s="95" t="s">
        <v>312</v>
      </c>
      <c r="Q148" s="96" t="s">
        <v>1468</v>
      </c>
      <c r="R148" s="95"/>
      <c r="S148" s="96" t="s">
        <v>261</v>
      </c>
      <c r="T148" s="13">
        <f>21.04</f>
        <v>21.04</v>
      </c>
      <c r="U148" s="97">
        <f>50</f>
        <v>50</v>
      </c>
      <c r="V148" s="97">
        <v>50</v>
      </c>
      <c r="W148" s="97"/>
      <c r="X148" s="97">
        <f>92628000</f>
        <v>92628000</v>
      </c>
      <c r="Y148" s="97">
        <v>92628000</v>
      </c>
      <c r="Z148" s="98"/>
      <c r="AA148" s="95"/>
      <c r="AB148" s="99">
        <f>50</f>
        <v>50</v>
      </c>
      <c r="AC148" s="99" t="str">
        <f t="shared" si="8"/>
        <v>－</v>
      </c>
      <c r="AD148" s="100" t="str">
        <f t="shared" si="8"/>
        <v>－</v>
      </c>
    </row>
    <row r="149" spans="1:30">
      <c r="A149" s="91" t="s">
        <v>46</v>
      </c>
      <c r="B149" s="92" t="s">
        <v>1434</v>
      </c>
      <c r="C149" s="92" t="s">
        <v>1435</v>
      </c>
      <c r="D149" s="92" t="s">
        <v>1418</v>
      </c>
      <c r="E149" s="93" t="s">
        <v>563</v>
      </c>
      <c r="F149" s="93" t="s">
        <v>1419</v>
      </c>
      <c r="G149" s="94">
        <v>72000</v>
      </c>
      <c r="H149" s="95"/>
      <c r="I149" s="96" t="s">
        <v>261</v>
      </c>
      <c r="J149" s="95"/>
      <c r="K149" s="96" t="s">
        <v>261</v>
      </c>
      <c r="L149" s="95"/>
      <c r="M149" s="96"/>
      <c r="N149" s="95"/>
      <c r="O149" s="96" t="s">
        <v>261</v>
      </c>
      <c r="P149" s="95"/>
      <c r="Q149" s="96"/>
      <c r="R149" s="95"/>
      <c r="S149" s="96" t="s">
        <v>261</v>
      </c>
      <c r="T149" s="13">
        <f>15.56</f>
        <v>15.56</v>
      </c>
      <c r="U149" s="97" t="str">
        <f t="shared" ref="U149:U157" si="9">"－"</f>
        <v>－</v>
      </c>
      <c r="V149" s="97"/>
      <c r="W149" s="97"/>
      <c r="X149" s="97" t="str">
        <f t="shared" ref="X149:X157" si="10">"－"</f>
        <v>－</v>
      </c>
      <c r="Y149" s="97"/>
      <c r="Z149" s="98"/>
      <c r="AA149" s="95"/>
      <c r="AB149" s="99" t="str">
        <f t="shared" ref="AB149:AB156" si="11">"－"</f>
        <v>－</v>
      </c>
      <c r="AC149" s="99" t="str">
        <f t="shared" si="8"/>
        <v>－</v>
      </c>
      <c r="AD149" s="100" t="str">
        <f t="shared" si="8"/>
        <v>－</v>
      </c>
    </row>
    <row r="150" spans="1:30">
      <c r="A150" s="91" t="s">
        <v>46</v>
      </c>
      <c r="B150" s="92" t="s">
        <v>1434</v>
      </c>
      <c r="C150" s="92" t="s">
        <v>1435</v>
      </c>
      <c r="D150" s="92" t="s">
        <v>1420</v>
      </c>
      <c r="E150" s="93" t="s">
        <v>835</v>
      </c>
      <c r="F150" s="93" t="s">
        <v>1421</v>
      </c>
      <c r="G150" s="94">
        <v>74400</v>
      </c>
      <c r="H150" s="95"/>
      <c r="I150" s="96" t="s">
        <v>261</v>
      </c>
      <c r="J150" s="95"/>
      <c r="K150" s="96" t="s">
        <v>261</v>
      </c>
      <c r="L150" s="95"/>
      <c r="M150" s="96"/>
      <c r="N150" s="95"/>
      <c r="O150" s="96" t="s">
        <v>261</v>
      </c>
      <c r="P150" s="95"/>
      <c r="Q150" s="96"/>
      <c r="R150" s="95"/>
      <c r="S150" s="96" t="s">
        <v>261</v>
      </c>
      <c r="T150" s="13">
        <f>15.13</f>
        <v>15.13</v>
      </c>
      <c r="U150" s="97" t="str">
        <f t="shared" si="9"/>
        <v>－</v>
      </c>
      <c r="V150" s="97"/>
      <c r="W150" s="97"/>
      <c r="X150" s="97" t="str">
        <f t="shared" si="10"/>
        <v>－</v>
      </c>
      <c r="Y150" s="97"/>
      <c r="Z150" s="98"/>
      <c r="AA150" s="95"/>
      <c r="AB150" s="99" t="str">
        <f t="shared" si="11"/>
        <v>－</v>
      </c>
      <c r="AC150" s="99" t="str">
        <f t="shared" si="8"/>
        <v>－</v>
      </c>
      <c r="AD150" s="100" t="str">
        <f t="shared" si="8"/>
        <v>－</v>
      </c>
    </row>
    <row r="151" spans="1:30">
      <c r="A151" s="91" t="s">
        <v>46</v>
      </c>
      <c r="B151" s="92" t="s">
        <v>1434</v>
      </c>
      <c r="C151" s="92" t="s">
        <v>1435</v>
      </c>
      <c r="D151" s="92" t="s">
        <v>1422</v>
      </c>
      <c r="E151" s="93" t="s">
        <v>840</v>
      </c>
      <c r="F151" s="93" t="s">
        <v>1423</v>
      </c>
      <c r="G151" s="94">
        <v>72000</v>
      </c>
      <c r="H151" s="95"/>
      <c r="I151" s="96" t="s">
        <v>261</v>
      </c>
      <c r="J151" s="95"/>
      <c r="K151" s="96" t="s">
        <v>261</v>
      </c>
      <c r="L151" s="95"/>
      <c r="M151" s="96"/>
      <c r="N151" s="95"/>
      <c r="O151" s="96" t="s">
        <v>261</v>
      </c>
      <c r="P151" s="95"/>
      <c r="Q151" s="96"/>
      <c r="R151" s="95"/>
      <c r="S151" s="96" t="s">
        <v>261</v>
      </c>
      <c r="T151" s="13">
        <f>14.89</f>
        <v>14.89</v>
      </c>
      <c r="U151" s="97" t="str">
        <f t="shared" si="9"/>
        <v>－</v>
      </c>
      <c r="V151" s="97"/>
      <c r="W151" s="97"/>
      <c r="X151" s="97" t="str">
        <f t="shared" si="10"/>
        <v>－</v>
      </c>
      <c r="Y151" s="97"/>
      <c r="Z151" s="98"/>
      <c r="AA151" s="95"/>
      <c r="AB151" s="99" t="str">
        <f t="shared" si="11"/>
        <v>－</v>
      </c>
      <c r="AC151" s="99" t="str">
        <f t="shared" si="8"/>
        <v>－</v>
      </c>
      <c r="AD151" s="100" t="str">
        <f t="shared" si="8"/>
        <v>－</v>
      </c>
    </row>
    <row r="152" spans="1:30">
      <c r="A152" s="91" t="s">
        <v>46</v>
      </c>
      <c r="B152" s="92" t="s">
        <v>1434</v>
      </c>
      <c r="C152" s="92" t="s">
        <v>1435</v>
      </c>
      <c r="D152" s="92" t="s">
        <v>1424</v>
      </c>
      <c r="E152" s="93" t="s">
        <v>587</v>
      </c>
      <c r="F152" s="93" t="s">
        <v>1425</v>
      </c>
      <c r="G152" s="94">
        <v>74400</v>
      </c>
      <c r="H152" s="95"/>
      <c r="I152" s="96" t="s">
        <v>261</v>
      </c>
      <c r="J152" s="95"/>
      <c r="K152" s="96" t="s">
        <v>261</v>
      </c>
      <c r="L152" s="95"/>
      <c r="M152" s="96"/>
      <c r="N152" s="95"/>
      <c r="O152" s="96" t="s">
        <v>261</v>
      </c>
      <c r="P152" s="95"/>
      <c r="Q152" s="96"/>
      <c r="R152" s="95"/>
      <c r="S152" s="96" t="s">
        <v>261</v>
      </c>
      <c r="T152" s="13">
        <f>17.61</f>
        <v>17.61</v>
      </c>
      <c r="U152" s="97" t="str">
        <f t="shared" si="9"/>
        <v>－</v>
      </c>
      <c r="V152" s="97"/>
      <c r="W152" s="97"/>
      <c r="X152" s="97" t="str">
        <f t="shared" si="10"/>
        <v>－</v>
      </c>
      <c r="Y152" s="97"/>
      <c r="Z152" s="98"/>
      <c r="AA152" s="95"/>
      <c r="AB152" s="99" t="str">
        <f t="shared" si="11"/>
        <v>－</v>
      </c>
      <c r="AC152" s="99" t="str">
        <f t="shared" si="8"/>
        <v>－</v>
      </c>
      <c r="AD152" s="100" t="str">
        <f t="shared" si="8"/>
        <v>－</v>
      </c>
    </row>
    <row r="153" spans="1:30">
      <c r="A153" s="91" t="s">
        <v>46</v>
      </c>
      <c r="B153" s="92" t="s">
        <v>1434</v>
      </c>
      <c r="C153" s="92" t="s">
        <v>1435</v>
      </c>
      <c r="D153" s="92" t="s">
        <v>1426</v>
      </c>
      <c r="E153" s="93" t="s">
        <v>849</v>
      </c>
      <c r="F153" s="93" t="s">
        <v>1427</v>
      </c>
      <c r="G153" s="94">
        <v>74400</v>
      </c>
      <c r="H153" s="95"/>
      <c r="I153" s="96" t="s">
        <v>261</v>
      </c>
      <c r="J153" s="95"/>
      <c r="K153" s="96" t="s">
        <v>261</v>
      </c>
      <c r="L153" s="95"/>
      <c r="M153" s="96"/>
      <c r="N153" s="95"/>
      <c r="O153" s="96" t="s">
        <v>261</v>
      </c>
      <c r="P153" s="95"/>
      <c r="Q153" s="96"/>
      <c r="R153" s="95"/>
      <c r="S153" s="96" t="s">
        <v>261</v>
      </c>
      <c r="T153" s="13">
        <f>18.84</f>
        <v>18.84</v>
      </c>
      <c r="U153" s="97" t="str">
        <f t="shared" si="9"/>
        <v>－</v>
      </c>
      <c r="V153" s="97"/>
      <c r="W153" s="97"/>
      <c r="X153" s="97" t="str">
        <f t="shared" si="10"/>
        <v>－</v>
      </c>
      <c r="Y153" s="97"/>
      <c r="Z153" s="98"/>
      <c r="AA153" s="95"/>
      <c r="AB153" s="99" t="str">
        <f t="shared" si="11"/>
        <v>－</v>
      </c>
      <c r="AC153" s="99" t="str">
        <f t="shared" si="8"/>
        <v>－</v>
      </c>
      <c r="AD153" s="100" t="str">
        <f t="shared" si="8"/>
        <v>－</v>
      </c>
    </row>
    <row r="154" spans="1:30">
      <c r="A154" s="91" t="s">
        <v>46</v>
      </c>
      <c r="B154" s="92" t="s">
        <v>1434</v>
      </c>
      <c r="C154" s="92" t="s">
        <v>1435</v>
      </c>
      <c r="D154" s="92" t="s">
        <v>1428</v>
      </c>
      <c r="E154" s="93" t="s">
        <v>855</v>
      </c>
      <c r="F154" s="93" t="s">
        <v>1429</v>
      </c>
      <c r="G154" s="94">
        <v>72000</v>
      </c>
      <c r="H154" s="95"/>
      <c r="I154" s="96" t="s">
        <v>261</v>
      </c>
      <c r="J154" s="95"/>
      <c r="K154" s="96" t="s">
        <v>261</v>
      </c>
      <c r="L154" s="95"/>
      <c r="M154" s="96"/>
      <c r="N154" s="95"/>
      <c r="O154" s="96" t="s">
        <v>261</v>
      </c>
      <c r="P154" s="95"/>
      <c r="Q154" s="96"/>
      <c r="R154" s="95"/>
      <c r="S154" s="96" t="s">
        <v>261</v>
      </c>
      <c r="T154" s="13">
        <f>14.78</f>
        <v>14.78</v>
      </c>
      <c r="U154" s="97" t="str">
        <f t="shared" si="9"/>
        <v>－</v>
      </c>
      <c r="V154" s="97"/>
      <c r="W154" s="97"/>
      <c r="X154" s="97" t="str">
        <f t="shared" si="10"/>
        <v>－</v>
      </c>
      <c r="Y154" s="97"/>
      <c r="Z154" s="98"/>
      <c r="AA154" s="95"/>
      <c r="AB154" s="99" t="str">
        <f t="shared" si="11"/>
        <v>－</v>
      </c>
      <c r="AC154" s="99" t="str">
        <f t="shared" si="8"/>
        <v>－</v>
      </c>
      <c r="AD154" s="100" t="str">
        <f t="shared" si="8"/>
        <v>－</v>
      </c>
    </row>
    <row r="155" spans="1:30">
      <c r="A155" s="91" t="s">
        <v>46</v>
      </c>
      <c r="B155" s="92" t="s">
        <v>1434</v>
      </c>
      <c r="C155" s="92" t="s">
        <v>1435</v>
      </c>
      <c r="D155" s="92" t="s">
        <v>1430</v>
      </c>
      <c r="E155" s="93" t="s">
        <v>861</v>
      </c>
      <c r="F155" s="93" t="s">
        <v>1431</v>
      </c>
      <c r="G155" s="94">
        <v>74400</v>
      </c>
      <c r="H155" s="95"/>
      <c r="I155" s="96" t="s">
        <v>261</v>
      </c>
      <c r="J155" s="95"/>
      <c r="K155" s="96" t="s">
        <v>261</v>
      </c>
      <c r="L155" s="95"/>
      <c r="M155" s="96"/>
      <c r="N155" s="95"/>
      <c r="O155" s="96" t="s">
        <v>261</v>
      </c>
      <c r="P155" s="95"/>
      <c r="Q155" s="96"/>
      <c r="R155" s="95"/>
      <c r="S155" s="96" t="s">
        <v>261</v>
      </c>
      <c r="T155" s="13">
        <f>12.62</f>
        <v>12.62</v>
      </c>
      <c r="U155" s="97" t="str">
        <f t="shared" si="9"/>
        <v>－</v>
      </c>
      <c r="V155" s="97"/>
      <c r="W155" s="97"/>
      <c r="X155" s="97" t="str">
        <f t="shared" si="10"/>
        <v>－</v>
      </c>
      <c r="Y155" s="97"/>
      <c r="Z155" s="98"/>
      <c r="AA155" s="95"/>
      <c r="AB155" s="99" t="str">
        <f t="shared" si="11"/>
        <v>－</v>
      </c>
      <c r="AC155" s="99" t="str">
        <f t="shared" si="8"/>
        <v>－</v>
      </c>
      <c r="AD155" s="100" t="str">
        <f t="shared" si="8"/>
        <v>－</v>
      </c>
    </row>
    <row r="156" spans="1:30">
      <c r="A156" s="91" t="s">
        <v>46</v>
      </c>
      <c r="B156" s="92" t="s">
        <v>1434</v>
      </c>
      <c r="C156" s="92" t="s">
        <v>1435</v>
      </c>
      <c r="D156" s="92" t="s">
        <v>1432</v>
      </c>
      <c r="E156" s="93" t="s">
        <v>865</v>
      </c>
      <c r="F156" s="93" t="s">
        <v>1433</v>
      </c>
      <c r="G156" s="94">
        <v>72000</v>
      </c>
      <c r="H156" s="95"/>
      <c r="I156" s="96" t="s">
        <v>261</v>
      </c>
      <c r="J156" s="95"/>
      <c r="K156" s="96" t="s">
        <v>261</v>
      </c>
      <c r="L156" s="95"/>
      <c r="M156" s="96"/>
      <c r="N156" s="95"/>
      <c r="O156" s="96" t="s">
        <v>261</v>
      </c>
      <c r="P156" s="95"/>
      <c r="Q156" s="96"/>
      <c r="R156" s="95"/>
      <c r="S156" s="96" t="s">
        <v>261</v>
      </c>
      <c r="T156" s="13">
        <f>13.21</f>
        <v>13.21</v>
      </c>
      <c r="U156" s="97" t="str">
        <f t="shared" si="9"/>
        <v>－</v>
      </c>
      <c r="V156" s="97"/>
      <c r="W156" s="97"/>
      <c r="X156" s="97" t="str">
        <f t="shared" si="10"/>
        <v>－</v>
      </c>
      <c r="Y156" s="97"/>
      <c r="Z156" s="98"/>
      <c r="AA156" s="95"/>
      <c r="AB156" s="99" t="str">
        <f t="shared" si="11"/>
        <v>－</v>
      </c>
      <c r="AC156" s="99" t="str">
        <f t="shared" si="8"/>
        <v>－</v>
      </c>
      <c r="AD156" s="100" t="str">
        <f t="shared" si="8"/>
        <v>－</v>
      </c>
    </row>
    <row r="157" spans="1:30">
      <c r="A157" s="91" t="s">
        <v>46</v>
      </c>
      <c r="B157" s="92" t="s">
        <v>1469</v>
      </c>
      <c r="C157" s="92" t="s">
        <v>1470</v>
      </c>
      <c r="D157" s="92" t="s">
        <v>537</v>
      </c>
      <c r="E157" s="93" t="s">
        <v>1471</v>
      </c>
      <c r="F157" s="93" t="s">
        <v>1318</v>
      </c>
      <c r="G157" s="94">
        <v>22800</v>
      </c>
      <c r="H157" s="95"/>
      <c r="I157" s="96" t="s">
        <v>261</v>
      </c>
      <c r="J157" s="95"/>
      <c r="K157" s="96" t="s">
        <v>261</v>
      </c>
      <c r="L157" s="95"/>
      <c r="M157" s="96"/>
      <c r="N157" s="95"/>
      <c r="O157" s="96" t="s">
        <v>261</v>
      </c>
      <c r="P157" s="95"/>
      <c r="Q157" s="96"/>
      <c r="R157" s="95"/>
      <c r="S157" s="96" t="s">
        <v>261</v>
      </c>
      <c r="T157" s="13">
        <f>32.59</f>
        <v>32.590000000000003</v>
      </c>
      <c r="U157" s="97" t="str">
        <f t="shared" si="9"/>
        <v>－</v>
      </c>
      <c r="V157" s="97"/>
      <c r="W157" s="97"/>
      <c r="X157" s="97" t="str">
        <f t="shared" si="10"/>
        <v>－</v>
      </c>
      <c r="Y157" s="97"/>
      <c r="Z157" s="98"/>
      <c r="AA157" s="95" t="s">
        <v>60</v>
      </c>
      <c r="AB157" s="99">
        <f>162</f>
        <v>162</v>
      </c>
      <c r="AC157" s="99" t="str">
        <f t="shared" si="8"/>
        <v>－</v>
      </c>
      <c r="AD157" s="100" t="str">
        <f t="shared" si="8"/>
        <v>－</v>
      </c>
    </row>
    <row r="158" spans="1:30">
      <c r="A158" s="91" t="s">
        <v>46</v>
      </c>
      <c r="B158" s="92" t="s">
        <v>1469</v>
      </c>
      <c r="C158" s="92" t="s">
        <v>1470</v>
      </c>
      <c r="D158" s="92" t="s">
        <v>49</v>
      </c>
      <c r="E158" s="93" t="s">
        <v>1321</v>
      </c>
      <c r="F158" s="93" t="s">
        <v>1041</v>
      </c>
      <c r="G158" s="94">
        <v>21600</v>
      </c>
      <c r="H158" s="95" t="s">
        <v>1472</v>
      </c>
      <c r="I158" s="96" t="s">
        <v>1338</v>
      </c>
      <c r="J158" s="95" t="s">
        <v>389</v>
      </c>
      <c r="K158" s="96" t="s">
        <v>1357</v>
      </c>
      <c r="L158" s="95"/>
      <c r="M158" s="96"/>
      <c r="N158" s="95" t="s">
        <v>1472</v>
      </c>
      <c r="O158" s="96" t="s">
        <v>1338</v>
      </c>
      <c r="P158" s="95"/>
      <c r="Q158" s="96"/>
      <c r="R158" s="95" t="s">
        <v>389</v>
      </c>
      <c r="S158" s="96" t="s">
        <v>1357</v>
      </c>
      <c r="T158" s="13">
        <f>28.11</f>
        <v>28.11</v>
      </c>
      <c r="U158" s="97">
        <f>12</f>
        <v>12</v>
      </c>
      <c r="V158" s="97"/>
      <c r="W158" s="97"/>
      <c r="X158" s="97">
        <f>7398000</f>
        <v>7398000</v>
      </c>
      <c r="Y158" s="97"/>
      <c r="Z158" s="98"/>
      <c r="AA158" s="95" t="s">
        <v>60</v>
      </c>
      <c r="AB158" s="99">
        <f>176</f>
        <v>176</v>
      </c>
      <c r="AC158" s="99" t="str">
        <f t="shared" si="8"/>
        <v>－</v>
      </c>
      <c r="AD158" s="100">
        <f>2</f>
        <v>2</v>
      </c>
    </row>
    <row r="159" spans="1:30">
      <c r="A159" s="91" t="s">
        <v>46</v>
      </c>
      <c r="B159" s="92" t="s">
        <v>1469</v>
      </c>
      <c r="C159" s="92" t="s">
        <v>1470</v>
      </c>
      <c r="D159" s="92" t="s">
        <v>548</v>
      </c>
      <c r="E159" s="93" t="s">
        <v>1473</v>
      </c>
      <c r="F159" s="93" t="s">
        <v>1328</v>
      </c>
      <c r="G159" s="94">
        <v>26400</v>
      </c>
      <c r="H159" s="95" t="s">
        <v>902</v>
      </c>
      <c r="I159" s="96" t="s">
        <v>1330</v>
      </c>
      <c r="J159" s="95" t="s">
        <v>272</v>
      </c>
      <c r="K159" s="96" t="s">
        <v>1443</v>
      </c>
      <c r="L159" s="95" t="s">
        <v>54</v>
      </c>
      <c r="M159" s="96" t="s">
        <v>1474</v>
      </c>
      <c r="N159" s="95" t="s">
        <v>902</v>
      </c>
      <c r="O159" s="96" t="s">
        <v>1330</v>
      </c>
      <c r="P159" s="95" t="s">
        <v>58</v>
      </c>
      <c r="Q159" s="96" t="s">
        <v>1475</v>
      </c>
      <c r="R159" s="95" t="s">
        <v>272</v>
      </c>
      <c r="S159" s="96" t="s">
        <v>1443</v>
      </c>
      <c r="T159" s="13">
        <f>22.27</f>
        <v>22.27</v>
      </c>
      <c r="U159" s="97">
        <f>341</f>
        <v>341</v>
      </c>
      <c r="V159" s="97">
        <v>330</v>
      </c>
      <c r="W159" s="97"/>
      <c r="X159" s="97">
        <f>169184400</f>
        <v>169184400</v>
      </c>
      <c r="Y159" s="97">
        <v>163680000</v>
      </c>
      <c r="Z159" s="98"/>
      <c r="AA159" s="95" t="s">
        <v>60</v>
      </c>
      <c r="AB159" s="99">
        <f>441</f>
        <v>441</v>
      </c>
      <c r="AC159" s="99" t="str">
        <f t="shared" si="8"/>
        <v>－</v>
      </c>
      <c r="AD159" s="100">
        <f>2</f>
        <v>2</v>
      </c>
    </row>
    <row r="160" spans="1:30">
      <c r="A160" s="91" t="s">
        <v>46</v>
      </c>
      <c r="B160" s="92" t="s">
        <v>1469</v>
      </c>
      <c r="C160" s="92" t="s">
        <v>1470</v>
      </c>
      <c r="D160" s="92" t="s">
        <v>61</v>
      </c>
      <c r="E160" s="93" t="s">
        <v>1476</v>
      </c>
      <c r="F160" s="93" t="s">
        <v>1477</v>
      </c>
      <c r="G160" s="94">
        <v>24000</v>
      </c>
      <c r="H160" s="95" t="s">
        <v>86</v>
      </c>
      <c r="I160" s="96" t="s">
        <v>1478</v>
      </c>
      <c r="J160" s="95" t="s">
        <v>1342</v>
      </c>
      <c r="K160" s="96" t="s">
        <v>1357</v>
      </c>
      <c r="L160" s="95"/>
      <c r="M160" s="96"/>
      <c r="N160" s="95" t="s">
        <v>1342</v>
      </c>
      <c r="O160" s="96" t="s">
        <v>1323</v>
      </c>
      <c r="P160" s="95"/>
      <c r="Q160" s="96"/>
      <c r="R160" s="95" t="s">
        <v>67</v>
      </c>
      <c r="S160" s="96" t="s">
        <v>1479</v>
      </c>
      <c r="T160" s="13">
        <f>20.65</f>
        <v>20.65</v>
      </c>
      <c r="U160" s="97">
        <f>14</f>
        <v>14</v>
      </c>
      <c r="V160" s="97"/>
      <c r="W160" s="97"/>
      <c r="X160" s="97">
        <f>9199200</f>
        <v>9199200</v>
      </c>
      <c r="Y160" s="97"/>
      <c r="Z160" s="98"/>
      <c r="AA160" s="95" t="s">
        <v>60</v>
      </c>
      <c r="AB160" s="99">
        <f>11</f>
        <v>11</v>
      </c>
      <c r="AC160" s="99" t="str">
        <f t="shared" si="8"/>
        <v>－</v>
      </c>
      <c r="AD160" s="100">
        <f>4</f>
        <v>4</v>
      </c>
    </row>
    <row r="161" spans="1:30">
      <c r="A161" s="91" t="s">
        <v>46</v>
      </c>
      <c r="B161" s="92" t="s">
        <v>1469</v>
      </c>
      <c r="C161" s="92" t="s">
        <v>1470</v>
      </c>
      <c r="D161" s="92" t="s">
        <v>561</v>
      </c>
      <c r="E161" s="93" t="s">
        <v>1480</v>
      </c>
      <c r="F161" s="93" t="s">
        <v>1344</v>
      </c>
      <c r="G161" s="94">
        <v>21600</v>
      </c>
      <c r="H161" s="95" t="s">
        <v>1342</v>
      </c>
      <c r="I161" s="96" t="s">
        <v>1481</v>
      </c>
      <c r="J161" s="95" t="s">
        <v>1342</v>
      </c>
      <c r="K161" s="96" t="s">
        <v>1481</v>
      </c>
      <c r="L161" s="95"/>
      <c r="M161" s="96"/>
      <c r="N161" s="95" t="s">
        <v>718</v>
      </c>
      <c r="O161" s="96" t="s">
        <v>1377</v>
      </c>
      <c r="P161" s="95"/>
      <c r="Q161" s="96"/>
      <c r="R161" s="95" t="s">
        <v>954</v>
      </c>
      <c r="S161" s="96" t="s">
        <v>1377</v>
      </c>
      <c r="T161" s="13">
        <f>21</f>
        <v>21</v>
      </c>
      <c r="U161" s="97">
        <f>15</f>
        <v>15</v>
      </c>
      <c r="V161" s="97"/>
      <c r="W161" s="97"/>
      <c r="X161" s="97">
        <f>8344080</f>
        <v>8344080</v>
      </c>
      <c r="Y161" s="97"/>
      <c r="Z161" s="98"/>
      <c r="AA161" s="95" t="s">
        <v>60</v>
      </c>
      <c r="AB161" s="99">
        <f>10</f>
        <v>10</v>
      </c>
      <c r="AC161" s="99" t="str">
        <f t="shared" si="8"/>
        <v>－</v>
      </c>
      <c r="AD161" s="100">
        <f>4</f>
        <v>4</v>
      </c>
    </row>
    <row r="162" spans="1:30">
      <c r="A162" s="91" t="s">
        <v>46</v>
      </c>
      <c r="B162" s="92" t="s">
        <v>1469</v>
      </c>
      <c r="C162" s="92" t="s">
        <v>1470</v>
      </c>
      <c r="D162" s="92" t="s">
        <v>74</v>
      </c>
      <c r="E162" s="93" t="s">
        <v>1347</v>
      </c>
      <c r="F162" s="93" t="s">
        <v>1348</v>
      </c>
      <c r="G162" s="94">
        <v>26400</v>
      </c>
      <c r="H162" s="95" t="s">
        <v>846</v>
      </c>
      <c r="I162" s="96" t="s">
        <v>1482</v>
      </c>
      <c r="J162" s="95" t="s">
        <v>135</v>
      </c>
      <c r="K162" s="96" t="s">
        <v>1392</v>
      </c>
      <c r="L162" s="95" t="s">
        <v>1078</v>
      </c>
      <c r="M162" s="96" t="s">
        <v>1483</v>
      </c>
      <c r="N162" s="95" t="s">
        <v>846</v>
      </c>
      <c r="O162" s="96" t="s">
        <v>1482</v>
      </c>
      <c r="P162" s="95" t="s">
        <v>1078</v>
      </c>
      <c r="Q162" s="96" t="s">
        <v>1483</v>
      </c>
      <c r="R162" s="95" t="s">
        <v>135</v>
      </c>
      <c r="S162" s="96" t="s">
        <v>1392</v>
      </c>
      <c r="T162" s="13">
        <f>23.05</f>
        <v>23.05</v>
      </c>
      <c r="U162" s="97">
        <f>53</f>
        <v>53</v>
      </c>
      <c r="V162" s="97">
        <v>50</v>
      </c>
      <c r="W162" s="97"/>
      <c r="X162" s="97">
        <f>37986960</f>
        <v>37986960</v>
      </c>
      <c r="Y162" s="97">
        <v>35904000</v>
      </c>
      <c r="Z162" s="98"/>
      <c r="AA162" s="95" t="s">
        <v>60</v>
      </c>
      <c r="AB162" s="99">
        <f>51</f>
        <v>51</v>
      </c>
      <c r="AC162" s="99" t="str">
        <f t="shared" si="8"/>
        <v>－</v>
      </c>
      <c r="AD162" s="100">
        <f>2</f>
        <v>2</v>
      </c>
    </row>
    <row r="163" spans="1:30">
      <c r="A163" s="91" t="s">
        <v>46</v>
      </c>
      <c r="B163" s="92" t="s">
        <v>1469</v>
      </c>
      <c r="C163" s="92" t="s">
        <v>1470</v>
      </c>
      <c r="D163" s="92" t="s">
        <v>576</v>
      </c>
      <c r="E163" s="93" t="s">
        <v>1353</v>
      </c>
      <c r="F163" s="93" t="s">
        <v>1484</v>
      </c>
      <c r="G163" s="94">
        <v>24000</v>
      </c>
      <c r="H163" s="95" t="s">
        <v>921</v>
      </c>
      <c r="I163" s="96" t="s">
        <v>1485</v>
      </c>
      <c r="J163" s="95" t="s">
        <v>764</v>
      </c>
      <c r="K163" s="96" t="s">
        <v>1366</v>
      </c>
      <c r="L163" s="95" t="s">
        <v>403</v>
      </c>
      <c r="M163" s="96" t="s">
        <v>1486</v>
      </c>
      <c r="N163" s="95" t="s">
        <v>132</v>
      </c>
      <c r="O163" s="96" t="s">
        <v>1487</v>
      </c>
      <c r="P163" s="95" t="s">
        <v>1488</v>
      </c>
      <c r="Q163" s="96" t="s">
        <v>1489</v>
      </c>
      <c r="R163" s="95" t="s">
        <v>764</v>
      </c>
      <c r="S163" s="96" t="s">
        <v>1366</v>
      </c>
      <c r="T163" s="13">
        <f>32.11</f>
        <v>32.11</v>
      </c>
      <c r="U163" s="97">
        <f>229</f>
        <v>229</v>
      </c>
      <c r="V163" s="97">
        <v>220</v>
      </c>
      <c r="W163" s="97"/>
      <c r="X163" s="97">
        <f>209493600</f>
        <v>209493600</v>
      </c>
      <c r="Y163" s="97">
        <v>201384000</v>
      </c>
      <c r="Z163" s="98"/>
      <c r="AA163" s="95" t="s">
        <v>60</v>
      </c>
      <c r="AB163" s="99">
        <f>207</f>
        <v>207</v>
      </c>
      <c r="AC163" s="99" t="str">
        <f t="shared" si="8"/>
        <v>－</v>
      </c>
      <c r="AD163" s="100">
        <f>3</f>
        <v>3</v>
      </c>
    </row>
    <row r="164" spans="1:30">
      <c r="A164" s="91" t="s">
        <v>46</v>
      </c>
      <c r="B164" s="92" t="s">
        <v>1469</v>
      </c>
      <c r="C164" s="92" t="s">
        <v>1470</v>
      </c>
      <c r="D164" s="92" t="s">
        <v>81</v>
      </c>
      <c r="E164" s="93" t="s">
        <v>1358</v>
      </c>
      <c r="F164" s="93" t="s">
        <v>1359</v>
      </c>
      <c r="G164" s="94">
        <v>26400</v>
      </c>
      <c r="H164" s="95" t="s">
        <v>203</v>
      </c>
      <c r="I164" s="96" t="s">
        <v>1490</v>
      </c>
      <c r="J164" s="95" t="s">
        <v>322</v>
      </c>
      <c r="K164" s="96" t="s">
        <v>1491</v>
      </c>
      <c r="L164" s="95" t="s">
        <v>584</v>
      </c>
      <c r="M164" s="96" t="s">
        <v>1492</v>
      </c>
      <c r="N164" s="95" t="s">
        <v>203</v>
      </c>
      <c r="O164" s="96" t="s">
        <v>1490</v>
      </c>
      <c r="P164" s="95" t="s">
        <v>137</v>
      </c>
      <c r="Q164" s="96" t="s">
        <v>1493</v>
      </c>
      <c r="R164" s="95" t="s">
        <v>149</v>
      </c>
      <c r="S164" s="96" t="s">
        <v>1491</v>
      </c>
      <c r="T164" s="13">
        <f>39.15</f>
        <v>39.15</v>
      </c>
      <c r="U164" s="97">
        <f>635</f>
        <v>635</v>
      </c>
      <c r="V164" s="97">
        <v>625</v>
      </c>
      <c r="W164" s="97"/>
      <c r="X164" s="97">
        <f>717119040</f>
        <v>717119040</v>
      </c>
      <c r="Y164" s="97">
        <v>703995600</v>
      </c>
      <c r="Z164" s="98"/>
      <c r="AA164" s="95" t="s">
        <v>60</v>
      </c>
      <c r="AB164" s="99">
        <f>409</f>
        <v>409</v>
      </c>
      <c r="AC164" s="99" t="str">
        <f t="shared" si="8"/>
        <v>－</v>
      </c>
      <c r="AD164" s="100">
        <f>5</f>
        <v>5</v>
      </c>
    </row>
    <row r="165" spans="1:30">
      <c r="A165" s="91" t="s">
        <v>46</v>
      </c>
      <c r="B165" s="92" t="s">
        <v>1469</v>
      </c>
      <c r="C165" s="92" t="s">
        <v>1470</v>
      </c>
      <c r="D165" s="92" t="s">
        <v>596</v>
      </c>
      <c r="E165" s="93" t="s">
        <v>1364</v>
      </c>
      <c r="F165" s="93" t="s">
        <v>1365</v>
      </c>
      <c r="G165" s="94">
        <v>24000</v>
      </c>
      <c r="H165" s="95" t="s">
        <v>238</v>
      </c>
      <c r="I165" s="96" t="s">
        <v>1494</v>
      </c>
      <c r="J165" s="95" t="s">
        <v>297</v>
      </c>
      <c r="K165" s="96" t="s">
        <v>1389</v>
      </c>
      <c r="L165" s="95" t="s">
        <v>1208</v>
      </c>
      <c r="M165" s="96" t="s">
        <v>1382</v>
      </c>
      <c r="N165" s="95" t="s">
        <v>297</v>
      </c>
      <c r="O165" s="96" t="s">
        <v>1495</v>
      </c>
      <c r="P165" s="95" t="s">
        <v>1078</v>
      </c>
      <c r="Q165" s="96" t="s">
        <v>1496</v>
      </c>
      <c r="R165" s="95" t="s">
        <v>1497</v>
      </c>
      <c r="S165" s="96" t="s">
        <v>1498</v>
      </c>
      <c r="T165" s="13">
        <f>32.32</f>
        <v>32.32</v>
      </c>
      <c r="U165" s="97">
        <f>406</f>
        <v>406</v>
      </c>
      <c r="V165" s="97">
        <v>395</v>
      </c>
      <c r="W165" s="97"/>
      <c r="X165" s="97">
        <f>363929760</f>
        <v>363929760</v>
      </c>
      <c r="Y165" s="97">
        <v>352920000</v>
      </c>
      <c r="Z165" s="98"/>
      <c r="AA165" s="95" t="s">
        <v>60</v>
      </c>
      <c r="AB165" s="99">
        <f>240</f>
        <v>240</v>
      </c>
      <c r="AC165" s="99" t="str">
        <f t="shared" si="8"/>
        <v>－</v>
      </c>
      <c r="AD165" s="100">
        <f>4</f>
        <v>4</v>
      </c>
    </row>
    <row r="166" spans="1:30">
      <c r="A166" s="91" t="s">
        <v>46</v>
      </c>
      <c r="B166" s="92" t="s">
        <v>1469</v>
      </c>
      <c r="C166" s="92" t="s">
        <v>1470</v>
      </c>
      <c r="D166" s="92" t="s">
        <v>93</v>
      </c>
      <c r="E166" s="93" t="s">
        <v>1499</v>
      </c>
      <c r="F166" s="93" t="s">
        <v>1371</v>
      </c>
      <c r="G166" s="94">
        <v>24000</v>
      </c>
      <c r="H166" s="95" t="s">
        <v>322</v>
      </c>
      <c r="I166" s="96" t="s">
        <v>1500</v>
      </c>
      <c r="J166" s="95" t="s">
        <v>1101</v>
      </c>
      <c r="K166" s="96" t="s">
        <v>1384</v>
      </c>
      <c r="L166" s="95" t="s">
        <v>1085</v>
      </c>
      <c r="M166" s="96" t="s">
        <v>1501</v>
      </c>
      <c r="N166" s="95" t="s">
        <v>322</v>
      </c>
      <c r="O166" s="96" t="s">
        <v>1500</v>
      </c>
      <c r="P166" s="95" t="s">
        <v>1216</v>
      </c>
      <c r="Q166" s="96" t="s">
        <v>1502</v>
      </c>
      <c r="R166" s="95" t="s">
        <v>714</v>
      </c>
      <c r="S166" s="96" t="s">
        <v>1503</v>
      </c>
      <c r="T166" s="13">
        <f>28.97</f>
        <v>28.97</v>
      </c>
      <c r="U166" s="97">
        <f>67</f>
        <v>67</v>
      </c>
      <c r="V166" s="97">
        <v>60</v>
      </c>
      <c r="W166" s="97"/>
      <c r="X166" s="97">
        <f>70243440</f>
        <v>70243440</v>
      </c>
      <c r="Y166" s="97">
        <v>62772000</v>
      </c>
      <c r="Z166" s="98"/>
      <c r="AA166" s="95" t="s">
        <v>60</v>
      </c>
      <c r="AB166" s="99">
        <f>67</f>
        <v>67</v>
      </c>
      <c r="AC166" s="99" t="str">
        <f t="shared" si="8"/>
        <v>－</v>
      </c>
      <c r="AD166" s="100">
        <f>3</f>
        <v>3</v>
      </c>
    </row>
    <row r="167" spans="1:30">
      <c r="A167" s="91" t="s">
        <v>46</v>
      </c>
      <c r="B167" s="92" t="s">
        <v>1469</v>
      </c>
      <c r="C167" s="92" t="s">
        <v>1470</v>
      </c>
      <c r="D167" s="92" t="s">
        <v>614</v>
      </c>
      <c r="E167" s="93" t="s">
        <v>1375</v>
      </c>
      <c r="F167" s="93" t="s">
        <v>1376</v>
      </c>
      <c r="G167" s="94">
        <v>24000</v>
      </c>
      <c r="H167" s="95" t="s">
        <v>132</v>
      </c>
      <c r="I167" s="96" t="s">
        <v>1504</v>
      </c>
      <c r="J167" s="95" t="s">
        <v>714</v>
      </c>
      <c r="K167" s="96" t="s">
        <v>1505</v>
      </c>
      <c r="L167" s="95"/>
      <c r="M167" s="96"/>
      <c r="N167" s="95" t="s">
        <v>132</v>
      </c>
      <c r="O167" s="96" t="s">
        <v>1504</v>
      </c>
      <c r="P167" s="95"/>
      <c r="Q167" s="96"/>
      <c r="R167" s="95" t="s">
        <v>714</v>
      </c>
      <c r="S167" s="96" t="s">
        <v>1490</v>
      </c>
      <c r="T167" s="13">
        <f>30.54</f>
        <v>30.54</v>
      </c>
      <c r="U167" s="97">
        <f>21</f>
        <v>21</v>
      </c>
      <c r="V167" s="97"/>
      <c r="W167" s="97"/>
      <c r="X167" s="97">
        <f>19163760</f>
        <v>19163760</v>
      </c>
      <c r="Y167" s="97"/>
      <c r="Z167" s="98"/>
      <c r="AA167" s="95" t="s">
        <v>60</v>
      </c>
      <c r="AB167" s="99">
        <f>16</f>
        <v>16</v>
      </c>
      <c r="AC167" s="99" t="str">
        <f t="shared" si="8"/>
        <v>－</v>
      </c>
      <c r="AD167" s="100">
        <f>3</f>
        <v>3</v>
      </c>
    </row>
    <row r="168" spans="1:30">
      <c r="A168" s="91" t="s">
        <v>46</v>
      </c>
      <c r="B168" s="92" t="s">
        <v>1469</v>
      </c>
      <c r="C168" s="92" t="s">
        <v>1470</v>
      </c>
      <c r="D168" s="92" t="s">
        <v>105</v>
      </c>
      <c r="E168" s="93" t="s">
        <v>1380</v>
      </c>
      <c r="F168" s="93" t="s">
        <v>1506</v>
      </c>
      <c r="G168" s="94">
        <v>25200</v>
      </c>
      <c r="H168" s="95" t="s">
        <v>714</v>
      </c>
      <c r="I168" s="96" t="s">
        <v>1507</v>
      </c>
      <c r="J168" s="95" t="s">
        <v>714</v>
      </c>
      <c r="K168" s="96" t="s">
        <v>1507</v>
      </c>
      <c r="L168" s="95" t="s">
        <v>472</v>
      </c>
      <c r="M168" s="96" t="s">
        <v>1508</v>
      </c>
      <c r="N168" s="95" t="s">
        <v>733</v>
      </c>
      <c r="O168" s="96" t="s">
        <v>1370</v>
      </c>
      <c r="P168" s="95" t="s">
        <v>137</v>
      </c>
      <c r="Q168" s="96" t="s">
        <v>1509</v>
      </c>
      <c r="R168" s="95" t="s">
        <v>733</v>
      </c>
      <c r="S168" s="96" t="s">
        <v>1370</v>
      </c>
      <c r="T168" s="13">
        <f>35.41</f>
        <v>35.409999999999997</v>
      </c>
      <c r="U168" s="97">
        <f>796</f>
        <v>796</v>
      </c>
      <c r="V168" s="97">
        <v>775</v>
      </c>
      <c r="W168" s="97"/>
      <c r="X168" s="97">
        <f>895613040</f>
        <v>895613040</v>
      </c>
      <c r="Y168" s="97">
        <v>868220640</v>
      </c>
      <c r="Z168" s="98"/>
      <c r="AA168" s="95" t="s">
        <v>60</v>
      </c>
      <c r="AB168" s="99">
        <f>461</f>
        <v>461</v>
      </c>
      <c r="AC168" s="99" t="str">
        <f t="shared" si="8"/>
        <v>－</v>
      </c>
      <c r="AD168" s="100">
        <f>3</f>
        <v>3</v>
      </c>
    </row>
    <row r="169" spans="1:30">
      <c r="A169" s="91" t="s">
        <v>46</v>
      </c>
      <c r="B169" s="92" t="s">
        <v>1469</v>
      </c>
      <c r="C169" s="92" t="s">
        <v>1470</v>
      </c>
      <c r="D169" s="92" t="s">
        <v>624</v>
      </c>
      <c r="E169" s="93" t="s">
        <v>1510</v>
      </c>
      <c r="F169" s="93" t="s">
        <v>1383</v>
      </c>
      <c r="G169" s="94">
        <v>22800</v>
      </c>
      <c r="H169" s="95" t="s">
        <v>582</v>
      </c>
      <c r="I169" s="96" t="s">
        <v>1446</v>
      </c>
      <c r="J169" s="95" t="s">
        <v>714</v>
      </c>
      <c r="K169" s="96" t="s">
        <v>1511</v>
      </c>
      <c r="L169" s="95" t="s">
        <v>1458</v>
      </c>
      <c r="M169" s="96" t="s">
        <v>1512</v>
      </c>
      <c r="N169" s="95" t="s">
        <v>582</v>
      </c>
      <c r="O169" s="96" t="s">
        <v>1446</v>
      </c>
      <c r="P169" s="95" t="s">
        <v>137</v>
      </c>
      <c r="Q169" s="96" t="s">
        <v>1406</v>
      </c>
      <c r="R169" s="95" t="s">
        <v>1463</v>
      </c>
      <c r="S169" s="96" t="s">
        <v>1498</v>
      </c>
      <c r="T169" s="13">
        <f>41.94</f>
        <v>41.94</v>
      </c>
      <c r="U169" s="97">
        <f>965</f>
        <v>965</v>
      </c>
      <c r="V169" s="97">
        <v>943</v>
      </c>
      <c r="W169" s="97"/>
      <c r="X169" s="97">
        <f>1046784252</f>
        <v>1046784252</v>
      </c>
      <c r="Y169" s="97">
        <v>1018763052</v>
      </c>
      <c r="Z169" s="98"/>
      <c r="AA169" s="95"/>
      <c r="AB169" s="99">
        <f>393</f>
        <v>393</v>
      </c>
      <c r="AC169" s="99" t="str">
        <f t="shared" si="8"/>
        <v>－</v>
      </c>
      <c r="AD169" s="100">
        <f>4</f>
        <v>4</v>
      </c>
    </row>
    <row r="170" spans="1:30">
      <c r="A170" s="91" t="s">
        <v>46</v>
      </c>
      <c r="B170" s="92" t="s">
        <v>1469</v>
      </c>
      <c r="C170" s="92" t="s">
        <v>1470</v>
      </c>
      <c r="D170" s="92" t="s">
        <v>115</v>
      </c>
      <c r="E170" s="93" t="s">
        <v>1386</v>
      </c>
      <c r="F170" s="93" t="s">
        <v>1387</v>
      </c>
      <c r="G170" s="94">
        <v>22800</v>
      </c>
      <c r="H170" s="95" t="s">
        <v>582</v>
      </c>
      <c r="I170" s="96" t="s">
        <v>1446</v>
      </c>
      <c r="J170" s="95" t="s">
        <v>582</v>
      </c>
      <c r="K170" s="96" t="s">
        <v>1446</v>
      </c>
      <c r="L170" s="95" t="s">
        <v>1458</v>
      </c>
      <c r="M170" s="96" t="s">
        <v>1513</v>
      </c>
      <c r="N170" s="95" t="s">
        <v>582</v>
      </c>
      <c r="O170" s="96" t="s">
        <v>1446</v>
      </c>
      <c r="P170" s="95" t="s">
        <v>113</v>
      </c>
      <c r="Q170" s="96" t="s">
        <v>1394</v>
      </c>
      <c r="R170" s="95" t="s">
        <v>582</v>
      </c>
      <c r="S170" s="96" t="s">
        <v>1446</v>
      </c>
      <c r="T170" s="13">
        <f>39.11</f>
        <v>39.11</v>
      </c>
      <c r="U170" s="97">
        <f>1194</f>
        <v>1194</v>
      </c>
      <c r="V170" s="97">
        <v>1193</v>
      </c>
      <c r="W170" s="97"/>
      <c r="X170" s="97">
        <f>1219104600</f>
        <v>1219104600</v>
      </c>
      <c r="Y170" s="97">
        <v>1218648600</v>
      </c>
      <c r="Z170" s="98"/>
      <c r="AA170" s="95"/>
      <c r="AB170" s="99">
        <f>580</f>
        <v>580</v>
      </c>
      <c r="AC170" s="99" t="str">
        <f t="shared" si="8"/>
        <v>－</v>
      </c>
      <c r="AD170" s="100">
        <f>1</f>
        <v>1</v>
      </c>
    </row>
    <row r="171" spans="1:30">
      <c r="A171" s="91" t="s">
        <v>46</v>
      </c>
      <c r="B171" s="92" t="s">
        <v>1469</v>
      </c>
      <c r="C171" s="92" t="s">
        <v>1470</v>
      </c>
      <c r="D171" s="92" t="s">
        <v>634</v>
      </c>
      <c r="E171" s="93" t="s">
        <v>1514</v>
      </c>
      <c r="F171" s="93" t="s">
        <v>1391</v>
      </c>
      <c r="G171" s="94">
        <v>26400</v>
      </c>
      <c r="H171" s="95"/>
      <c r="I171" s="96" t="s">
        <v>261</v>
      </c>
      <c r="J171" s="95"/>
      <c r="K171" s="96" t="s">
        <v>261</v>
      </c>
      <c r="L171" s="95" t="s">
        <v>714</v>
      </c>
      <c r="M171" s="96" t="s">
        <v>1382</v>
      </c>
      <c r="N171" s="95"/>
      <c r="O171" s="96" t="s">
        <v>261</v>
      </c>
      <c r="P171" s="95" t="s">
        <v>714</v>
      </c>
      <c r="Q171" s="96" t="s">
        <v>1382</v>
      </c>
      <c r="R171" s="95"/>
      <c r="S171" s="96" t="s">
        <v>261</v>
      </c>
      <c r="T171" s="13">
        <f>30.56</f>
        <v>30.56</v>
      </c>
      <c r="U171" s="97">
        <f>10</f>
        <v>10</v>
      </c>
      <c r="V171" s="97">
        <v>10</v>
      </c>
      <c r="W171" s="97"/>
      <c r="X171" s="97">
        <f>11352000</f>
        <v>11352000</v>
      </c>
      <c r="Y171" s="97">
        <v>11352000</v>
      </c>
      <c r="Z171" s="98"/>
      <c r="AA171" s="95"/>
      <c r="AB171" s="99">
        <f>10</f>
        <v>10</v>
      </c>
      <c r="AC171" s="99" t="str">
        <f t="shared" si="8"/>
        <v>－</v>
      </c>
      <c r="AD171" s="100" t="str">
        <f t="shared" si="8"/>
        <v>－</v>
      </c>
    </row>
    <row r="172" spans="1:30">
      <c r="A172" s="91" t="s">
        <v>46</v>
      </c>
      <c r="B172" s="92" t="s">
        <v>1469</v>
      </c>
      <c r="C172" s="92" t="s">
        <v>1470</v>
      </c>
      <c r="D172" s="92" t="s">
        <v>128</v>
      </c>
      <c r="E172" s="93" t="s">
        <v>822</v>
      </c>
      <c r="F172" s="93" t="s">
        <v>1515</v>
      </c>
      <c r="G172" s="94">
        <v>24000</v>
      </c>
      <c r="H172" s="95"/>
      <c r="I172" s="96" t="s">
        <v>261</v>
      </c>
      <c r="J172" s="95"/>
      <c r="K172" s="96" t="s">
        <v>261</v>
      </c>
      <c r="L172" s="95"/>
      <c r="M172" s="96"/>
      <c r="N172" s="95"/>
      <c r="O172" s="96" t="s">
        <v>261</v>
      </c>
      <c r="P172" s="95"/>
      <c r="Q172" s="96"/>
      <c r="R172" s="95"/>
      <c r="S172" s="96" t="s">
        <v>261</v>
      </c>
      <c r="T172" s="13">
        <f>25.32</f>
        <v>25.32</v>
      </c>
      <c r="U172" s="97" t="str">
        <f t="shared" ref="U172:U197" si="12">"－"</f>
        <v>－</v>
      </c>
      <c r="V172" s="97"/>
      <c r="W172" s="97"/>
      <c r="X172" s="97" t="str">
        <f t="shared" ref="X172:X197" si="13">"－"</f>
        <v>－</v>
      </c>
      <c r="Y172" s="97"/>
      <c r="Z172" s="98"/>
      <c r="AA172" s="95"/>
      <c r="AB172" s="99" t="str">
        <f t="shared" ref="AB172:AB192" si="14">"－"</f>
        <v>－</v>
      </c>
      <c r="AC172" s="99" t="str">
        <f t="shared" si="8"/>
        <v>－</v>
      </c>
      <c r="AD172" s="100" t="str">
        <f t="shared" si="8"/>
        <v>－</v>
      </c>
    </row>
    <row r="173" spans="1:30">
      <c r="A173" s="91" t="s">
        <v>46</v>
      </c>
      <c r="B173" s="92" t="s">
        <v>1469</v>
      </c>
      <c r="C173" s="92" t="s">
        <v>1470</v>
      </c>
      <c r="D173" s="92" t="s">
        <v>641</v>
      </c>
      <c r="E173" s="93" t="s">
        <v>824</v>
      </c>
      <c r="F173" s="93" t="s">
        <v>1398</v>
      </c>
      <c r="G173" s="94">
        <v>21600</v>
      </c>
      <c r="H173" s="95"/>
      <c r="I173" s="96" t="s">
        <v>261</v>
      </c>
      <c r="J173" s="95"/>
      <c r="K173" s="96" t="s">
        <v>261</v>
      </c>
      <c r="L173" s="95"/>
      <c r="M173" s="96"/>
      <c r="N173" s="95"/>
      <c r="O173" s="96" t="s">
        <v>261</v>
      </c>
      <c r="P173" s="95"/>
      <c r="Q173" s="96"/>
      <c r="R173" s="95"/>
      <c r="S173" s="96" t="s">
        <v>261</v>
      </c>
      <c r="T173" s="13">
        <f>25.41</f>
        <v>25.41</v>
      </c>
      <c r="U173" s="97" t="str">
        <f t="shared" si="12"/>
        <v>－</v>
      </c>
      <c r="V173" s="97"/>
      <c r="W173" s="97"/>
      <c r="X173" s="97" t="str">
        <f t="shared" si="13"/>
        <v>－</v>
      </c>
      <c r="Y173" s="97"/>
      <c r="Z173" s="98"/>
      <c r="AA173" s="95"/>
      <c r="AB173" s="99" t="str">
        <f t="shared" si="14"/>
        <v>－</v>
      </c>
      <c r="AC173" s="99" t="str">
        <f t="shared" si="8"/>
        <v>－</v>
      </c>
      <c r="AD173" s="100" t="str">
        <f t="shared" si="8"/>
        <v>－</v>
      </c>
    </row>
    <row r="174" spans="1:30">
      <c r="A174" s="91" t="s">
        <v>46</v>
      </c>
      <c r="B174" s="92" t="s">
        <v>1469</v>
      </c>
      <c r="C174" s="92" t="s">
        <v>1470</v>
      </c>
      <c r="D174" s="92" t="s">
        <v>140</v>
      </c>
      <c r="E174" s="93" t="s">
        <v>825</v>
      </c>
      <c r="F174" s="93" t="s">
        <v>1400</v>
      </c>
      <c r="G174" s="94">
        <v>26400</v>
      </c>
      <c r="H174" s="95"/>
      <c r="I174" s="96" t="s">
        <v>261</v>
      </c>
      <c r="J174" s="95"/>
      <c r="K174" s="96" t="s">
        <v>261</v>
      </c>
      <c r="L174" s="95"/>
      <c r="M174" s="96"/>
      <c r="N174" s="95"/>
      <c r="O174" s="96" t="s">
        <v>261</v>
      </c>
      <c r="P174" s="95"/>
      <c r="Q174" s="96"/>
      <c r="R174" s="95"/>
      <c r="S174" s="96" t="s">
        <v>261</v>
      </c>
      <c r="T174" s="13">
        <f>27.83</f>
        <v>27.83</v>
      </c>
      <c r="U174" s="97" t="str">
        <f t="shared" si="12"/>
        <v>－</v>
      </c>
      <c r="V174" s="97"/>
      <c r="W174" s="97"/>
      <c r="X174" s="97" t="str">
        <f t="shared" si="13"/>
        <v>－</v>
      </c>
      <c r="Y174" s="97"/>
      <c r="Z174" s="98"/>
      <c r="AA174" s="95"/>
      <c r="AB174" s="99" t="str">
        <f t="shared" si="14"/>
        <v>－</v>
      </c>
      <c r="AC174" s="99" t="str">
        <f t="shared" si="8"/>
        <v>－</v>
      </c>
      <c r="AD174" s="100" t="str">
        <f t="shared" si="8"/>
        <v>－</v>
      </c>
    </row>
    <row r="175" spans="1:30">
      <c r="A175" s="91" t="s">
        <v>46</v>
      </c>
      <c r="B175" s="92" t="s">
        <v>1469</v>
      </c>
      <c r="C175" s="92" t="s">
        <v>1470</v>
      </c>
      <c r="D175" s="92" t="s">
        <v>783</v>
      </c>
      <c r="E175" s="93" t="s">
        <v>608</v>
      </c>
      <c r="F175" s="93" t="s">
        <v>1402</v>
      </c>
      <c r="G175" s="94">
        <v>24000</v>
      </c>
      <c r="H175" s="95"/>
      <c r="I175" s="96" t="s">
        <v>261</v>
      </c>
      <c r="J175" s="95"/>
      <c r="K175" s="96" t="s">
        <v>261</v>
      </c>
      <c r="L175" s="95"/>
      <c r="M175" s="96"/>
      <c r="N175" s="95"/>
      <c r="O175" s="96" t="s">
        <v>261</v>
      </c>
      <c r="P175" s="95"/>
      <c r="Q175" s="96"/>
      <c r="R175" s="95"/>
      <c r="S175" s="96" t="s">
        <v>261</v>
      </c>
      <c r="T175" s="13">
        <f>37.44</f>
        <v>37.44</v>
      </c>
      <c r="U175" s="97" t="str">
        <f t="shared" si="12"/>
        <v>－</v>
      </c>
      <c r="V175" s="97"/>
      <c r="W175" s="97"/>
      <c r="X175" s="97" t="str">
        <f t="shared" si="13"/>
        <v>－</v>
      </c>
      <c r="Y175" s="97"/>
      <c r="Z175" s="98"/>
      <c r="AA175" s="95"/>
      <c r="AB175" s="99" t="str">
        <f t="shared" si="14"/>
        <v>－</v>
      </c>
      <c r="AC175" s="99" t="str">
        <f t="shared" si="8"/>
        <v>－</v>
      </c>
      <c r="AD175" s="100" t="str">
        <f t="shared" si="8"/>
        <v>－</v>
      </c>
    </row>
    <row r="176" spans="1:30">
      <c r="A176" s="91" t="s">
        <v>46</v>
      </c>
      <c r="B176" s="92" t="s">
        <v>1469</v>
      </c>
      <c r="C176" s="92" t="s">
        <v>1470</v>
      </c>
      <c r="D176" s="92" t="s">
        <v>154</v>
      </c>
      <c r="E176" s="93" t="s">
        <v>608</v>
      </c>
      <c r="F176" s="93" t="s">
        <v>1404</v>
      </c>
      <c r="G176" s="94">
        <v>26400</v>
      </c>
      <c r="H176" s="95"/>
      <c r="I176" s="96" t="s">
        <v>261</v>
      </c>
      <c r="J176" s="95"/>
      <c r="K176" s="96" t="s">
        <v>261</v>
      </c>
      <c r="L176" s="95"/>
      <c r="M176" s="96"/>
      <c r="N176" s="95"/>
      <c r="O176" s="96" t="s">
        <v>261</v>
      </c>
      <c r="P176" s="95"/>
      <c r="Q176" s="96"/>
      <c r="R176" s="95"/>
      <c r="S176" s="96" t="s">
        <v>261</v>
      </c>
      <c r="T176" s="13">
        <f>42.05</f>
        <v>42.05</v>
      </c>
      <c r="U176" s="97" t="str">
        <f t="shared" si="12"/>
        <v>－</v>
      </c>
      <c r="V176" s="97"/>
      <c r="W176" s="97"/>
      <c r="X176" s="97" t="str">
        <f t="shared" si="13"/>
        <v>－</v>
      </c>
      <c r="Y176" s="97"/>
      <c r="Z176" s="98"/>
      <c r="AA176" s="95"/>
      <c r="AB176" s="99" t="str">
        <f t="shared" si="14"/>
        <v>－</v>
      </c>
      <c r="AC176" s="99" t="str">
        <f t="shared" si="8"/>
        <v>－</v>
      </c>
      <c r="AD176" s="100" t="str">
        <f t="shared" si="8"/>
        <v>－</v>
      </c>
    </row>
    <row r="177" spans="1:30">
      <c r="A177" s="91" t="s">
        <v>46</v>
      </c>
      <c r="B177" s="92" t="s">
        <v>1469</v>
      </c>
      <c r="C177" s="92" t="s">
        <v>1470</v>
      </c>
      <c r="D177" s="92" t="s">
        <v>795</v>
      </c>
      <c r="E177" s="93" t="s">
        <v>608</v>
      </c>
      <c r="F177" s="93" t="s">
        <v>1516</v>
      </c>
      <c r="G177" s="94">
        <v>24000</v>
      </c>
      <c r="H177" s="95"/>
      <c r="I177" s="96" t="s">
        <v>261</v>
      </c>
      <c r="J177" s="95"/>
      <c r="K177" s="96" t="s">
        <v>261</v>
      </c>
      <c r="L177" s="95"/>
      <c r="M177" s="96"/>
      <c r="N177" s="95"/>
      <c r="O177" s="96" t="s">
        <v>261</v>
      </c>
      <c r="P177" s="95"/>
      <c r="Q177" s="96"/>
      <c r="R177" s="95"/>
      <c r="S177" s="96" t="s">
        <v>261</v>
      </c>
      <c r="T177" s="13">
        <f>32.73</f>
        <v>32.729999999999997</v>
      </c>
      <c r="U177" s="97" t="str">
        <f t="shared" si="12"/>
        <v>－</v>
      </c>
      <c r="V177" s="97"/>
      <c r="W177" s="97"/>
      <c r="X177" s="97" t="str">
        <f t="shared" si="13"/>
        <v>－</v>
      </c>
      <c r="Y177" s="97"/>
      <c r="Z177" s="98"/>
      <c r="AA177" s="95"/>
      <c r="AB177" s="99" t="str">
        <f t="shared" si="14"/>
        <v>－</v>
      </c>
      <c r="AC177" s="99" t="str">
        <f t="shared" si="8"/>
        <v>－</v>
      </c>
      <c r="AD177" s="100" t="str">
        <f t="shared" si="8"/>
        <v>－</v>
      </c>
    </row>
    <row r="178" spans="1:30">
      <c r="A178" s="91" t="s">
        <v>46</v>
      </c>
      <c r="B178" s="92" t="s">
        <v>1469</v>
      </c>
      <c r="C178" s="92" t="s">
        <v>1470</v>
      </c>
      <c r="D178" s="92" t="s">
        <v>165</v>
      </c>
      <c r="E178" s="93" t="s">
        <v>608</v>
      </c>
      <c r="F178" s="93" t="s">
        <v>1407</v>
      </c>
      <c r="G178" s="94">
        <v>25200</v>
      </c>
      <c r="H178" s="95"/>
      <c r="I178" s="96" t="s">
        <v>261</v>
      </c>
      <c r="J178" s="95"/>
      <c r="K178" s="96" t="s">
        <v>261</v>
      </c>
      <c r="L178" s="95"/>
      <c r="M178" s="96"/>
      <c r="N178" s="95"/>
      <c r="O178" s="96" t="s">
        <v>261</v>
      </c>
      <c r="P178" s="95"/>
      <c r="Q178" s="96"/>
      <c r="R178" s="95"/>
      <c r="S178" s="96" t="s">
        <v>261</v>
      </c>
      <c r="T178" s="13">
        <f>28.77</f>
        <v>28.77</v>
      </c>
      <c r="U178" s="97" t="str">
        <f t="shared" si="12"/>
        <v>－</v>
      </c>
      <c r="V178" s="97"/>
      <c r="W178" s="97"/>
      <c r="X178" s="97" t="str">
        <f t="shared" si="13"/>
        <v>－</v>
      </c>
      <c r="Y178" s="97"/>
      <c r="Z178" s="98"/>
      <c r="AA178" s="95"/>
      <c r="AB178" s="99" t="str">
        <f t="shared" si="14"/>
        <v>－</v>
      </c>
      <c r="AC178" s="99" t="str">
        <f t="shared" si="8"/>
        <v>－</v>
      </c>
      <c r="AD178" s="100" t="str">
        <f t="shared" si="8"/>
        <v>－</v>
      </c>
    </row>
    <row r="179" spans="1:30">
      <c r="A179" s="91" t="s">
        <v>46</v>
      </c>
      <c r="B179" s="92" t="s">
        <v>1469</v>
      </c>
      <c r="C179" s="92" t="s">
        <v>1470</v>
      </c>
      <c r="D179" s="92" t="s">
        <v>809</v>
      </c>
      <c r="E179" s="93" t="s">
        <v>608</v>
      </c>
      <c r="F179" s="93" t="s">
        <v>1409</v>
      </c>
      <c r="G179" s="94">
        <v>24000</v>
      </c>
      <c r="H179" s="95"/>
      <c r="I179" s="96" t="s">
        <v>261</v>
      </c>
      <c r="J179" s="95"/>
      <c r="K179" s="96" t="s">
        <v>261</v>
      </c>
      <c r="L179" s="95"/>
      <c r="M179" s="96"/>
      <c r="N179" s="95"/>
      <c r="O179" s="96" t="s">
        <v>261</v>
      </c>
      <c r="P179" s="95"/>
      <c r="Q179" s="96"/>
      <c r="R179" s="95"/>
      <c r="S179" s="96" t="s">
        <v>261</v>
      </c>
      <c r="T179" s="13">
        <f>29.4</f>
        <v>29.4</v>
      </c>
      <c r="U179" s="97" t="str">
        <f t="shared" si="12"/>
        <v>－</v>
      </c>
      <c r="V179" s="97"/>
      <c r="W179" s="97"/>
      <c r="X179" s="97" t="str">
        <f t="shared" si="13"/>
        <v>－</v>
      </c>
      <c r="Y179" s="97"/>
      <c r="Z179" s="98"/>
      <c r="AA179" s="95"/>
      <c r="AB179" s="99" t="str">
        <f t="shared" si="14"/>
        <v>－</v>
      </c>
      <c r="AC179" s="99" t="str">
        <f t="shared" si="8"/>
        <v>－</v>
      </c>
      <c r="AD179" s="100" t="str">
        <f t="shared" si="8"/>
        <v>－</v>
      </c>
    </row>
    <row r="180" spans="1:30">
      <c r="A180" s="91" t="s">
        <v>46</v>
      </c>
      <c r="B180" s="92" t="s">
        <v>1469</v>
      </c>
      <c r="C180" s="92" t="s">
        <v>1470</v>
      </c>
      <c r="D180" s="92" t="s">
        <v>176</v>
      </c>
      <c r="E180" s="93" t="s">
        <v>608</v>
      </c>
      <c r="F180" s="93" t="s">
        <v>1517</v>
      </c>
      <c r="G180" s="94">
        <v>25200</v>
      </c>
      <c r="H180" s="95"/>
      <c r="I180" s="96" t="s">
        <v>261</v>
      </c>
      <c r="J180" s="95"/>
      <c r="K180" s="96" t="s">
        <v>261</v>
      </c>
      <c r="L180" s="95"/>
      <c r="M180" s="96"/>
      <c r="N180" s="95"/>
      <c r="O180" s="96" t="s">
        <v>261</v>
      </c>
      <c r="P180" s="95"/>
      <c r="Q180" s="96"/>
      <c r="R180" s="95"/>
      <c r="S180" s="96" t="s">
        <v>261</v>
      </c>
      <c r="T180" s="13">
        <f>33.73</f>
        <v>33.729999999999997</v>
      </c>
      <c r="U180" s="97" t="str">
        <f t="shared" si="12"/>
        <v>－</v>
      </c>
      <c r="V180" s="97"/>
      <c r="W180" s="97"/>
      <c r="X180" s="97" t="str">
        <f t="shared" si="13"/>
        <v>－</v>
      </c>
      <c r="Y180" s="97"/>
      <c r="Z180" s="98"/>
      <c r="AA180" s="95"/>
      <c r="AB180" s="99" t="str">
        <f t="shared" si="14"/>
        <v>－</v>
      </c>
      <c r="AC180" s="99" t="str">
        <f t="shared" si="8"/>
        <v>－</v>
      </c>
      <c r="AD180" s="100" t="str">
        <f t="shared" si="8"/>
        <v>－</v>
      </c>
    </row>
    <row r="181" spans="1:30">
      <c r="A181" s="91" t="s">
        <v>46</v>
      </c>
      <c r="B181" s="92" t="s">
        <v>1469</v>
      </c>
      <c r="C181" s="92" t="s">
        <v>1470</v>
      </c>
      <c r="D181" s="92" t="s">
        <v>987</v>
      </c>
      <c r="E181" s="93" t="s">
        <v>608</v>
      </c>
      <c r="F181" s="93" t="s">
        <v>1412</v>
      </c>
      <c r="G181" s="94">
        <v>22800</v>
      </c>
      <c r="H181" s="95"/>
      <c r="I181" s="96" t="s">
        <v>261</v>
      </c>
      <c r="J181" s="95"/>
      <c r="K181" s="96" t="s">
        <v>261</v>
      </c>
      <c r="L181" s="95"/>
      <c r="M181" s="96"/>
      <c r="N181" s="95"/>
      <c r="O181" s="96" t="s">
        <v>261</v>
      </c>
      <c r="P181" s="95"/>
      <c r="Q181" s="96"/>
      <c r="R181" s="95"/>
      <c r="S181" s="96" t="s">
        <v>261</v>
      </c>
      <c r="T181" s="13">
        <f>37.63</f>
        <v>37.630000000000003</v>
      </c>
      <c r="U181" s="97" t="str">
        <f t="shared" si="12"/>
        <v>－</v>
      </c>
      <c r="V181" s="97"/>
      <c r="W181" s="97"/>
      <c r="X181" s="97" t="str">
        <f t="shared" si="13"/>
        <v>－</v>
      </c>
      <c r="Y181" s="97"/>
      <c r="Z181" s="98"/>
      <c r="AA181" s="95"/>
      <c r="AB181" s="99" t="str">
        <f t="shared" si="14"/>
        <v>－</v>
      </c>
      <c r="AC181" s="99" t="str">
        <f t="shared" si="8"/>
        <v>－</v>
      </c>
      <c r="AD181" s="100" t="str">
        <f t="shared" si="8"/>
        <v>－</v>
      </c>
    </row>
    <row r="182" spans="1:30">
      <c r="A182" s="91" t="s">
        <v>46</v>
      </c>
      <c r="B182" s="92" t="s">
        <v>1469</v>
      </c>
      <c r="C182" s="92" t="s">
        <v>1470</v>
      </c>
      <c r="D182" s="92" t="s">
        <v>1308</v>
      </c>
      <c r="E182" s="93" t="s">
        <v>608</v>
      </c>
      <c r="F182" s="93" t="s">
        <v>1414</v>
      </c>
      <c r="G182" s="94">
        <v>22800</v>
      </c>
      <c r="H182" s="95"/>
      <c r="I182" s="96" t="s">
        <v>261</v>
      </c>
      <c r="J182" s="95"/>
      <c r="K182" s="96" t="s">
        <v>261</v>
      </c>
      <c r="L182" s="95"/>
      <c r="M182" s="96"/>
      <c r="N182" s="95"/>
      <c r="O182" s="96" t="s">
        <v>261</v>
      </c>
      <c r="P182" s="95"/>
      <c r="Q182" s="96"/>
      <c r="R182" s="95"/>
      <c r="S182" s="96" t="s">
        <v>261</v>
      </c>
      <c r="T182" s="13">
        <f>35.13</f>
        <v>35.130000000000003</v>
      </c>
      <c r="U182" s="97" t="str">
        <f t="shared" si="12"/>
        <v>－</v>
      </c>
      <c r="V182" s="97"/>
      <c r="W182" s="97"/>
      <c r="X182" s="97" t="str">
        <f t="shared" si="13"/>
        <v>－</v>
      </c>
      <c r="Y182" s="97"/>
      <c r="Z182" s="98"/>
      <c r="AA182" s="95"/>
      <c r="AB182" s="99" t="str">
        <f t="shared" si="14"/>
        <v>－</v>
      </c>
      <c r="AC182" s="99" t="str">
        <f t="shared" si="8"/>
        <v>－</v>
      </c>
      <c r="AD182" s="100" t="str">
        <f t="shared" si="8"/>
        <v>－</v>
      </c>
    </row>
    <row r="183" spans="1:30">
      <c r="A183" s="91" t="s">
        <v>46</v>
      </c>
      <c r="B183" s="92" t="s">
        <v>1469</v>
      </c>
      <c r="C183" s="92" t="s">
        <v>1470</v>
      </c>
      <c r="D183" s="92" t="s">
        <v>1416</v>
      </c>
      <c r="E183" s="93" t="s">
        <v>608</v>
      </c>
      <c r="F183" s="93" t="s">
        <v>1518</v>
      </c>
      <c r="G183" s="94">
        <v>24000</v>
      </c>
      <c r="H183" s="95"/>
      <c r="I183" s="96" t="s">
        <v>261</v>
      </c>
      <c r="J183" s="95"/>
      <c r="K183" s="96" t="s">
        <v>261</v>
      </c>
      <c r="L183" s="95"/>
      <c r="M183" s="96"/>
      <c r="N183" s="95"/>
      <c r="O183" s="96" t="s">
        <v>261</v>
      </c>
      <c r="P183" s="95"/>
      <c r="Q183" s="96"/>
      <c r="R183" s="95"/>
      <c r="S183" s="96" t="s">
        <v>261</v>
      </c>
      <c r="T183" s="13">
        <f>28.9</f>
        <v>28.9</v>
      </c>
      <c r="U183" s="97" t="str">
        <f t="shared" si="12"/>
        <v>－</v>
      </c>
      <c r="V183" s="97"/>
      <c r="W183" s="97"/>
      <c r="X183" s="97" t="str">
        <f t="shared" si="13"/>
        <v>－</v>
      </c>
      <c r="Y183" s="97"/>
      <c r="Z183" s="98"/>
      <c r="AA183" s="95"/>
      <c r="AB183" s="99" t="str">
        <f t="shared" si="14"/>
        <v>－</v>
      </c>
      <c r="AC183" s="99" t="str">
        <f t="shared" si="8"/>
        <v>－</v>
      </c>
      <c r="AD183" s="100" t="str">
        <f t="shared" si="8"/>
        <v>－</v>
      </c>
    </row>
    <row r="184" spans="1:30">
      <c r="A184" s="91" t="s">
        <v>46</v>
      </c>
      <c r="B184" s="92" t="s">
        <v>1469</v>
      </c>
      <c r="C184" s="92" t="s">
        <v>1470</v>
      </c>
      <c r="D184" s="92" t="s">
        <v>1418</v>
      </c>
      <c r="E184" s="93" t="s">
        <v>830</v>
      </c>
      <c r="F184" s="93" t="s">
        <v>1419</v>
      </c>
      <c r="G184" s="94">
        <v>25200</v>
      </c>
      <c r="H184" s="95"/>
      <c r="I184" s="96" t="s">
        <v>261</v>
      </c>
      <c r="J184" s="95"/>
      <c r="K184" s="96" t="s">
        <v>261</v>
      </c>
      <c r="L184" s="95"/>
      <c r="M184" s="96"/>
      <c r="N184" s="95"/>
      <c r="O184" s="96" t="s">
        <v>261</v>
      </c>
      <c r="P184" s="95"/>
      <c r="Q184" s="96"/>
      <c r="R184" s="95"/>
      <c r="S184" s="96" t="s">
        <v>261</v>
      </c>
      <c r="T184" s="13">
        <f>20.94</f>
        <v>20.94</v>
      </c>
      <c r="U184" s="97" t="str">
        <f t="shared" si="12"/>
        <v>－</v>
      </c>
      <c r="V184" s="97"/>
      <c r="W184" s="97"/>
      <c r="X184" s="97" t="str">
        <f t="shared" si="13"/>
        <v>－</v>
      </c>
      <c r="Y184" s="97"/>
      <c r="Z184" s="98"/>
      <c r="AA184" s="95"/>
      <c r="AB184" s="99" t="str">
        <f t="shared" si="14"/>
        <v>－</v>
      </c>
      <c r="AC184" s="99" t="str">
        <f t="shared" si="8"/>
        <v>－</v>
      </c>
      <c r="AD184" s="100" t="str">
        <f t="shared" si="8"/>
        <v>－</v>
      </c>
    </row>
    <row r="185" spans="1:30">
      <c r="A185" s="91" t="s">
        <v>46</v>
      </c>
      <c r="B185" s="92" t="s">
        <v>1469</v>
      </c>
      <c r="C185" s="92" t="s">
        <v>1470</v>
      </c>
      <c r="D185" s="92" t="s">
        <v>1420</v>
      </c>
      <c r="E185" s="93" t="s">
        <v>835</v>
      </c>
      <c r="F185" s="93" t="s">
        <v>1421</v>
      </c>
      <c r="G185" s="94">
        <v>22800</v>
      </c>
      <c r="H185" s="95"/>
      <c r="I185" s="96" t="s">
        <v>261</v>
      </c>
      <c r="J185" s="95"/>
      <c r="K185" s="96" t="s">
        <v>261</v>
      </c>
      <c r="L185" s="95"/>
      <c r="M185" s="96"/>
      <c r="N185" s="95"/>
      <c r="O185" s="96" t="s">
        <v>261</v>
      </c>
      <c r="P185" s="95"/>
      <c r="Q185" s="96"/>
      <c r="R185" s="95"/>
      <c r="S185" s="96" t="s">
        <v>261</v>
      </c>
      <c r="T185" s="13">
        <f>20.41</f>
        <v>20.41</v>
      </c>
      <c r="U185" s="97" t="str">
        <f t="shared" si="12"/>
        <v>－</v>
      </c>
      <c r="V185" s="97"/>
      <c r="W185" s="97"/>
      <c r="X185" s="97" t="str">
        <f t="shared" si="13"/>
        <v>－</v>
      </c>
      <c r="Y185" s="97"/>
      <c r="Z185" s="98"/>
      <c r="AA185" s="95"/>
      <c r="AB185" s="99" t="str">
        <f t="shared" si="14"/>
        <v>－</v>
      </c>
      <c r="AC185" s="99" t="str">
        <f t="shared" si="8"/>
        <v>－</v>
      </c>
      <c r="AD185" s="100" t="str">
        <f t="shared" si="8"/>
        <v>－</v>
      </c>
    </row>
    <row r="186" spans="1:30">
      <c r="A186" s="91" t="s">
        <v>46</v>
      </c>
      <c r="B186" s="92" t="s">
        <v>1469</v>
      </c>
      <c r="C186" s="92" t="s">
        <v>1470</v>
      </c>
      <c r="D186" s="92" t="s">
        <v>1422</v>
      </c>
      <c r="E186" s="93" t="s">
        <v>840</v>
      </c>
      <c r="F186" s="93" t="s">
        <v>1519</v>
      </c>
      <c r="G186" s="94">
        <v>24000</v>
      </c>
      <c r="H186" s="95"/>
      <c r="I186" s="96" t="s">
        <v>261</v>
      </c>
      <c r="J186" s="95"/>
      <c r="K186" s="96" t="s">
        <v>261</v>
      </c>
      <c r="L186" s="95"/>
      <c r="M186" s="96"/>
      <c r="N186" s="95"/>
      <c r="O186" s="96" t="s">
        <v>261</v>
      </c>
      <c r="P186" s="95"/>
      <c r="Q186" s="96"/>
      <c r="R186" s="95"/>
      <c r="S186" s="96" t="s">
        <v>261</v>
      </c>
      <c r="T186" s="13">
        <f>22.3</f>
        <v>22.3</v>
      </c>
      <c r="U186" s="97" t="str">
        <f t="shared" si="12"/>
        <v>－</v>
      </c>
      <c r="V186" s="97"/>
      <c r="W186" s="97"/>
      <c r="X186" s="97" t="str">
        <f t="shared" si="13"/>
        <v>－</v>
      </c>
      <c r="Y186" s="97"/>
      <c r="Z186" s="98"/>
      <c r="AA186" s="95"/>
      <c r="AB186" s="99" t="str">
        <f t="shared" si="14"/>
        <v>－</v>
      </c>
      <c r="AC186" s="99" t="str">
        <f t="shared" si="8"/>
        <v>－</v>
      </c>
      <c r="AD186" s="100" t="str">
        <f t="shared" si="8"/>
        <v>－</v>
      </c>
    </row>
    <row r="187" spans="1:30">
      <c r="A187" s="91" t="s">
        <v>46</v>
      </c>
      <c r="B187" s="92" t="s">
        <v>1469</v>
      </c>
      <c r="C187" s="92" t="s">
        <v>1470</v>
      </c>
      <c r="D187" s="92" t="s">
        <v>1424</v>
      </c>
      <c r="E187" s="93" t="s">
        <v>844</v>
      </c>
      <c r="F187" s="93" t="s">
        <v>1425</v>
      </c>
      <c r="G187" s="94">
        <v>26400</v>
      </c>
      <c r="H187" s="95"/>
      <c r="I187" s="96" t="s">
        <v>261</v>
      </c>
      <c r="J187" s="95"/>
      <c r="K187" s="96" t="s">
        <v>261</v>
      </c>
      <c r="L187" s="95"/>
      <c r="M187" s="96"/>
      <c r="N187" s="95"/>
      <c r="O187" s="96" t="s">
        <v>261</v>
      </c>
      <c r="P187" s="95"/>
      <c r="Q187" s="96"/>
      <c r="R187" s="95"/>
      <c r="S187" s="96" t="s">
        <v>261</v>
      </c>
      <c r="T187" s="13">
        <f>29.27</f>
        <v>29.27</v>
      </c>
      <c r="U187" s="97" t="str">
        <f t="shared" si="12"/>
        <v>－</v>
      </c>
      <c r="V187" s="97"/>
      <c r="W187" s="97"/>
      <c r="X187" s="97" t="str">
        <f t="shared" si="13"/>
        <v>－</v>
      </c>
      <c r="Y187" s="97"/>
      <c r="Z187" s="98"/>
      <c r="AA187" s="95"/>
      <c r="AB187" s="99" t="str">
        <f t="shared" si="14"/>
        <v>－</v>
      </c>
      <c r="AC187" s="99" t="str">
        <f t="shared" si="8"/>
        <v>－</v>
      </c>
      <c r="AD187" s="100" t="str">
        <f t="shared" si="8"/>
        <v>－</v>
      </c>
    </row>
    <row r="188" spans="1:30">
      <c r="A188" s="91" t="s">
        <v>46</v>
      </c>
      <c r="B188" s="92" t="s">
        <v>1469</v>
      </c>
      <c r="C188" s="92" t="s">
        <v>1470</v>
      </c>
      <c r="D188" s="92" t="s">
        <v>1426</v>
      </c>
      <c r="E188" s="93" t="s">
        <v>849</v>
      </c>
      <c r="F188" s="93" t="s">
        <v>1520</v>
      </c>
      <c r="G188" s="94">
        <v>25200</v>
      </c>
      <c r="H188" s="95"/>
      <c r="I188" s="96" t="s">
        <v>261</v>
      </c>
      <c r="J188" s="95"/>
      <c r="K188" s="96" t="s">
        <v>261</v>
      </c>
      <c r="L188" s="95"/>
      <c r="M188" s="96"/>
      <c r="N188" s="95"/>
      <c r="O188" s="96" t="s">
        <v>261</v>
      </c>
      <c r="P188" s="95"/>
      <c r="Q188" s="96"/>
      <c r="R188" s="95"/>
      <c r="S188" s="96" t="s">
        <v>261</v>
      </c>
      <c r="T188" s="13">
        <f>31.31</f>
        <v>31.31</v>
      </c>
      <c r="U188" s="97" t="str">
        <f t="shared" si="12"/>
        <v>－</v>
      </c>
      <c r="V188" s="97"/>
      <c r="W188" s="97"/>
      <c r="X188" s="97" t="str">
        <f t="shared" si="13"/>
        <v>－</v>
      </c>
      <c r="Y188" s="97"/>
      <c r="Z188" s="98"/>
      <c r="AA188" s="95"/>
      <c r="AB188" s="99" t="str">
        <f t="shared" si="14"/>
        <v>－</v>
      </c>
      <c r="AC188" s="99" t="str">
        <f t="shared" si="8"/>
        <v>－</v>
      </c>
      <c r="AD188" s="100" t="str">
        <f t="shared" si="8"/>
        <v>－</v>
      </c>
    </row>
    <row r="189" spans="1:30">
      <c r="A189" s="91" t="s">
        <v>46</v>
      </c>
      <c r="B189" s="92" t="s">
        <v>1469</v>
      </c>
      <c r="C189" s="92" t="s">
        <v>1470</v>
      </c>
      <c r="D189" s="92" t="s">
        <v>1428</v>
      </c>
      <c r="E189" s="93" t="s">
        <v>855</v>
      </c>
      <c r="F189" s="93" t="s">
        <v>1429</v>
      </c>
      <c r="G189" s="94">
        <v>22800</v>
      </c>
      <c r="H189" s="95"/>
      <c r="I189" s="96" t="s">
        <v>261</v>
      </c>
      <c r="J189" s="95"/>
      <c r="K189" s="96" t="s">
        <v>261</v>
      </c>
      <c r="L189" s="95"/>
      <c r="M189" s="96"/>
      <c r="N189" s="95"/>
      <c r="O189" s="96" t="s">
        <v>261</v>
      </c>
      <c r="P189" s="95"/>
      <c r="Q189" s="96"/>
      <c r="R189" s="95"/>
      <c r="S189" s="96" t="s">
        <v>261</v>
      </c>
      <c r="T189" s="13">
        <f>23.19</f>
        <v>23.19</v>
      </c>
      <c r="U189" s="97" t="str">
        <f t="shared" si="12"/>
        <v>－</v>
      </c>
      <c r="V189" s="97"/>
      <c r="W189" s="97"/>
      <c r="X189" s="97" t="str">
        <f t="shared" si="13"/>
        <v>－</v>
      </c>
      <c r="Y189" s="97"/>
      <c r="Z189" s="98"/>
      <c r="AA189" s="95"/>
      <c r="AB189" s="99" t="str">
        <f t="shared" si="14"/>
        <v>－</v>
      </c>
      <c r="AC189" s="99" t="str">
        <f t="shared" si="8"/>
        <v>－</v>
      </c>
      <c r="AD189" s="100" t="str">
        <f t="shared" si="8"/>
        <v>－</v>
      </c>
    </row>
    <row r="190" spans="1:30">
      <c r="A190" s="91" t="s">
        <v>46</v>
      </c>
      <c r="B190" s="92" t="s">
        <v>1469</v>
      </c>
      <c r="C190" s="92" t="s">
        <v>1470</v>
      </c>
      <c r="D190" s="92" t="s">
        <v>1430</v>
      </c>
      <c r="E190" s="93" t="s">
        <v>861</v>
      </c>
      <c r="F190" s="93" t="s">
        <v>1431</v>
      </c>
      <c r="G190" s="94">
        <v>26400</v>
      </c>
      <c r="H190" s="95"/>
      <c r="I190" s="96" t="s">
        <v>261</v>
      </c>
      <c r="J190" s="95"/>
      <c r="K190" s="96" t="s">
        <v>261</v>
      </c>
      <c r="L190" s="95"/>
      <c r="M190" s="96"/>
      <c r="N190" s="95"/>
      <c r="O190" s="96" t="s">
        <v>261</v>
      </c>
      <c r="P190" s="95"/>
      <c r="Q190" s="96"/>
      <c r="R190" s="95"/>
      <c r="S190" s="96" t="s">
        <v>261</v>
      </c>
      <c r="T190" s="13">
        <f>18.86</f>
        <v>18.86</v>
      </c>
      <c r="U190" s="97" t="str">
        <f t="shared" si="12"/>
        <v>－</v>
      </c>
      <c r="V190" s="97"/>
      <c r="W190" s="97"/>
      <c r="X190" s="97" t="str">
        <f t="shared" si="13"/>
        <v>－</v>
      </c>
      <c r="Y190" s="97"/>
      <c r="Z190" s="98"/>
      <c r="AA190" s="95"/>
      <c r="AB190" s="99" t="str">
        <f t="shared" si="14"/>
        <v>－</v>
      </c>
      <c r="AC190" s="99" t="str">
        <f t="shared" si="8"/>
        <v>－</v>
      </c>
      <c r="AD190" s="100" t="str">
        <f t="shared" si="8"/>
        <v>－</v>
      </c>
    </row>
    <row r="191" spans="1:30">
      <c r="A191" s="91" t="s">
        <v>46</v>
      </c>
      <c r="B191" s="92" t="s">
        <v>1469</v>
      </c>
      <c r="C191" s="92" t="s">
        <v>1470</v>
      </c>
      <c r="D191" s="92" t="s">
        <v>1432</v>
      </c>
      <c r="E191" s="93" t="s">
        <v>865</v>
      </c>
      <c r="F191" s="93" t="s">
        <v>1521</v>
      </c>
      <c r="G191" s="94">
        <v>24000</v>
      </c>
      <c r="H191" s="95"/>
      <c r="I191" s="96" t="s">
        <v>261</v>
      </c>
      <c r="J191" s="95"/>
      <c r="K191" s="96" t="s">
        <v>261</v>
      </c>
      <c r="L191" s="95"/>
      <c r="M191" s="96"/>
      <c r="N191" s="95"/>
      <c r="O191" s="96" t="s">
        <v>261</v>
      </c>
      <c r="P191" s="95"/>
      <c r="Q191" s="96"/>
      <c r="R191" s="95"/>
      <c r="S191" s="96" t="s">
        <v>261</v>
      </c>
      <c r="T191" s="13">
        <f>19.39</f>
        <v>19.39</v>
      </c>
      <c r="U191" s="97" t="str">
        <f t="shared" si="12"/>
        <v>－</v>
      </c>
      <c r="V191" s="97"/>
      <c r="W191" s="97"/>
      <c r="X191" s="97" t="str">
        <f t="shared" si="13"/>
        <v>－</v>
      </c>
      <c r="Y191" s="97"/>
      <c r="Z191" s="98"/>
      <c r="AA191" s="95"/>
      <c r="AB191" s="99" t="str">
        <f t="shared" si="14"/>
        <v>－</v>
      </c>
      <c r="AC191" s="99" t="str">
        <f t="shared" si="8"/>
        <v>－</v>
      </c>
      <c r="AD191" s="100" t="str">
        <f t="shared" si="8"/>
        <v>－</v>
      </c>
    </row>
    <row r="192" spans="1:30">
      <c r="A192" s="91" t="s">
        <v>46</v>
      </c>
      <c r="B192" s="92" t="s">
        <v>1469</v>
      </c>
      <c r="C192" s="92" t="s">
        <v>1470</v>
      </c>
      <c r="D192" s="92" t="s">
        <v>1522</v>
      </c>
      <c r="E192" s="93" t="s">
        <v>1523</v>
      </c>
      <c r="F192" s="93" t="s">
        <v>1524</v>
      </c>
      <c r="G192" s="94">
        <v>24000</v>
      </c>
      <c r="H192" s="95"/>
      <c r="I192" s="96" t="s">
        <v>261</v>
      </c>
      <c r="J192" s="95"/>
      <c r="K192" s="96" t="s">
        <v>261</v>
      </c>
      <c r="L192" s="95"/>
      <c r="M192" s="96"/>
      <c r="N192" s="95"/>
      <c r="O192" s="96" t="s">
        <v>261</v>
      </c>
      <c r="P192" s="95"/>
      <c r="Q192" s="96"/>
      <c r="R192" s="95"/>
      <c r="S192" s="96" t="s">
        <v>261</v>
      </c>
      <c r="T192" s="13">
        <f>22.71</f>
        <v>22.71</v>
      </c>
      <c r="U192" s="97" t="str">
        <f t="shared" si="12"/>
        <v>－</v>
      </c>
      <c r="V192" s="97"/>
      <c r="W192" s="97"/>
      <c r="X192" s="97" t="str">
        <f t="shared" si="13"/>
        <v>－</v>
      </c>
      <c r="Y192" s="97"/>
      <c r="Z192" s="98"/>
      <c r="AA192" s="95"/>
      <c r="AB192" s="99" t="str">
        <f t="shared" si="14"/>
        <v>－</v>
      </c>
      <c r="AC192" s="99" t="str">
        <f t="shared" si="8"/>
        <v>－</v>
      </c>
      <c r="AD192" s="100" t="str">
        <f t="shared" si="8"/>
        <v>－</v>
      </c>
    </row>
    <row r="193" spans="1:30">
      <c r="A193" s="91" t="s">
        <v>46</v>
      </c>
      <c r="B193" s="92" t="s">
        <v>1525</v>
      </c>
      <c r="C193" s="92" t="s">
        <v>1526</v>
      </c>
      <c r="D193" s="92" t="s">
        <v>537</v>
      </c>
      <c r="E193" s="93" t="s">
        <v>1471</v>
      </c>
      <c r="F193" s="93" t="s">
        <v>1318</v>
      </c>
      <c r="G193" s="94">
        <v>22800</v>
      </c>
      <c r="H193" s="95"/>
      <c r="I193" s="96" t="s">
        <v>261</v>
      </c>
      <c r="J193" s="95"/>
      <c r="K193" s="96" t="s">
        <v>261</v>
      </c>
      <c r="L193" s="95"/>
      <c r="M193" s="96"/>
      <c r="N193" s="95"/>
      <c r="O193" s="96" t="s">
        <v>261</v>
      </c>
      <c r="P193" s="95"/>
      <c r="Q193" s="96"/>
      <c r="R193" s="95"/>
      <c r="S193" s="96" t="s">
        <v>261</v>
      </c>
      <c r="T193" s="13">
        <f>30.66</f>
        <v>30.66</v>
      </c>
      <c r="U193" s="97" t="str">
        <f t="shared" si="12"/>
        <v>－</v>
      </c>
      <c r="V193" s="97"/>
      <c r="W193" s="97"/>
      <c r="X193" s="97" t="str">
        <f t="shared" si="13"/>
        <v>－</v>
      </c>
      <c r="Y193" s="97"/>
      <c r="Z193" s="98"/>
      <c r="AA193" s="95" t="s">
        <v>60</v>
      </c>
      <c r="AB193" s="99">
        <f>40</f>
        <v>40</v>
      </c>
      <c r="AC193" s="99" t="str">
        <f t="shared" si="8"/>
        <v>－</v>
      </c>
      <c r="AD193" s="100" t="str">
        <f t="shared" si="8"/>
        <v>－</v>
      </c>
    </row>
    <row r="194" spans="1:30">
      <c r="A194" s="91" t="s">
        <v>46</v>
      </c>
      <c r="B194" s="92" t="s">
        <v>1525</v>
      </c>
      <c r="C194" s="92" t="s">
        <v>1526</v>
      </c>
      <c r="D194" s="92" t="s">
        <v>49</v>
      </c>
      <c r="E194" s="93" t="s">
        <v>1321</v>
      </c>
      <c r="F194" s="93" t="s">
        <v>1041</v>
      </c>
      <c r="G194" s="94">
        <v>21600</v>
      </c>
      <c r="H194" s="95"/>
      <c r="I194" s="96" t="s">
        <v>261</v>
      </c>
      <c r="J194" s="95"/>
      <c r="K194" s="96" t="s">
        <v>261</v>
      </c>
      <c r="L194" s="95"/>
      <c r="M194" s="96"/>
      <c r="N194" s="95"/>
      <c r="O194" s="96" t="s">
        <v>261</v>
      </c>
      <c r="P194" s="95"/>
      <c r="Q194" s="96"/>
      <c r="R194" s="95"/>
      <c r="S194" s="96" t="s">
        <v>261</v>
      </c>
      <c r="T194" s="13">
        <f>24.85</f>
        <v>24.85</v>
      </c>
      <c r="U194" s="97" t="str">
        <f t="shared" si="12"/>
        <v>－</v>
      </c>
      <c r="V194" s="97"/>
      <c r="W194" s="97"/>
      <c r="X194" s="97" t="str">
        <f t="shared" si="13"/>
        <v>－</v>
      </c>
      <c r="Y194" s="97"/>
      <c r="Z194" s="98"/>
      <c r="AA194" s="95" t="s">
        <v>60</v>
      </c>
      <c r="AB194" s="99">
        <f>35</f>
        <v>35</v>
      </c>
      <c r="AC194" s="99" t="str">
        <f t="shared" si="8"/>
        <v>－</v>
      </c>
      <c r="AD194" s="100" t="str">
        <f t="shared" si="8"/>
        <v>－</v>
      </c>
    </row>
    <row r="195" spans="1:30">
      <c r="A195" s="91" t="s">
        <v>46</v>
      </c>
      <c r="B195" s="92" t="s">
        <v>1525</v>
      </c>
      <c r="C195" s="92" t="s">
        <v>1526</v>
      </c>
      <c r="D195" s="92" t="s">
        <v>548</v>
      </c>
      <c r="E195" s="93" t="s">
        <v>1473</v>
      </c>
      <c r="F195" s="93" t="s">
        <v>1328</v>
      </c>
      <c r="G195" s="94">
        <v>26400</v>
      </c>
      <c r="H195" s="95"/>
      <c r="I195" s="96" t="s">
        <v>261</v>
      </c>
      <c r="J195" s="95"/>
      <c r="K195" s="96" t="s">
        <v>261</v>
      </c>
      <c r="L195" s="95"/>
      <c r="M195" s="96"/>
      <c r="N195" s="95"/>
      <c r="O195" s="96" t="s">
        <v>261</v>
      </c>
      <c r="P195" s="95"/>
      <c r="Q195" s="96"/>
      <c r="R195" s="95"/>
      <c r="S195" s="96" t="s">
        <v>261</v>
      </c>
      <c r="T195" s="13">
        <f>21.08</f>
        <v>21.08</v>
      </c>
      <c r="U195" s="97" t="str">
        <f t="shared" si="12"/>
        <v>－</v>
      </c>
      <c r="V195" s="97"/>
      <c r="W195" s="97"/>
      <c r="X195" s="97" t="str">
        <f t="shared" si="13"/>
        <v>－</v>
      </c>
      <c r="Y195" s="97"/>
      <c r="Z195" s="98"/>
      <c r="AA195" s="95" t="s">
        <v>60</v>
      </c>
      <c r="AB195" s="99">
        <f>10</f>
        <v>10</v>
      </c>
      <c r="AC195" s="99" t="str">
        <f t="shared" si="8"/>
        <v>－</v>
      </c>
      <c r="AD195" s="100" t="str">
        <f t="shared" si="8"/>
        <v>－</v>
      </c>
    </row>
    <row r="196" spans="1:30">
      <c r="A196" s="91" t="s">
        <v>46</v>
      </c>
      <c r="B196" s="92" t="s">
        <v>1525</v>
      </c>
      <c r="C196" s="92" t="s">
        <v>1526</v>
      </c>
      <c r="D196" s="92" t="s">
        <v>61</v>
      </c>
      <c r="E196" s="93" t="s">
        <v>1476</v>
      </c>
      <c r="F196" s="93" t="s">
        <v>1477</v>
      </c>
      <c r="G196" s="94">
        <v>24000</v>
      </c>
      <c r="H196" s="95"/>
      <c r="I196" s="96" t="s">
        <v>261</v>
      </c>
      <c r="J196" s="95"/>
      <c r="K196" s="96" t="s">
        <v>261</v>
      </c>
      <c r="L196" s="95"/>
      <c r="M196" s="96"/>
      <c r="N196" s="95"/>
      <c r="O196" s="96" t="s">
        <v>261</v>
      </c>
      <c r="P196" s="95"/>
      <c r="Q196" s="96"/>
      <c r="R196" s="95"/>
      <c r="S196" s="96" t="s">
        <v>261</v>
      </c>
      <c r="T196" s="13">
        <f>18.27</f>
        <v>18.27</v>
      </c>
      <c r="U196" s="97" t="str">
        <f t="shared" si="12"/>
        <v>－</v>
      </c>
      <c r="V196" s="97"/>
      <c r="W196" s="97"/>
      <c r="X196" s="97" t="str">
        <f t="shared" si="13"/>
        <v>－</v>
      </c>
      <c r="Y196" s="97"/>
      <c r="Z196" s="98"/>
      <c r="AA196" s="95" t="s">
        <v>60</v>
      </c>
      <c r="AB196" s="99" t="str">
        <f>"－"</f>
        <v>－</v>
      </c>
      <c r="AC196" s="99" t="str">
        <f t="shared" si="8"/>
        <v>－</v>
      </c>
      <c r="AD196" s="100" t="str">
        <f t="shared" si="8"/>
        <v>－</v>
      </c>
    </row>
    <row r="197" spans="1:30">
      <c r="A197" s="91" t="s">
        <v>46</v>
      </c>
      <c r="B197" s="92" t="s">
        <v>1525</v>
      </c>
      <c r="C197" s="92" t="s">
        <v>1526</v>
      </c>
      <c r="D197" s="92" t="s">
        <v>561</v>
      </c>
      <c r="E197" s="93" t="s">
        <v>1480</v>
      </c>
      <c r="F197" s="93" t="s">
        <v>1344</v>
      </c>
      <c r="G197" s="94">
        <v>21600</v>
      </c>
      <c r="H197" s="95"/>
      <c r="I197" s="96" t="s">
        <v>261</v>
      </c>
      <c r="J197" s="95"/>
      <c r="K197" s="96" t="s">
        <v>261</v>
      </c>
      <c r="L197" s="95"/>
      <c r="M197" s="96"/>
      <c r="N197" s="95"/>
      <c r="O197" s="96" t="s">
        <v>261</v>
      </c>
      <c r="P197" s="95"/>
      <c r="Q197" s="96"/>
      <c r="R197" s="95"/>
      <c r="S197" s="96" t="s">
        <v>261</v>
      </c>
      <c r="T197" s="13">
        <f>19.27</f>
        <v>19.27</v>
      </c>
      <c r="U197" s="97" t="str">
        <f t="shared" si="12"/>
        <v>－</v>
      </c>
      <c r="V197" s="97"/>
      <c r="W197" s="97"/>
      <c r="X197" s="97" t="str">
        <f t="shared" si="13"/>
        <v>－</v>
      </c>
      <c r="Y197" s="97"/>
      <c r="Z197" s="98"/>
      <c r="AA197" s="95" t="s">
        <v>60</v>
      </c>
      <c r="AB197" s="99" t="str">
        <f>"－"</f>
        <v>－</v>
      </c>
      <c r="AC197" s="99" t="str">
        <f t="shared" si="8"/>
        <v>－</v>
      </c>
      <c r="AD197" s="100" t="str">
        <f t="shared" si="8"/>
        <v>－</v>
      </c>
    </row>
    <row r="198" spans="1:30">
      <c r="A198" s="91" t="s">
        <v>46</v>
      </c>
      <c r="B198" s="92" t="s">
        <v>1525</v>
      </c>
      <c r="C198" s="92" t="s">
        <v>1526</v>
      </c>
      <c r="D198" s="92" t="s">
        <v>74</v>
      </c>
      <c r="E198" s="93" t="s">
        <v>1347</v>
      </c>
      <c r="F198" s="93" t="s">
        <v>1348</v>
      </c>
      <c r="G198" s="94">
        <v>26400</v>
      </c>
      <c r="H198" s="95"/>
      <c r="I198" s="96" t="s">
        <v>261</v>
      </c>
      <c r="J198" s="95"/>
      <c r="K198" s="96" t="s">
        <v>261</v>
      </c>
      <c r="L198" s="95" t="s">
        <v>67</v>
      </c>
      <c r="M198" s="96" t="s">
        <v>1527</v>
      </c>
      <c r="N198" s="95"/>
      <c r="O198" s="96" t="s">
        <v>261</v>
      </c>
      <c r="P198" s="95" t="s">
        <v>921</v>
      </c>
      <c r="Q198" s="96" t="s">
        <v>1528</v>
      </c>
      <c r="R198" s="95"/>
      <c r="S198" s="96" t="s">
        <v>261</v>
      </c>
      <c r="T198" s="13">
        <f>21.39</f>
        <v>21.39</v>
      </c>
      <c r="U198" s="97">
        <f>350</f>
        <v>350</v>
      </c>
      <c r="V198" s="97">
        <v>350</v>
      </c>
      <c r="W198" s="97"/>
      <c r="X198" s="97">
        <f>241560000</f>
        <v>241560000</v>
      </c>
      <c r="Y198" s="97">
        <v>241560000</v>
      </c>
      <c r="Z198" s="98"/>
      <c r="AA198" s="95" t="s">
        <v>60</v>
      </c>
      <c r="AB198" s="99">
        <f>350</f>
        <v>350</v>
      </c>
      <c r="AC198" s="99" t="str">
        <f t="shared" si="8"/>
        <v>－</v>
      </c>
      <c r="AD198" s="100" t="str">
        <f t="shared" si="8"/>
        <v>－</v>
      </c>
    </row>
    <row r="199" spans="1:30">
      <c r="A199" s="91" t="s">
        <v>46</v>
      </c>
      <c r="B199" s="92" t="s">
        <v>1525</v>
      </c>
      <c r="C199" s="92" t="s">
        <v>1526</v>
      </c>
      <c r="D199" s="92" t="s">
        <v>576</v>
      </c>
      <c r="E199" s="93" t="s">
        <v>1353</v>
      </c>
      <c r="F199" s="93" t="s">
        <v>1484</v>
      </c>
      <c r="G199" s="94">
        <v>24000</v>
      </c>
      <c r="H199" s="95"/>
      <c r="I199" s="96" t="s">
        <v>261</v>
      </c>
      <c r="J199" s="95"/>
      <c r="K199" s="96" t="s">
        <v>261</v>
      </c>
      <c r="L199" s="95" t="s">
        <v>1197</v>
      </c>
      <c r="M199" s="96" t="s">
        <v>1529</v>
      </c>
      <c r="N199" s="95"/>
      <c r="O199" s="96" t="s">
        <v>261</v>
      </c>
      <c r="P199" s="95" t="s">
        <v>559</v>
      </c>
      <c r="Q199" s="96" t="s">
        <v>1530</v>
      </c>
      <c r="R199" s="95"/>
      <c r="S199" s="96" t="s">
        <v>261</v>
      </c>
      <c r="T199" s="13">
        <f>28.92</f>
        <v>28.92</v>
      </c>
      <c r="U199" s="97">
        <f>900</f>
        <v>900</v>
      </c>
      <c r="V199" s="97">
        <v>900</v>
      </c>
      <c r="W199" s="97"/>
      <c r="X199" s="97">
        <f>680940000</f>
        <v>680940000</v>
      </c>
      <c r="Y199" s="97">
        <v>680940000</v>
      </c>
      <c r="Z199" s="98"/>
      <c r="AA199" s="95" t="s">
        <v>60</v>
      </c>
      <c r="AB199" s="99">
        <f>890</f>
        <v>890</v>
      </c>
      <c r="AC199" s="99" t="str">
        <f t="shared" ref="AC199:AD262" si="15">"－"</f>
        <v>－</v>
      </c>
      <c r="AD199" s="100" t="str">
        <f t="shared" si="15"/>
        <v>－</v>
      </c>
    </row>
    <row r="200" spans="1:30">
      <c r="A200" s="91" t="s">
        <v>46</v>
      </c>
      <c r="B200" s="92" t="s">
        <v>1525</v>
      </c>
      <c r="C200" s="92" t="s">
        <v>1526</v>
      </c>
      <c r="D200" s="92" t="s">
        <v>81</v>
      </c>
      <c r="E200" s="93" t="s">
        <v>1358</v>
      </c>
      <c r="F200" s="93" t="s">
        <v>1359</v>
      </c>
      <c r="G200" s="94">
        <v>26400</v>
      </c>
      <c r="H200" s="95"/>
      <c r="I200" s="96" t="s">
        <v>261</v>
      </c>
      <c r="J200" s="95"/>
      <c r="K200" s="96" t="s">
        <v>261</v>
      </c>
      <c r="L200" s="95" t="s">
        <v>1197</v>
      </c>
      <c r="M200" s="96" t="s">
        <v>1529</v>
      </c>
      <c r="N200" s="95"/>
      <c r="O200" s="96" t="s">
        <v>261</v>
      </c>
      <c r="P200" s="95" t="s">
        <v>1531</v>
      </c>
      <c r="Q200" s="96" t="s">
        <v>1532</v>
      </c>
      <c r="R200" s="95"/>
      <c r="S200" s="96" t="s">
        <v>261</v>
      </c>
      <c r="T200" s="13">
        <f>33.01</f>
        <v>33.01</v>
      </c>
      <c r="U200" s="97">
        <f>930</f>
        <v>930</v>
      </c>
      <c r="V200" s="97">
        <v>930</v>
      </c>
      <c r="W200" s="97"/>
      <c r="X200" s="97">
        <f>839282400</f>
        <v>839282400</v>
      </c>
      <c r="Y200" s="97">
        <v>839282400</v>
      </c>
      <c r="Z200" s="98"/>
      <c r="AA200" s="95" t="s">
        <v>60</v>
      </c>
      <c r="AB200" s="99">
        <f>910</f>
        <v>910</v>
      </c>
      <c r="AC200" s="99" t="str">
        <f t="shared" si="15"/>
        <v>－</v>
      </c>
      <c r="AD200" s="100" t="str">
        <f t="shared" si="15"/>
        <v>－</v>
      </c>
    </row>
    <row r="201" spans="1:30">
      <c r="A201" s="91" t="s">
        <v>46</v>
      </c>
      <c r="B201" s="92" t="s">
        <v>1525</v>
      </c>
      <c r="C201" s="92" t="s">
        <v>1526</v>
      </c>
      <c r="D201" s="92" t="s">
        <v>596</v>
      </c>
      <c r="E201" s="93" t="s">
        <v>1364</v>
      </c>
      <c r="F201" s="93" t="s">
        <v>1365</v>
      </c>
      <c r="G201" s="94">
        <v>24000</v>
      </c>
      <c r="H201" s="95"/>
      <c r="I201" s="96" t="s">
        <v>261</v>
      </c>
      <c r="J201" s="95"/>
      <c r="K201" s="96" t="s">
        <v>261</v>
      </c>
      <c r="L201" s="95" t="s">
        <v>1197</v>
      </c>
      <c r="M201" s="96" t="s">
        <v>1529</v>
      </c>
      <c r="N201" s="95"/>
      <c r="O201" s="96" t="s">
        <v>261</v>
      </c>
      <c r="P201" s="95" t="s">
        <v>921</v>
      </c>
      <c r="Q201" s="96" t="s">
        <v>1368</v>
      </c>
      <c r="R201" s="95"/>
      <c r="S201" s="96" t="s">
        <v>261</v>
      </c>
      <c r="T201" s="13">
        <f>28.76</f>
        <v>28.76</v>
      </c>
      <c r="U201" s="97">
        <f>100</f>
        <v>100</v>
      </c>
      <c r="V201" s="97">
        <v>100</v>
      </c>
      <c r="W201" s="97"/>
      <c r="X201" s="97">
        <f>85740000</f>
        <v>85740000</v>
      </c>
      <c r="Y201" s="97">
        <v>85740000</v>
      </c>
      <c r="Z201" s="98"/>
      <c r="AA201" s="95" t="s">
        <v>60</v>
      </c>
      <c r="AB201" s="99">
        <f>90</f>
        <v>90</v>
      </c>
      <c r="AC201" s="99" t="str">
        <f t="shared" si="15"/>
        <v>－</v>
      </c>
      <c r="AD201" s="100" t="str">
        <f t="shared" si="15"/>
        <v>－</v>
      </c>
    </row>
    <row r="202" spans="1:30">
      <c r="A202" s="91" t="s">
        <v>46</v>
      </c>
      <c r="B202" s="92" t="s">
        <v>1525</v>
      </c>
      <c r="C202" s="92" t="s">
        <v>1526</v>
      </c>
      <c r="D202" s="92" t="s">
        <v>93</v>
      </c>
      <c r="E202" s="93" t="s">
        <v>1499</v>
      </c>
      <c r="F202" s="93" t="s">
        <v>1371</v>
      </c>
      <c r="G202" s="94">
        <v>24000</v>
      </c>
      <c r="H202" s="95"/>
      <c r="I202" s="96" t="s">
        <v>261</v>
      </c>
      <c r="J202" s="95"/>
      <c r="K202" s="96" t="s">
        <v>261</v>
      </c>
      <c r="L202" s="95" t="s">
        <v>472</v>
      </c>
      <c r="M202" s="96" t="s">
        <v>1332</v>
      </c>
      <c r="N202" s="95"/>
      <c r="O202" s="96" t="s">
        <v>261</v>
      </c>
      <c r="P202" s="95" t="s">
        <v>238</v>
      </c>
      <c r="Q202" s="96" t="s">
        <v>1368</v>
      </c>
      <c r="R202" s="95"/>
      <c r="S202" s="96" t="s">
        <v>261</v>
      </c>
      <c r="T202" s="13">
        <f>25.54</f>
        <v>25.54</v>
      </c>
      <c r="U202" s="97">
        <f>240</f>
        <v>240</v>
      </c>
      <c r="V202" s="97">
        <v>240</v>
      </c>
      <c r="W202" s="97"/>
      <c r="X202" s="97">
        <f>217260000</f>
        <v>217260000</v>
      </c>
      <c r="Y202" s="97">
        <v>217260000</v>
      </c>
      <c r="Z202" s="98"/>
      <c r="AA202" s="95" t="s">
        <v>60</v>
      </c>
      <c r="AB202" s="99">
        <f>210</f>
        <v>210</v>
      </c>
      <c r="AC202" s="99" t="str">
        <f t="shared" si="15"/>
        <v>－</v>
      </c>
      <c r="AD202" s="100" t="str">
        <f t="shared" si="15"/>
        <v>－</v>
      </c>
    </row>
    <row r="203" spans="1:30">
      <c r="A203" s="91" t="s">
        <v>46</v>
      </c>
      <c r="B203" s="92" t="s">
        <v>1525</v>
      </c>
      <c r="C203" s="92" t="s">
        <v>1526</v>
      </c>
      <c r="D203" s="92" t="s">
        <v>614</v>
      </c>
      <c r="E203" s="93" t="s">
        <v>1375</v>
      </c>
      <c r="F203" s="93" t="s">
        <v>1376</v>
      </c>
      <c r="G203" s="94">
        <v>24000</v>
      </c>
      <c r="H203" s="95" t="s">
        <v>722</v>
      </c>
      <c r="I203" s="96" t="s">
        <v>1449</v>
      </c>
      <c r="J203" s="95" t="s">
        <v>722</v>
      </c>
      <c r="K203" s="96" t="s">
        <v>1449</v>
      </c>
      <c r="L203" s="95" t="s">
        <v>240</v>
      </c>
      <c r="M203" s="96" t="s">
        <v>1356</v>
      </c>
      <c r="N203" s="95" t="s">
        <v>722</v>
      </c>
      <c r="O203" s="96" t="s">
        <v>1449</v>
      </c>
      <c r="P203" s="95" t="s">
        <v>238</v>
      </c>
      <c r="Q203" s="96" t="s">
        <v>1368</v>
      </c>
      <c r="R203" s="95" t="s">
        <v>722</v>
      </c>
      <c r="S203" s="96" t="s">
        <v>1449</v>
      </c>
      <c r="T203" s="13">
        <f>26.87</f>
        <v>26.87</v>
      </c>
      <c r="U203" s="97">
        <f>91</f>
        <v>91</v>
      </c>
      <c r="V203" s="97">
        <v>90</v>
      </c>
      <c r="W203" s="97"/>
      <c r="X203" s="97">
        <f>78444000</f>
        <v>78444000</v>
      </c>
      <c r="Y203" s="97">
        <v>77760000</v>
      </c>
      <c r="Z203" s="98"/>
      <c r="AA203" s="95" t="s">
        <v>60</v>
      </c>
      <c r="AB203" s="99">
        <f>91</f>
        <v>91</v>
      </c>
      <c r="AC203" s="99" t="str">
        <f t="shared" si="15"/>
        <v>－</v>
      </c>
      <c r="AD203" s="100">
        <f>1</f>
        <v>1</v>
      </c>
    </row>
    <row r="204" spans="1:30">
      <c r="A204" s="91" t="s">
        <v>46</v>
      </c>
      <c r="B204" s="92" t="s">
        <v>1525</v>
      </c>
      <c r="C204" s="92" t="s">
        <v>1526</v>
      </c>
      <c r="D204" s="92" t="s">
        <v>105</v>
      </c>
      <c r="E204" s="93" t="s">
        <v>1380</v>
      </c>
      <c r="F204" s="93" t="s">
        <v>1506</v>
      </c>
      <c r="G204" s="94">
        <v>25200</v>
      </c>
      <c r="H204" s="95"/>
      <c r="I204" s="96" t="s">
        <v>261</v>
      </c>
      <c r="J204" s="95"/>
      <c r="K204" s="96" t="s">
        <v>261</v>
      </c>
      <c r="L204" s="95" t="s">
        <v>1374</v>
      </c>
      <c r="M204" s="96" t="s">
        <v>1533</v>
      </c>
      <c r="N204" s="95"/>
      <c r="O204" s="96" t="s">
        <v>261</v>
      </c>
      <c r="P204" s="95" t="s">
        <v>1197</v>
      </c>
      <c r="Q204" s="96" t="s">
        <v>1534</v>
      </c>
      <c r="R204" s="95"/>
      <c r="S204" s="96" t="s">
        <v>261</v>
      </c>
      <c r="T204" s="13">
        <f>31.66</f>
        <v>31.66</v>
      </c>
      <c r="U204" s="97">
        <f>250</f>
        <v>250</v>
      </c>
      <c r="V204" s="97">
        <v>250</v>
      </c>
      <c r="W204" s="97"/>
      <c r="X204" s="97">
        <f>268317000</f>
        <v>268317000</v>
      </c>
      <c r="Y204" s="97">
        <v>268317000</v>
      </c>
      <c r="Z204" s="98"/>
      <c r="AA204" s="95" t="s">
        <v>60</v>
      </c>
      <c r="AB204" s="99">
        <f>150</f>
        <v>150</v>
      </c>
      <c r="AC204" s="99" t="str">
        <f t="shared" si="15"/>
        <v>－</v>
      </c>
      <c r="AD204" s="100" t="str">
        <f>"－"</f>
        <v>－</v>
      </c>
    </row>
    <row r="205" spans="1:30">
      <c r="A205" s="91" t="s">
        <v>46</v>
      </c>
      <c r="B205" s="92" t="s">
        <v>1525</v>
      </c>
      <c r="C205" s="92" t="s">
        <v>1526</v>
      </c>
      <c r="D205" s="92" t="s">
        <v>624</v>
      </c>
      <c r="E205" s="93" t="s">
        <v>1510</v>
      </c>
      <c r="F205" s="93" t="s">
        <v>1383</v>
      </c>
      <c r="G205" s="94">
        <v>22800</v>
      </c>
      <c r="H205" s="95" t="s">
        <v>181</v>
      </c>
      <c r="I205" s="96" t="s">
        <v>1357</v>
      </c>
      <c r="J205" s="95" t="s">
        <v>181</v>
      </c>
      <c r="K205" s="96" t="s">
        <v>1357</v>
      </c>
      <c r="L205" s="95" t="s">
        <v>788</v>
      </c>
      <c r="M205" s="96" t="s">
        <v>1535</v>
      </c>
      <c r="N205" s="95" t="s">
        <v>181</v>
      </c>
      <c r="O205" s="96" t="s">
        <v>1357</v>
      </c>
      <c r="P205" s="95" t="s">
        <v>472</v>
      </c>
      <c r="Q205" s="96" t="s">
        <v>1394</v>
      </c>
      <c r="R205" s="95" t="s">
        <v>181</v>
      </c>
      <c r="S205" s="96" t="s">
        <v>1357</v>
      </c>
      <c r="T205" s="13">
        <f>35.73</f>
        <v>35.729999999999997</v>
      </c>
      <c r="U205" s="97">
        <f>230</f>
        <v>230</v>
      </c>
      <c r="V205" s="97">
        <v>220</v>
      </c>
      <c r="W205" s="97"/>
      <c r="X205" s="97">
        <f>209931000</f>
        <v>209931000</v>
      </c>
      <c r="Y205" s="97">
        <v>203091000</v>
      </c>
      <c r="Z205" s="98"/>
      <c r="AA205" s="95"/>
      <c r="AB205" s="99">
        <f>120</f>
        <v>120</v>
      </c>
      <c r="AC205" s="99" t="str">
        <f t="shared" si="15"/>
        <v>－</v>
      </c>
      <c r="AD205" s="100">
        <f>1</f>
        <v>1</v>
      </c>
    </row>
    <row r="206" spans="1:30">
      <c r="A206" s="91" t="s">
        <v>46</v>
      </c>
      <c r="B206" s="92" t="s">
        <v>1525</v>
      </c>
      <c r="C206" s="92" t="s">
        <v>1526</v>
      </c>
      <c r="D206" s="92" t="s">
        <v>115</v>
      </c>
      <c r="E206" s="93" t="s">
        <v>1386</v>
      </c>
      <c r="F206" s="93" t="s">
        <v>1387</v>
      </c>
      <c r="G206" s="94">
        <v>22800</v>
      </c>
      <c r="H206" s="95" t="s">
        <v>181</v>
      </c>
      <c r="I206" s="96" t="s">
        <v>1357</v>
      </c>
      <c r="J206" s="95" t="s">
        <v>181</v>
      </c>
      <c r="K206" s="96" t="s">
        <v>1357</v>
      </c>
      <c r="L206" s="95" t="s">
        <v>1536</v>
      </c>
      <c r="M206" s="96" t="s">
        <v>1537</v>
      </c>
      <c r="N206" s="95" t="s">
        <v>181</v>
      </c>
      <c r="O206" s="96" t="s">
        <v>1357</v>
      </c>
      <c r="P206" s="95" t="s">
        <v>472</v>
      </c>
      <c r="Q206" s="96" t="s">
        <v>1394</v>
      </c>
      <c r="R206" s="95" t="s">
        <v>181</v>
      </c>
      <c r="S206" s="96" t="s">
        <v>1357</v>
      </c>
      <c r="T206" s="13">
        <f>33.17</f>
        <v>33.17</v>
      </c>
      <c r="U206" s="97">
        <f>230</f>
        <v>230</v>
      </c>
      <c r="V206" s="97">
        <v>220</v>
      </c>
      <c r="W206" s="97"/>
      <c r="X206" s="97">
        <f>200355000</f>
        <v>200355000</v>
      </c>
      <c r="Y206" s="97">
        <v>193515000</v>
      </c>
      <c r="Z206" s="98"/>
      <c r="AA206" s="95"/>
      <c r="AB206" s="99">
        <f>120</f>
        <v>120</v>
      </c>
      <c r="AC206" s="99" t="str">
        <f t="shared" si="15"/>
        <v>－</v>
      </c>
      <c r="AD206" s="100">
        <f>1</f>
        <v>1</v>
      </c>
    </row>
    <row r="207" spans="1:30">
      <c r="A207" s="91" t="s">
        <v>46</v>
      </c>
      <c r="B207" s="92" t="s">
        <v>1525</v>
      </c>
      <c r="C207" s="92" t="s">
        <v>1526</v>
      </c>
      <c r="D207" s="92" t="s">
        <v>634</v>
      </c>
      <c r="E207" s="93" t="s">
        <v>1514</v>
      </c>
      <c r="F207" s="93" t="s">
        <v>1391</v>
      </c>
      <c r="G207" s="94">
        <v>26400</v>
      </c>
      <c r="H207" s="95"/>
      <c r="I207" s="96" t="s">
        <v>261</v>
      </c>
      <c r="J207" s="95"/>
      <c r="K207" s="96" t="s">
        <v>261</v>
      </c>
      <c r="L207" s="95" t="s">
        <v>240</v>
      </c>
      <c r="M207" s="96" t="s">
        <v>1356</v>
      </c>
      <c r="N207" s="95"/>
      <c r="O207" s="96" t="s">
        <v>261</v>
      </c>
      <c r="P207" s="95" t="s">
        <v>472</v>
      </c>
      <c r="Q207" s="96" t="s">
        <v>1394</v>
      </c>
      <c r="R207" s="95"/>
      <c r="S207" s="96" t="s">
        <v>261</v>
      </c>
      <c r="T207" s="13">
        <f>26.17</f>
        <v>26.17</v>
      </c>
      <c r="U207" s="97">
        <f>50</f>
        <v>50</v>
      </c>
      <c r="V207" s="97">
        <v>50</v>
      </c>
      <c r="W207" s="97"/>
      <c r="X207" s="97">
        <f>48312000</f>
        <v>48312000</v>
      </c>
      <c r="Y207" s="97">
        <v>48312000</v>
      </c>
      <c r="Z207" s="98"/>
      <c r="AA207" s="95"/>
      <c r="AB207" s="99">
        <f>30</f>
        <v>30</v>
      </c>
      <c r="AC207" s="99" t="str">
        <f t="shared" si="15"/>
        <v>－</v>
      </c>
      <c r="AD207" s="100" t="str">
        <f t="shared" si="15"/>
        <v>－</v>
      </c>
    </row>
    <row r="208" spans="1:30">
      <c r="A208" s="91" t="s">
        <v>46</v>
      </c>
      <c r="B208" s="92" t="s">
        <v>1525</v>
      </c>
      <c r="C208" s="92" t="s">
        <v>1526</v>
      </c>
      <c r="D208" s="92" t="s">
        <v>128</v>
      </c>
      <c r="E208" s="93" t="s">
        <v>822</v>
      </c>
      <c r="F208" s="93" t="s">
        <v>1515</v>
      </c>
      <c r="G208" s="94">
        <v>24000</v>
      </c>
      <c r="H208" s="95"/>
      <c r="I208" s="96" t="s">
        <v>261</v>
      </c>
      <c r="J208" s="95"/>
      <c r="K208" s="96" t="s">
        <v>261</v>
      </c>
      <c r="L208" s="95"/>
      <c r="M208" s="96"/>
      <c r="N208" s="95"/>
      <c r="O208" s="96" t="s">
        <v>261</v>
      </c>
      <c r="P208" s="95"/>
      <c r="Q208" s="96"/>
      <c r="R208" s="95"/>
      <c r="S208" s="96" t="s">
        <v>261</v>
      </c>
      <c r="T208" s="13">
        <f>21.12</f>
        <v>21.12</v>
      </c>
      <c r="U208" s="97" t="str">
        <f t="shared" ref="U208:U229" si="16">"－"</f>
        <v>－</v>
      </c>
      <c r="V208" s="97"/>
      <c r="W208" s="97"/>
      <c r="X208" s="97" t="str">
        <f t="shared" ref="X208:X229" si="17">"－"</f>
        <v>－</v>
      </c>
      <c r="Y208" s="97"/>
      <c r="Z208" s="98"/>
      <c r="AA208" s="95"/>
      <c r="AB208" s="99" t="str">
        <f t="shared" ref="AB208:AB229" si="18">"－"</f>
        <v>－</v>
      </c>
      <c r="AC208" s="99" t="str">
        <f t="shared" si="15"/>
        <v>－</v>
      </c>
      <c r="AD208" s="100" t="str">
        <f t="shared" si="15"/>
        <v>－</v>
      </c>
    </row>
    <row r="209" spans="1:30">
      <c r="A209" s="91" t="s">
        <v>46</v>
      </c>
      <c r="B209" s="92" t="s">
        <v>1525</v>
      </c>
      <c r="C209" s="92" t="s">
        <v>1526</v>
      </c>
      <c r="D209" s="92" t="s">
        <v>641</v>
      </c>
      <c r="E209" s="93" t="s">
        <v>824</v>
      </c>
      <c r="F209" s="93" t="s">
        <v>1398</v>
      </c>
      <c r="G209" s="94">
        <v>21600</v>
      </c>
      <c r="H209" s="95"/>
      <c r="I209" s="96" t="s">
        <v>261</v>
      </c>
      <c r="J209" s="95"/>
      <c r="K209" s="96" t="s">
        <v>261</v>
      </c>
      <c r="L209" s="95"/>
      <c r="M209" s="96"/>
      <c r="N209" s="95"/>
      <c r="O209" s="96" t="s">
        <v>261</v>
      </c>
      <c r="P209" s="95"/>
      <c r="Q209" s="96"/>
      <c r="R209" s="95"/>
      <c r="S209" s="96" t="s">
        <v>261</v>
      </c>
      <c r="T209" s="13">
        <f>21.68</f>
        <v>21.68</v>
      </c>
      <c r="U209" s="97" t="str">
        <f t="shared" si="16"/>
        <v>－</v>
      </c>
      <c r="V209" s="97"/>
      <c r="W209" s="97"/>
      <c r="X209" s="97" t="str">
        <f t="shared" si="17"/>
        <v>－</v>
      </c>
      <c r="Y209" s="97"/>
      <c r="Z209" s="98"/>
      <c r="AA209" s="95"/>
      <c r="AB209" s="99" t="str">
        <f t="shared" si="18"/>
        <v>－</v>
      </c>
      <c r="AC209" s="99" t="str">
        <f t="shared" si="15"/>
        <v>－</v>
      </c>
      <c r="AD209" s="100" t="str">
        <f t="shared" si="15"/>
        <v>－</v>
      </c>
    </row>
    <row r="210" spans="1:30">
      <c r="A210" s="91" t="s">
        <v>46</v>
      </c>
      <c r="B210" s="92" t="s">
        <v>1525</v>
      </c>
      <c r="C210" s="92" t="s">
        <v>1526</v>
      </c>
      <c r="D210" s="92" t="s">
        <v>140</v>
      </c>
      <c r="E210" s="93" t="s">
        <v>825</v>
      </c>
      <c r="F210" s="93" t="s">
        <v>1400</v>
      </c>
      <c r="G210" s="94">
        <v>26400</v>
      </c>
      <c r="H210" s="95"/>
      <c r="I210" s="96" t="s">
        <v>261</v>
      </c>
      <c r="J210" s="95"/>
      <c r="K210" s="96" t="s">
        <v>261</v>
      </c>
      <c r="L210" s="95"/>
      <c r="M210" s="96"/>
      <c r="N210" s="95"/>
      <c r="O210" s="96" t="s">
        <v>261</v>
      </c>
      <c r="P210" s="95"/>
      <c r="Q210" s="96"/>
      <c r="R210" s="95"/>
      <c r="S210" s="96" t="s">
        <v>261</v>
      </c>
      <c r="T210" s="13">
        <f>23.61</f>
        <v>23.61</v>
      </c>
      <c r="U210" s="97" t="str">
        <f t="shared" si="16"/>
        <v>－</v>
      </c>
      <c r="V210" s="97"/>
      <c r="W210" s="97"/>
      <c r="X210" s="97" t="str">
        <f t="shared" si="17"/>
        <v>－</v>
      </c>
      <c r="Y210" s="97"/>
      <c r="Z210" s="98"/>
      <c r="AA210" s="95"/>
      <c r="AB210" s="99" t="str">
        <f t="shared" si="18"/>
        <v>－</v>
      </c>
      <c r="AC210" s="99" t="str">
        <f t="shared" si="15"/>
        <v>－</v>
      </c>
      <c r="AD210" s="100" t="str">
        <f t="shared" si="15"/>
        <v>－</v>
      </c>
    </row>
    <row r="211" spans="1:30">
      <c r="A211" s="91" t="s">
        <v>46</v>
      </c>
      <c r="B211" s="92" t="s">
        <v>1525</v>
      </c>
      <c r="C211" s="92" t="s">
        <v>1526</v>
      </c>
      <c r="D211" s="92" t="s">
        <v>783</v>
      </c>
      <c r="E211" s="93" t="s">
        <v>608</v>
      </c>
      <c r="F211" s="93" t="s">
        <v>1402</v>
      </c>
      <c r="G211" s="94">
        <v>24000</v>
      </c>
      <c r="H211" s="95"/>
      <c r="I211" s="96" t="s">
        <v>261</v>
      </c>
      <c r="J211" s="95"/>
      <c r="K211" s="96" t="s">
        <v>261</v>
      </c>
      <c r="L211" s="95"/>
      <c r="M211" s="96"/>
      <c r="N211" s="95"/>
      <c r="O211" s="96" t="s">
        <v>261</v>
      </c>
      <c r="P211" s="95"/>
      <c r="Q211" s="96"/>
      <c r="R211" s="95"/>
      <c r="S211" s="96" t="s">
        <v>261</v>
      </c>
      <c r="T211" s="13">
        <f>30.75</f>
        <v>30.75</v>
      </c>
      <c r="U211" s="97" t="str">
        <f t="shared" si="16"/>
        <v>－</v>
      </c>
      <c r="V211" s="97"/>
      <c r="W211" s="97"/>
      <c r="X211" s="97" t="str">
        <f t="shared" si="17"/>
        <v>－</v>
      </c>
      <c r="Y211" s="97"/>
      <c r="Z211" s="98"/>
      <c r="AA211" s="95"/>
      <c r="AB211" s="99" t="str">
        <f t="shared" si="18"/>
        <v>－</v>
      </c>
      <c r="AC211" s="99" t="str">
        <f t="shared" si="15"/>
        <v>－</v>
      </c>
      <c r="AD211" s="100" t="str">
        <f t="shared" si="15"/>
        <v>－</v>
      </c>
    </row>
    <row r="212" spans="1:30">
      <c r="A212" s="91" t="s">
        <v>46</v>
      </c>
      <c r="B212" s="92" t="s">
        <v>1525</v>
      </c>
      <c r="C212" s="92" t="s">
        <v>1526</v>
      </c>
      <c r="D212" s="92" t="s">
        <v>154</v>
      </c>
      <c r="E212" s="93" t="s">
        <v>608</v>
      </c>
      <c r="F212" s="93" t="s">
        <v>1404</v>
      </c>
      <c r="G212" s="94">
        <v>26400</v>
      </c>
      <c r="H212" s="95"/>
      <c r="I212" s="96" t="s">
        <v>261</v>
      </c>
      <c r="J212" s="95"/>
      <c r="K212" s="96" t="s">
        <v>261</v>
      </c>
      <c r="L212" s="95"/>
      <c r="M212" s="96"/>
      <c r="N212" s="95"/>
      <c r="O212" s="96" t="s">
        <v>261</v>
      </c>
      <c r="P212" s="95"/>
      <c r="Q212" s="96"/>
      <c r="R212" s="95"/>
      <c r="S212" s="96" t="s">
        <v>261</v>
      </c>
      <c r="T212" s="13">
        <f>34.09</f>
        <v>34.090000000000003</v>
      </c>
      <c r="U212" s="97" t="str">
        <f t="shared" si="16"/>
        <v>－</v>
      </c>
      <c r="V212" s="97"/>
      <c r="W212" s="97"/>
      <c r="X212" s="97" t="str">
        <f t="shared" si="17"/>
        <v>－</v>
      </c>
      <c r="Y212" s="97"/>
      <c r="Z212" s="98"/>
      <c r="AA212" s="95"/>
      <c r="AB212" s="99" t="str">
        <f t="shared" si="18"/>
        <v>－</v>
      </c>
      <c r="AC212" s="99" t="str">
        <f t="shared" si="15"/>
        <v>－</v>
      </c>
      <c r="AD212" s="100" t="str">
        <f t="shared" si="15"/>
        <v>－</v>
      </c>
    </row>
    <row r="213" spans="1:30">
      <c r="A213" s="91" t="s">
        <v>46</v>
      </c>
      <c r="B213" s="92" t="s">
        <v>1525</v>
      </c>
      <c r="C213" s="92" t="s">
        <v>1526</v>
      </c>
      <c r="D213" s="92" t="s">
        <v>795</v>
      </c>
      <c r="E213" s="93" t="s">
        <v>608</v>
      </c>
      <c r="F213" s="93" t="s">
        <v>1516</v>
      </c>
      <c r="G213" s="94">
        <v>24000</v>
      </c>
      <c r="H213" s="95"/>
      <c r="I213" s="96" t="s">
        <v>261</v>
      </c>
      <c r="J213" s="95"/>
      <c r="K213" s="96" t="s">
        <v>261</v>
      </c>
      <c r="L213" s="95"/>
      <c r="M213" s="96"/>
      <c r="N213" s="95"/>
      <c r="O213" s="96" t="s">
        <v>261</v>
      </c>
      <c r="P213" s="95"/>
      <c r="Q213" s="96"/>
      <c r="R213" s="95"/>
      <c r="S213" s="96" t="s">
        <v>261</v>
      </c>
      <c r="T213" s="13">
        <f>27.24</f>
        <v>27.24</v>
      </c>
      <c r="U213" s="97" t="str">
        <f t="shared" si="16"/>
        <v>－</v>
      </c>
      <c r="V213" s="97"/>
      <c r="W213" s="97"/>
      <c r="X213" s="97" t="str">
        <f t="shared" si="17"/>
        <v>－</v>
      </c>
      <c r="Y213" s="97"/>
      <c r="Z213" s="98"/>
      <c r="AA213" s="95"/>
      <c r="AB213" s="99" t="str">
        <f t="shared" si="18"/>
        <v>－</v>
      </c>
      <c r="AC213" s="99" t="str">
        <f t="shared" si="15"/>
        <v>－</v>
      </c>
      <c r="AD213" s="100" t="str">
        <f t="shared" si="15"/>
        <v>－</v>
      </c>
    </row>
    <row r="214" spans="1:30">
      <c r="A214" s="91" t="s">
        <v>46</v>
      </c>
      <c r="B214" s="92" t="s">
        <v>1525</v>
      </c>
      <c r="C214" s="92" t="s">
        <v>1526</v>
      </c>
      <c r="D214" s="92" t="s">
        <v>165</v>
      </c>
      <c r="E214" s="93" t="s">
        <v>608</v>
      </c>
      <c r="F214" s="93" t="s">
        <v>1407</v>
      </c>
      <c r="G214" s="94">
        <v>25200</v>
      </c>
      <c r="H214" s="95"/>
      <c r="I214" s="96" t="s">
        <v>261</v>
      </c>
      <c r="J214" s="95"/>
      <c r="K214" s="96" t="s">
        <v>261</v>
      </c>
      <c r="L214" s="95"/>
      <c r="M214" s="96"/>
      <c r="N214" s="95"/>
      <c r="O214" s="96" t="s">
        <v>261</v>
      </c>
      <c r="P214" s="95"/>
      <c r="Q214" s="96"/>
      <c r="R214" s="95"/>
      <c r="S214" s="96" t="s">
        <v>261</v>
      </c>
      <c r="T214" s="13">
        <f>23.35</f>
        <v>23.35</v>
      </c>
      <c r="U214" s="97" t="str">
        <f t="shared" si="16"/>
        <v>－</v>
      </c>
      <c r="V214" s="97"/>
      <c r="W214" s="97"/>
      <c r="X214" s="97" t="str">
        <f t="shared" si="17"/>
        <v>－</v>
      </c>
      <c r="Y214" s="97"/>
      <c r="Z214" s="98"/>
      <c r="AA214" s="95"/>
      <c r="AB214" s="99" t="str">
        <f t="shared" si="18"/>
        <v>－</v>
      </c>
      <c r="AC214" s="99" t="str">
        <f t="shared" si="15"/>
        <v>－</v>
      </c>
      <c r="AD214" s="100" t="str">
        <f t="shared" si="15"/>
        <v>－</v>
      </c>
    </row>
    <row r="215" spans="1:30">
      <c r="A215" s="91" t="s">
        <v>46</v>
      </c>
      <c r="B215" s="92" t="s">
        <v>1525</v>
      </c>
      <c r="C215" s="92" t="s">
        <v>1526</v>
      </c>
      <c r="D215" s="92" t="s">
        <v>809</v>
      </c>
      <c r="E215" s="93" t="s">
        <v>608</v>
      </c>
      <c r="F215" s="93" t="s">
        <v>1409</v>
      </c>
      <c r="G215" s="94">
        <v>24000</v>
      </c>
      <c r="H215" s="95"/>
      <c r="I215" s="96" t="s">
        <v>261</v>
      </c>
      <c r="J215" s="95"/>
      <c r="K215" s="96" t="s">
        <v>261</v>
      </c>
      <c r="L215" s="95"/>
      <c r="M215" s="96"/>
      <c r="N215" s="95"/>
      <c r="O215" s="96" t="s">
        <v>261</v>
      </c>
      <c r="P215" s="95"/>
      <c r="Q215" s="96"/>
      <c r="R215" s="95"/>
      <c r="S215" s="96" t="s">
        <v>261</v>
      </c>
      <c r="T215" s="13">
        <f>23.99</f>
        <v>23.99</v>
      </c>
      <c r="U215" s="97" t="str">
        <f t="shared" si="16"/>
        <v>－</v>
      </c>
      <c r="V215" s="97"/>
      <c r="W215" s="97"/>
      <c r="X215" s="97" t="str">
        <f t="shared" si="17"/>
        <v>－</v>
      </c>
      <c r="Y215" s="97"/>
      <c r="Z215" s="98"/>
      <c r="AA215" s="95"/>
      <c r="AB215" s="99" t="str">
        <f t="shared" si="18"/>
        <v>－</v>
      </c>
      <c r="AC215" s="99" t="str">
        <f t="shared" si="15"/>
        <v>－</v>
      </c>
      <c r="AD215" s="100" t="str">
        <f t="shared" si="15"/>
        <v>－</v>
      </c>
    </row>
    <row r="216" spans="1:30">
      <c r="A216" s="91" t="s">
        <v>46</v>
      </c>
      <c r="B216" s="92" t="s">
        <v>1525</v>
      </c>
      <c r="C216" s="92" t="s">
        <v>1526</v>
      </c>
      <c r="D216" s="92" t="s">
        <v>176</v>
      </c>
      <c r="E216" s="93" t="s">
        <v>608</v>
      </c>
      <c r="F216" s="93" t="s">
        <v>1517</v>
      </c>
      <c r="G216" s="94">
        <v>25200</v>
      </c>
      <c r="H216" s="95"/>
      <c r="I216" s="96" t="s">
        <v>261</v>
      </c>
      <c r="J216" s="95"/>
      <c r="K216" s="96" t="s">
        <v>261</v>
      </c>
      <c r="L216" s="95"/>
      <c r="M216" s="96"/>
      <c r="N216" s="95"/>
      <c r="O216" s="96" t="s">
        <v>261</v>
      </c>
      <c r="P216" s="95"/>
      <c r="Q216" s="96"/>
      <c r="R216" s="95"/>
      <c r="S216" s="96" t="s">
        <v>261</v>
      </c>
      <c r="T216" s="13">
        <f>28.1</f>
        <v>28.1</v>
      </c>
      <c r="U216" s="97" t="str">
        <f t="shared" si="16"/>
        <v>－</v>
      </c>
      <c r="V216" s="97"/>
      <c r="W216" s="97"/>
      <c r="X216" s="97" t="str">
        <f t="shared" si="17"/>
        <v>－</v>
      </c>
      <c r="Y216" s="97"/>
      <c r="Z216" s="98"/>
      <c r="AA216" s="95"/>
      <c r="AB216" s="99" t="str">
        <f t="shared" si="18"/>
        <v>－</v>
      </c>
      <c r="AC216" s="99" t="str">
        <f t="shared" si="15"/>
        <v>－</v>
      </c>
      <c r="AD216" s="100" t="str">
        <f t="shared" si="15"/>
        <v>－</v>
      </c>
    </row>
    <row r="217" spans="1:30">
      <c r="A217" s="91" t="s">
        <v>46</v>
      </c>
      <c r="B217" s="92" t="s">
        <v>1525</v>
      </c>
      <c r="C217" s="92" t="s">
        <v>1526</v>
      </c>
      <c r="D217" s="92" t="s">
        <v>987</v>
      </c>
      <c r="E217" s="93" t="s">
        <v>608</v>
      </c>
      <c r="F217" s="93" t="s">
        <v>1412</v>
      </c>
      <c r="G217" s="94">
        <v>22800</v>
      </c>
      <c r="H217" s="95"/>
      <c r="I217" s="96" t="s">
        <v>261</v>
      </c>
      <c r="J217" s="95"/>
      <c r="K217" s="96" t="s">
        <v>261</v>
      </c>
      <c r="L217" s="95"/>
      <c r="M217" s="96"/>
      <c r="N217" s="95"/>
      <c r="O217" s="96" t="s">
        <v>261</v>
      </c>
      <c r="P217" s="95"/>
      <c r="Q217" s="96"/>
      <c r="R217" s="95"/>
      <c r="S217" s="96" t="s">
        <v>261</v>
      </c>
      <c r="T217" s="13">
        <f>29.84</f>
        <v>29.84</v>
      </c>
      <c r="U217" s="97" t="str">
        <f t="shared" si="16"/>
        <v>－</v>
      </c>
      <c r="V217" s="97"/>
      <c r="W217" s="97"/>
      <c r="X217" s="97" t="str">
        <f t="shared" si="17"/>
        <v>－</v>
      </c>
      <c r="Y217" s="97"/>
      <c r="Z217" s="98"/>
      <c r="AA217" s="95"/>
      <c r="AB217" s="99" t="str">
        <f t="shared" si="18"/>
        <v>－</v>
      </c>
      <c r="AC217" s="99" t="str">
        <f t="shared" si="15"/>
        <v>－</v>
      </c>
      <c r="AD217" s="100" t="str">
        <f t="shared" si="15"/>
        <v>－</v>
      </c>
    </row>
    <row r="218" spans="1:30">
      <c r="A218" s="91" t="s">
        <v>46</v>
      </c>
      <c r="B218" s="92" t="s">
        <v>1525</v>
      </c>
      <c r="C218" s="92" t="s">
        <v>1526</v>
      </c>
      <c r="D218" s="92" t="s">
        <v>1308</v>
      </c>
      <c r="E218" s="93" t="s">
        <v>608</v>
      </c>
      <c r="F218" s="93" t="s">
        <v>1414</v>
      </c>
      <c r="G218" s="94">
        <v>22800</v>
      </c>
      <c r="H218" s="95"/>
      <c r="I218" s="96" t="s">
        <v>261</v>
      </c>
      <c r="J218" s="95"/>
      <c r="K218" s="96" t="s">
        <v>261</v>
      </c>
      <c r="L218" s="95"/>
      <c r="M218" s="96"/>
      <c r="N218" s="95"/>
      <c r="O218" s="96" t="s">
        <v>261</v>
      </c>
      <c r="P218" s="95"/>
      <c r="Q218" s="96"/>
      <c r="R218" s="95"/>
      <c r="S218" s="96" t="s">
        <v>261</v>
      </c>
      <c r="T218" s="13">
        <f>28.67</f>
        <v>28.67</v>
      </c>
      <c r="U218" s="97" t="str">
        <f t="shared" si="16"/>
        <v>－</v>
      </c>
      <c r="V218" s="97"/>
      <c r="W218" s="97"/>
      <c r="X218" s="97" t="str">
        <f t="shared" si="17"/>
        <v>－</v>
      </c>
      <c r="Y218" s="97"/>
      <c r="Z218" s="98"/>
      <c r="AA218" s="95"/>
      <c r="AB218" s="99" t="str">
        <f t="shared" si="18"/>
        <v>－</v>
      </c>
      <c r="AC218" s="99" t="str">
        <f t="shared" si="15"/>
        <v>－</v>
      </c>
      <c r="AD218" s="100" t="str">
        <f t="shared" si="15"/>
        <v>－</v>
      </c>
    </row>
    <row r="219" spans="1:30">
      <c r="A219" s="91" t="s">
        <v>46</v>
      </c>
      <c r="B219" s="92" t="s">
        <v>1525</v>
      </c>
      <c r="C219" s="92" t="s">
        <v>1526</v>
      </c>
      <c r="D219" s="92" t="s">
        <v>1416</v>
      </c>
      <c r="E219" s="93" t="s">
        <v>608</v>
      </c>
      <c r="F219" s="93" t="s">
        <v>1518</v>
      </c>
      <c r="G219" s="94">
        <v>24000</v>
      </c>
      <c r="H219" s="95"/>
      <c r="I219" s="96" t="s">
        <v>261</v>
      </c>
      <c r="J219" s="95"/>
      <c r="K219" s="96" t="s">
        <v>261</v>
      </c>
      <c r="L219" s="95"/>
      <c r="M219" s="96"/>
      <c r="N219" s="95"/>
      <c r="O219" s="96" t="s">
        <v>261</v>
      </c>
      <c r="P219" s="95"/>
      <c r="Q219" s="96"/>
      <c r="R219" s="95"/>
      <c r="S219" s="96" t="s">
        <v>261</v>
      </c>
      <c r="T219" s="13">
        <f>23.24</f>
        <v>23.24</v>
      </c>
      <c r="U219" s="97" t="str">
        <f t="shared" si="16"/>
        <v>－</v>
      </c>
      <c r="V219" s="97"/>
      <c r="W219" s="97"/>
      <c r="X219" s="97" t="str">
        <f t="shared" si="17"/>
        <v>－</v>
      </c>
      <c r="Y219" s="97"/>
      <c r="Z219" s="98"/>
      <c r="AA219" s="95"/>
      <c r="AB219" s="99" t="str">
        <f t="shared" si="18"/>
        <v>－</v>
      </c>
      <c r="AC219" s="99" t="str">
        <f t="shared" si="15"/>
        <v>－</v>
      </c>
      <c r="AD219" s="100" t="str">
        <f t="shared" si="15"/>
        <v>－</v>
      </c>
    </row>
    <row r="220" spans="1:30">
      <c r="A220" s="91" t="s">
        <v>46</v>
      </c>
      <c r="B220" s="92" t="s">
        <v>1525</v>
      </c>
      <c r="C220" s="92" t="s">
        <v>1526</v>
      </c>
      <c r="D220" s="92" t="s">
        <v>1418</v>
      </c>
      <c r="E220" s="93" t="s">
        <v>830</v>
      </c>
      <c r="F220" s="93" t="s">
        <v>1419</v>
      </c>
      <c r="G220" s="94">
        <v>25200</v>
      </c>
      <c r="H220" s="95"/>
      <c r="I220" s="96" t="s">
        <v>261</v>
      </c>
      <c r="J220" s="95"/>
      <c r="K220" s="96" t="s">
        <v>261</v>
      </c>
      <c r="L220" s="95"/>
      <c r="M220" s="96"/>
      <c r="N220" s="95"/>
      <c r="O220" s="96" t="s">
        <v>261</v>
      </c>
      <c r="P220" s="95"/>
      <c r="Q220" s="96"/>
      <c r="R220" s="95"/>
      <c r="S220" s="96" t="s">
        <v>261</v>
      </c>
      <c r="T220" s="13">
        <f>17.01</f>
        <v>17.010000000000002</v>
      </c>
      <c r="U220" s="97" t="str">
        <f t="shared" si="16"/>
        <v>－</v>
      </c>
      <c r="V220" s="97"/>
      <c r="W220" s="97"/>
      <c r="X220" s="97" t="str">
        <f t="shared" si="17"/>
        <v>－</v>
      </c>
      <c r="Y220" s="97"/>
      <c r="Z220" s="98"/>
      <c r="AA220" s="95"/>
      <c r="AB220" s="99" t="str">
        <f t="shared" si="18"/>
        <v>－</v>
      </c>
      <c r="AC220" s="99" t="str">
        <f t="shared" si="15"/>
        <v>－</v>
      </c>
      <c r="AD220" s="100" t="str">
        <f t="shared" si="15"/>
        <v>－</v>
      </c>
    </row>
    <row r="221" spans="1:30">
      <c r="A221" s="91" t="s">
        <v>46</v>
      </c>
      <c r="B221" s="92" t="s">
        <v>1525</v>
      </c>
      <c r="C221" s="92" t="s">
        <v>1526</v>
      </c>
      <c r="D221" s="92" t="s">
        <v>1420</v>
      </c>
      <c r="E221" s="93" t="s">
        <v>835</v>
      </c>
      <c r="F221" s="93" t="s">
        <v>1421</v>
      </c>
      <c r="G221" s="94">
        <v>22800</v>
      </c>
      <c r="H221" s="95"/>
      <c r="I221" s="96" t="s">
        <v>261</v>
      </c>
      <c r="J221" s="95"/>
      <c r="K221" s="96" t="s">
        <v>261</v>
      </c>
      <c r="L221" s="95"/>
      <c r="M221" s="96"/>
      <c r="N221" s="95"/>
      <c r="O221" s="96" t="s">
        <v>261</v>
      </c>
      <c r="P221" s="95"/>
      <c r="Q221" s="96"/>
      <c r="R221" s="95"/>
      <c r="S221" s="96" t="s">
        <v>261</v>
      </c>
      <c r="T221" s="13">
        <f>16.84</f>
        <v>16.84</v>
      </c>
      <c r="U221" s="97" t="str">
        <f t="shared" si="16"/>
        <v>－</v>
      </c>
      <c r="V221" s="97"/>
      <c r="W221" s="97"/>
      <c r="X221" s="97" t="str">
        <f t="shared" si="17"/>
        <v>－</v>
      </c>
      <c r="Y221" s="97"/>
      <c r="Z221" s="98"/>
      <c r="AA221" s="95"/>
      <c r="AB221" s="99" t="str">
        <f t="shared" si="18"/>
        <v>－</v>
      </c>
      <c r="AC221" s="99" t="str">
        <f t="shared" si="15"/>
        <v>－</v>
      </c>
      <c r="AD221" s="100" t="str">
        <f t="shared" si="15"/>
        <v>－</v>
      </c>
    </row>
    <row r="222" spans="1:30">
      <c r="A222" s="91" t="s">
        <v>46</v>
      </c>
      <c r="B222" s="92" t="s">
        <v>1525</v>
      </c>
      <c r="C222" s="92" t="s">
        <v>1526</v>
      </c>
      <c r="D222" s="92" t="s">
        <v>1422</v>
      </c>
      <c r="E222" s="93" t="s">
        <v>840</v>
      </c>
      <c r="F222" s="93" t="s">
        <v>1519</v>
      </c>
      <c r="G222" s="94">
        <v>24000</v>
      </c>
      <c r="H222" s="95"/>
      <c r="I222" s="96" t="s">
        <v>261</v>
      </c>
      <c r="J222" s="95"/>
      <c r="K222" s="96" t="s">
        <v>261</v>
      </c>
      <c r="L222" s="95"/>
      <c r="M222" s="96"/>
      <c r="N222" s="95"/>
      <c r="O222" s="96" t="s">
        <v>261</v>
      </c>
      <c r="P222" s="95"/>
      <c r="Q222" s="96"/>
      <c r="R222" s="95"/>
      <c r="S222" s="96" t="s">
        <v>261</v>
      </c>
      <c r="T222" s="13">
        <f>16.85</f>
        <v>16.850000000000001</v>
      </c>
      <c r="U222" s="97" t="str">
        <f t="shared" si="16"/>
        <v>－</v>
      </c>
      <c r="V222" s="97"/>
      <c r="W222" s="97"/>
      <c r="X222" s="97" t="str">
        <f t="shared" si="17"/>
        <v>－</v>
      </c>
      <c r="Y222" s="97"/>
      <c r="Z222" s="98"/>
      <c r="AA222" s="95"/>
      <c r="AB222" s="99" t="str">
        <f t="shared" si="18"/>
        <v>－</v>
      </c>
      <c r="AC222" s="99" t="str">
        <f t="shared" si="15"/>
        <v>－</v>
      </c>
      <c r="AD222" s="100" t="str">
        <f t="shared" si="15"/>
        <v>－</v>
      </c>
    </row>
    <row r="223" spans="1:30">
      <c r="A223" s="91" t="s">
        <v>46</v>
      </c>
      <c r="B223" s="92" t="s">
        <v>1525</v>
      </c>
      <c r="C223" s="92" t="s">
        <v>1526</v>
      </c>
      <c r="D223" s="92" t="s">
        <v>1424</v>
      </c>
      <c r="E223" s="93" t="s">
        <v>844</v>
      </c>
      <c r="F223" s="93" t="s">
        <v>1425</v>
      </c>
      <c r="G223" s="94">
        <v>26400</v>
      </c>
      <c r="H223" s="95"/>
      <c r="I223" s="96" t="s">
        <v>261</v>
      </c>
      <c r="J223" s="95"/>
      <c r="K223" s="96" t="s">
        <v>261</v>
      </c>
      <c r="L223" s="95"/>
      <c r="M223" s="96"/>
      <c r="N223" s="95"/>
      <c r="O223" s="96" t="s">
        <v>261</v>
      </c>
      <c r="P223" s="95"/>
      <c r="Q223" s="96"/>
      <c r="R223" s="95"/>
      <c r="S223" s="96" t="s">
        <v>261</v>
      </c>
      <c r="T223" s="13">
        <f>23.03</f>
        <v>23.03</v>
      </c>
      <c r="U223" s="97" t="str">
        <f t="shared" si="16"/>
        <v>－</v>
      </c>
      <c r="V223" s="97"/>
      <c r="W223" s="97"/>
      <c r="X223" s="97" t="str">
        <f t="shared" si="17"/>
        <v>－</v>
      </c>
      <c r="Y223" s="97"/>
      <c r="Z223" s="98"/>
      <c r="AA223" s="95"/>
      <c r="AB223" s="99" t="str">
        <f t="shared" si="18"/>
        <v>－</v>
      </c>
      <c r="AC223" s="99" t="str">
        <f t="shared" si="15"/>
        <v>－</v>
      </c>
      <c r="AD223" s="100" t="str">
        <f t="shared" si="15"/>
        <v>－</v>
      </c>
    </row>
    <row r="224" spans="1:30">
      <c r="A224" s="91" t="s">
        <v>46</v>
      </c>
      <c r="B224" s="92" t="s">
        <v>1525</v>
      </c>
      <c r="C224" s="92" t="s">
        <v>1526</v>
      </c>
      <c r="D224" s="92" t="s">
        <v>1426</v>
      </c>
      <c r="E224" s="93" t="s">
        <v>849</v>
      </c>
      <c r="F224" s="93" t="s">
        <v>1520</v>
      </c>
      <c r="G224" s="94">
        <v>25200</v>
      </c>
      <c r="H224" s="95"/>
      <c r="I224" s="96" t="s">
        <v>261</v>
      </c>
      <c r="J224" s="95"/>
      <c r="K224" s="96" t="s">
        <v>261</v>
      </c>
      <c r="L224" s="95"/>
      <c r="M224" s="96"/>
      <c r="N224" s="95"/>
      <c r="O224" s="96" t="s">
        <v>261</v>
      </c>
      <c r="P224" s="95"/>
      <c r="Q224" s="96"/>
      <c r="R224" s="95"/>
      <c r="S224" s="96" t="s">
        <v>261</v>
      </c>
      <c r="T224" s="13">
        <f>25.02</f>
        <v>25.02</v>
      </c>
      <c r="U224" s="97" t="str">
        <f t="shared" si="16"/>
        <v>－</v>
      </c>
      <c r="V224" s="97"/>
      <c r="W224" s="97"/>
      <c r="X224" s="97" t="str">
        <f t="shared" si="17"/>
        <v>－</v>
      </c>
      <c r="Y224" s="97"/>
      <c r="Z224" s="98"/>
      <c r="AA224" s="95"/>
      <c r="AB224" s="99" t="str">
        <f t="shared" si="18"/>
        <v>－</v>
      </c>
      <c r="AC224" s="99" t="str">
        <f t="shared" si="15"/>
        <v>－</v>
      </c>
      <c r="AD224" s="100" t="str">
        <f t="shared" si="15"/>
        <v>－</v>
      </c>
    </row>
    <row r="225" spans="1:30">
      <c r="A225" s="91" t="s">
        <v>46</v>
      </c>
      <c r="B225" s="92" t="s">
        <v>1525</v>
      </c>
      <c r="C225" s="92" t="s">
        <v>1526</v>
      </c>
      <c r="D225" s="92" t="s">
        <v>1428</v>
      </c>
      <c r="E225" s="93" t="s">
        <v>855</v>
      </c>
      <c r="F225" s="93" t="s">
        <v>1429</v>
      </c>
      <c r="G225" s="94">
        <v>22800</v>
      </c>
      <c r="H225" s="95"/>
      <c r="I225" s="96" t="s">
        <v>261</v>
      </c>
      <c r="J225" s="95"/>
      <c r="K225" s="96" t="s">
        <v>261</v>
      </c>
      <c r="L225" s="95"/>
      <c r="M225" s="96"/>
      <c r="N225" s="95"/>
      <c r="O225" s="96" t="s">
        <v>261</v>
      </c>
      <c r="P225" s="95"/>
      <c r="Q225" s="96"/>
      <c r="R225" s="95"/>
      <c r="S225" s="96" t="s">
        <v>261</v>
      </c>
      <c r="T225" s="13">
        <f>19.02</f>
        <v>19.02</v>
      </c>
      <c r="U225" s="97" t="str">
        <f t="shared" si="16"/>
        <v>－</v>
      </c>
      <c r="V225" s="97"/>
      <c r="W225" s="97"/>
      <c r="X225" s="97" t="str">
        <f t="shared" si="17"/>
        <v>－</v>
      </c>
      <c r="Y225" s="97"/>
      <c r="Z225" s="98"/>
      <c r="AA225" s="95"/>
      <c r="AB225" s="99" t="str">
        <f t="shared" si="18"/>
        <v>－</v>
      </c>
      <c r="AC225" s="99" t="str">
        <f t="shared" si="15"/>
        <v>－</v>
      </c>
      <c r="AD225" s="100" t="str">
        <f t="shared" si="15"/>
        <v>－</v>
      </c>
    </row>
    <row r="226" spans="1:30">
      <c r="A226" s="91" t="s">
        <v>46</v>
      </c>
      <c r="B226" s="92" t="s">
        <v>1525</v>
      </c>
      <c r="C226" s="92" t="s">
        <v>1526</v>
      </c>
      <c r="D226" s="92" t="s">
        <v>1430</v>
      </c>
      <c r="E226" s="93" t="s">
        <v>861</v>
      </c>
      <c r="F226" s="93" t="s">
        <v>1431</v>
      </c>
      <c r="G226" s="94">
        <v>26400</v>
      </c>
      <c r="H226" s="95"/>
      <c r="I226" s="96" t="s">
        <v>261</v>
      </c>
      <c r="J226" s="95"/>
      <c r="K226" s="96" t="s">
        <v>261</v>
      </c>
      <c r="L226" s="95"/>
      <c r="M226" s="96"/>
      <c r="N226" s="95"/>
      <c r="O226" s="96" t="s">
        <v>261</v>
      </c>
      <c r="P226" s="95"/>
      <c r="Q226" s="96"/>
      <c r="R226" s="95"/>
      <c r="S226" s="96" t="s">
        <v>261</v>
      </c>
      <c r="T226" s="13">
        <f>15.41</f>
        <v>15.41</v>
      </c>
      <c r="U226" s="97" t="str">
        <f t="shared" si="16"/>
        <v>－</v>
      </c>
      <c r="V226" s="97"/>
      <c r="W226" s="97"/>
      <c r="X226" s="97" t="str">
        <f t="shared" si="17"/>
        <v>－</v>
      </c>
      <c r="Y226" s="97"/>
      <c r="Z226" s="98"/>
      <c r="AA226" s="95"/>
      <c r="AB226" s="99" t="str">
        <f t="shared" si="18"/>
        <v>－</v>
      </c>
      <c r="AC226" s="99" t="str">
        <f t="shared" si="15"/>
        <v>－</v>
      </c>
      <c r="AD226" s="100" t="str">
        <f t="shared" si="15"/>
        <v>－</v>
      </c>
    </row>
    <row r="227" spans="1:30">
      <c r="A227" s="91" t="s">
        <v>46</v>
      </c>
      <c r="B227" s="92" t="s">
        <v>1525</v>
      </c>
      <c r="C227" s="92" t="s">
        <v>1526</v>
      </c>
      <c r="D227" s="92" t="s">
        <v>1432</v>
      </c>
      <c r="E227" s="93" t="s">
        <v>865</v>
      </c>
      <c r="F227" s="93" t="s">
        <v>1521</v>
      </c>
      <c r="G227" s="94">
        <v>24000</v>
      </c>
      <c r="H227" s="95"/>
      <c r="I227" s="96" t="s">
        <v>261</v>
      </c>
      <c r="J227" s="95"/>
      <c r="K227" s="96" t="s">
        <v>261</v>
      </c>
      <c r="L227" s="95"/>
      <c r="M227" s="96"/>
      <c r="N227" s="95"/>
      <c r="O227" s="96" t="s">
        <v>261</v>
      </c>
      <c r="P227" s="95"/>
      <c r="Q227" s="96"/>
      <c r="R227" s="95"/>
      <c r="S227" s="96" t="s">
        <v>261</v>
      </c>
      <c r="T227" s="13">
        <f>15.45</f>
        <v>15.45</v>
      </c>
      <c r="U227" s="97" t="str">
        <f t="shared" si="16"/>
        <v>－</v>
      </c>
      <c r="V227" s="97"/>
      <c r="W227" s="97"/>
      <c r="X227" s="97" t="str">
        <f t="shared" si="17"/>
        <v>－</v>
      </c>
      <c r="Y227" s="97"/>
      <c r="Z227" s="98"/>
      <c r="AA227" s="95"/>
      <c r="AB227" s="99" t="str">
        <f t="shared" si="18"/>
        <v>－</v>
      </c>
      <c r="AC227" s="99" t="str">
        <f t="shared" si="15"/>
        <v>－</v>
      </c>
      <c r="AD227" s="100" t="str">
        <f t="shared" si="15"/>
        <v>－</v>
      </c>
    </row>
    <row r="228" spans="1:30">
      <c r="A228" s="91" t="s">
        <v>46</v>
      </c>
      <c r="B228" s="92" t="s">
        <v>1525</v>
      </c>
      <c r="C228" s="92" t="s">
        <v>1526</v>
      </c>
      <c r="D228" s="92" t="s">
        <v>1522</v>
      </c>
      <c r="E228" s="93" t="s">
        <v>1523</v>
      </c>
      <c r="F228" s="93" t="s">
        <v>1524</v>
      </c>
      <c r="G228" s="94">
        <v>24000</v>
      </c>
      <c r="H228" s="95"/>
      <c r="I228" s="96" t="s">
        <v>261</v>
      </c>
      <c r="J228" s="95"/>
      <c r="K228" s="96" t="s">
        <v>261</v>
      </c>
      <c r="L228" s="95"/>
      <c r="M228" s="96"/>
      <c r="N228" s="95"/>
      <c r="O228" s="96" t="s">
        <v>261</v>
      </c>
      <c r="P228" s="95"/>
      <c r="Q228" s="96"/>
      <c r="R228" s="95"/>
      <c r="S228" s="96" t="s">
        <v>261</v>
      </c>
      <c r="T228" s="13">
        <f>18.28</f>
        <v>18.28</v>
      </c>
      <c r="U228" s="97" t="str">
        <f t="shared" si="16"/>
        <v>－</v>
      </c>
      <c r="V228" s="97"/>
      <c r="W228" s="97"/>
      <c r="X228" s="97" t="str">
        <f t="shared" si="17"/>
        <v>－</v>
      </c>
      <c r="Y228" s="97"/>
      <c r="Z228" s="98"/>
      <c r="AA228" s="95"/>
      <c r="AB228" s="99" t="str">
        <f t="shared" si="18"/>
        <v>－</v>
      </c>
      <c r="AC228" s="99" t="str">
        <f t="shared" si="15"/>
        <v>－</v>
      </c>
      <c r="AD228" s="100" t="str">
        <f t="shared" si="15"/>
        <v>－</v>
      </c>
    </row>
    <row r="229" spans="1:30">
      <c r="A229" s="91" t="s">
        <v>46</v>
      </c>
      <c r="B229" s="92" t="s">
        <v>1538</v>
      </c>
      <c r="C229" s="92" t="s">
        <v>1539</v>
      </c>
      <c r="D229" s="92" t="s">
        <v>561</v>
      </c>
      <c r="E229" s="93" t="s">
        <v>608</v>
      </c>
      <c r="F229" s="93" t="s">
        <v>907</v>
      </c>
      <c r="G229" s="94">
        <v>1000</v>
      </c>
      <c r="H229" s="95"/>
      <c r="I229" s="96" t="s">
        <v>261</v>
      </c>
      <c r="J229" s="95"/>
      <c r="K229" s="96" t="s">
        <v>261</v>
      </c>
      <c r="L229" s="95"/>
      <c r="M229" s="96"/>
      <c r="N229" s="95"/>
      <c r="O229" s="96" t="s">
        <v>261</v>
      </c>
      <c r="P229" s="95"/>
      <c r="Q229" s="96"/>
      <c r="R229" s="95"/>
      <c r="S229" s="96" t="s">
        <v>261</v>
      </c>
      <c r="T229" s="13">
        <f>4103.35</f>
        <v>4103.3500000000004</v>
      </c>
      <c r="U229" s="97" t="str">
        <f t="shared" si="16"/>
        <v>－</v>
      </c>
      <c r="V229" s="97"/>
      <c r="W229" s="97"/>
      <c r="X229" s="97" t="str">
        <f t="shared" si="17"/>
        <v>－</v>
      </c>
      <c r="Y229" s="97"/>
      <c r="Z229" s="98"/>
      <c r="AA229" s="95" t="s">
        <v>60</v>
      </c>
      <c r="AB229" s="99" t="str">
        <f t="shared" si="18"/>
        <v>－</v>
      </c>
      <c r="AC229" s="99" t="str">
        <f t="shared" si="15"/>
        <v>－</v>
      </c>
      <c r="AD229" s="100" t="str">
        <f t="shared" si="15"/>
        <v>－</v>
      </c>
    </row>
    <row r="230" spans="1:30">
      <c r="A230" s="91" t="s">
        <v>46</v>
      </c>
      <c r="B230" s="92" t="s">
        <v>1538</v>
      </c>
      <c r="C230" s="92" t="s">
        <v>1539</v>
      </c>
      <c r="D230" s="92" t="s">
        <v>74</v>
      </c>
      <c r="E230" s="93" t="s">
        <v>608</v>
      </c>
      <c r="F230" s="93" t="s">
        <v>1540</v>
      </c>
      <c r="G230" s="94">
        <v>1000</v>
      </c>
      <c r="H230" s="95" t="s">
        <v>67</v>
      </c>
      <c r="I230" s="96" t="s">
        <v>1541</v>
      </c>
      <c r="J230" s="95" t="s">
        <v>67</v>
      </c>
      <c r="K230" s="96" t="s">
        <v>1541</v>
      </c>
      <c r="L230" s="95" t="s">
        <v>403</v>
      </c>
      <c r="M230" s="96" t="s">
        <v>1542</v>
      </c>
      <c r="N230" s="95" t="s">
        <v>1543</v>
      </c>
      <c r="O230" s="96" t="s">
        <v>1544</v>
      </c>
      <c r="P230" s="95" t="s">
        <v>403</v>
      </c>
      <c r="Q230" s="96" t="s">
        <v>1542</v>
      </c>
      <c r="R230" s="95" t="s">
        <v>1543</v>
      </c>
      <c r="S230" s="96" t="s">
        <v>1544</v>
      </c>
      <c r="T230" s="13">
        <f>3547.93</f>
        <v>3547.93</v>
      </c>
      <c r="U230" s="97">
        <f>3</f>
        <v>3</v>
      </c>
      <c r="V230" s="97">
        <v>1</v>
      </c>
      <c r="W230" s="97"/>
      <c r="X230" s="97">
        <f>11900000</f>
        <v>11900000</v>
      </c>
      <c r="Y230" s="97">
        <v>3550000</v>
      </c>
      <c r="Z230" s="98"/>
      <c r="AA230" s="95" t="s">
        <v>60</v>
      </c>
      <c r="AB230" s="99">
        <f>1</f>
        <v>1</v>
      </c>
      <c r="AC230" s="99" t="str">
        <f t="shared" si="15"/>
        <v>－</v>
      </c>
      <c r="AD230" s="100">
        <f>2</f>
        <v>2</v>
      </c>
    </row>
    <row r="231" spans="1:30">
      <c r="A231" s="91" t="s">
        <v>46</v>
      </c>
      <c r="B231" s="92" t="s">
        <v>1538</v>
      </c>
      <c r="C231" s="92" t="s">
        <v>1539</v>
      </c>
      <c r="D231" s="92" t="s">
        <v>576</v>
      </c>
      <c r="E231" s="93" t="s">
        <v>608</v>
      </c>
      <c r="F231" s="93" t="s">
        <v>914</v>
      </c>
      <c r="G231" s="94">
        <v>1000</v>
      </c>
      <c r="H231" s="95"/>
      <c r="I231" s="96" t="s">
        <v>261</v>
      </c>
      <c r="J231" s="95"/>
      <c r="K231" s="96" t="s">
        <v>261</v>
      </c>
      <c r="L231" s="95"/>
      <c r="M231" s="96"/>
      <c r="N231" s="95"/>
      <c r="O231" s="96" t="s">
        <v>261</v>
      </c>
      <c r="P231" s="95"/>
      <c r="Q231" s="96"/>
      <c r="R231" s="95"/>
      <c r="S231" s="96" t="s">
        <v>261</v>
      </c>
      <c r="T231" s="13">
        <f>3183.78</f>
        <v>3183.78</v>
      </c>
      <c r="U231" s="97" t="str">
        <f>"－"</f>
        <v>－</v>
      </c>
      <c r="V231" s="97"/>
      <c r="W231" s="97"/>
      <c r="X231" s="97" t="str">
        <f>"－"</f>
        <v>－</v>
      </c>
      <c r="Y231" s="97"/>
      <c r="Z231" s="98"/>
      <c r="AA231" s="95" t="s">
        <v>60</v>
      </c>
      <c r="AB231" s="99" t="str">
        <f>"－"</f>
        <v>－</v>
      </c>
      <c r="AC231" s="99" t="str">
        <f t="shared" si="15"/>
        <v>－</v>
      </c>
      <c r="AD231" s="100" t="str">
        <f>"－"</f>
        <v>－</v>
      </c>
    </row>
    <row r="232" spans="1:30">
      <c r="A232" s="91" t="s">
        <v>46</v>
      </c>
      <c r="B232" s="92" t="s">
        <v>1538</v>
      </c>
      <c r="C232" s="92" t="s">
        <v>1539</v>
      </c>
      <c r="D232" s="92" t="s">
        <v>81</v>
      </c>
      <c r="E232" s="93" t="s">
        <v>608</v>
      </c>
      <c r="F232" s="93" t="s">
        <v>1545</v>
      </c>
      <c r="G232" s="94">
        <v>1000</v>
      </c>
      <c r="H232" s="95"/>
      <c r="I232" s="96" t="s">
        <v>261</v>
      </c>
      <c r="J232" s="95"/>
      <c r="K232" s="96" t="s">
        <v>261</v>
      </c>
      <c r="L232" s="95"/>
      <c r="M232" s="96"/>
      <c r="N232" s="95"/>
      <c r="O232" s="96" t="s">
        <v>261</v>
      </c>
      <c r="P232" s="95"/>
      <c r="Q232" s="96"/>
      <c r="R232" s="95"/>
      <c r="S232" s="96" t="s">
        <v>261</v>
      </c>
      <c r="T232" s="13">
        <f>3796.94</f>
        <v>3796.94</v>
      </c>
      <c r="U232" s="97" t="str">
        <f>"－"</f>
        <v>－</v>
      </c>
      <c r="V232" s="97"/>
      <c r="W232" s="97"/>
      <c r="X232" s="97" t="str">
        <f>"－"</f>
        <v>－</v>
      </c>
      <c r="Y232" s="97"/>
      <c r="Z232" s="98"/>
      <c r="AA232" s="95" t="s">
        <v>60</v>
      </c>
      <c r="AB232" s="99" t="str">
        <f>"－"</f>
        <v>－</v>
      </c>
      <c r="AC232" s="99" t="str">
        <f t="shared" si="15"/>
        <v>－</v>
      </c>
      <c r="AD232" s="100" t="str">
        <f>"－"</f>
        <v>－</v>
      </c>
    </row>
    <row r="233" spans="1:30">
      <c r="A233" s="91" t="s">
        <v>46</v>
      </c>
      <c r="B233" s="92" t="s">
        <v>1538</v>
      </c>
      <c r="C233" s="92" t="s">
        <v>1539</v>
      </c>
      <c r="D233" s="92" t="s">
        <v>596</v>
      </c>
      <c r="E233" s="93" t="s">
        <v>608</v>
      </c>
      <c r="F233" s="93" t="s">
        <v>924</v>
      </c>
      <c r="G233" s="94">
        <v>1000</v>
      </c>
      <c r="H233" s="95"/>
      <c r="I233" s="96" t="s">
        <v>261</v>
      </c>
      <c r="J233" s="95"/>
      <c r="K233" s="96" t="s">
        <v>261</v>
      </c>
      <c r="L233" s="95"/>
      <c r="M233" s="96"/>
      <c r="N233" s="95"/>
      <c r="O233" s="96" t="s">
        <v>261</v>
      </c>
      <c r="P233" s="95"/>
      <c r="Q233" s="96"/>
      <c r="R233" s="95"/>
      <c r="S233" s="96" t="s">
        <v>261</v>
      </c>
      <c r="T233" s="13">
        <f>4307.41</f>
        <v>4307.41</v>
      </c>
      <c r="U233" s="97" t="str">
        <f>"－"</f>
        <v>－</v>
      </c>
      <c r="V233" s="97"/>
      <c r="W233" s="97"/>
      <c r="X233" s="97" t="str">
        <f>"－"</f>
        <v>－</v>
      </c>
      <c r="Y233" s="97"/>
      <c r="Z233" s="98"/>
      <c r="AA233" s="95" t="s">
        <v>60</v>
      </c>
      <c r="AB233" s="99" t="str">
        <f>"－"</f>
        <v>－</v>
      </c>
      <c r="AC233" s="99" t="str">
        <f t="shared" si="15"/>
        <v>－</v>
      </c>
      <c r="AD233" s="100" t="str">
        <f>"－"</f>
        <v>－</v>
      </c>
    </row>
    <row r="234" spans="1:30">
      <c r="A234" s="91" t="s">
        <v>46</v>
      </c>
      <c r="B234" s="92" t="s">
        <v>1538</v>
      </c>
      <c r="C234" s="92" t="s">
        <v>1539</v>
      </c>
      <c r="D234" s="92" t="s">
        <v>93</v>
      </c>
      <c r="E234" s="93" t="s">
        <v>608</v>
      </c>
      <c r="F234" s="93" t="s">
        <v>1546</v>
      </c>
      <c r="G234" s="94">
        <v>1000</v>
      </c>
      <c r="H234" s="95" t="s">
        <v>1290</v>
      </c>
      <c r="I234" s="96" t="s">
        <v>1547</v>
      </c>
      <c r="J234" s="95" t="s">
        <v>1290</v>
      </c>
      <c r="K234" s="96" t="s">
        <v>1547</v>
      </c>
      <c r="L234" s="95"/>
      <c r="M234" s="96"/>
      <c r="N234" s="95" t="s">
        <v>1290</v>
      </c>
      <c r="O234" s="96" t="s">
        <v>1547</v>
      </c>
      <c r="P234" s="95"/>
      <c r="Q234" s="96"/>
      <c r="R234" s="95" t="s">
        <v>1290</v>
      </c>
      <c r="S234" s="96" t="s">
        <v>1547</v>
      </c>
      <c r="T234" s="13">
        <f>5104.42</f>
        <v>5104.42</v>
      </c>
      <c r="U234" s="97">
        <f>1</f>
        <v>1</v>
      </c>
      <c r="V234" s="97"/>
      <c r="W234" s="97"/>
      <c r="X234" s="97">
        <f>6300000</f>
        <v>6300000</v>
      </c>
      <c r="Y234" s="97"/>
      <c r="Z234" s="98"/>
      <c r="AA234" s="95" t="s">
        <v>60</v>
      </c>
      <c r="AB234" s="99">
        <f>1</f>
        <v>1</v>
      </c>
      <c r="AC234" s="99" t="str">
        <f t="shared" si="15"/>
        <v>－</v>
      </c>
      <c r="AD234" s="100">
        <f>1</f>
        <v>1</v>
      </c>
    </row>
    <row r="235" spans="1:30">
      <c r="A235" s="91" t="s">
        <v>46</v>
      </c>
      <c r="B235" s="92" t="s">
        <v>1538</v>
      </c>
      <c r="C235" s="92" t="s">
        <v>1539</v>
      </c>
      <c r="D235" s="92" t="s">
        <v>614</v>
      </c>
      <c r="E235" s="93" t="s">
        <v>608</v>
      </c>
      <c r="F235" s="93" t="s">
        <v>932</v>
      </c>
      <c r="G235" s="94">
        <v>1000</v>
      </c>
      <c r="H235" s="95"/>
      <c r="I235" s="96" t="s">
        <v>261</v>
      </c>
      <c r="J235" s="95"/>
      <c r="K235" s="96" t="s">
        <v>261</v>
      </c>
      <c r="L235" s="95"/>
      <c r="M235" s="96"/>
      <c r="N235" s="95"/>
      <c r="O235" s="96" t="s">
        <v>261</v>
      </c>
      <c r="P235" s="95"/>
      <c r="Q235" s="96"/>
      <c r="R235" s="95"/>
      <c r="S235" s="96" t="s">
        <v>261</v>
      </c>
      <c r="T235" s="13">
        <f>5270.08</f>
        <v>5270.08</v>
      </c>
      <c r="U235" s="97" t="str">
        <f t="shared" ref="U235:U252" si="19">"－"</f>
        <v>－</v>
      </c>
      <c r="V235" s="97"/>
      <c r="W235" s="97"/>
      <c r="X235" s="97" t="str">
        <f t="shared" ref="X235:X252" si="20">"－"</f>
        <v>－</v>
      </c>
      <c r="Y235" s="97"/>
      <c r="Z235" s="98"/>
      <c r="AA235" s="95" t="s">
        <v>60</v>
      </c>
      <c r="AB235" s="99" t="str">
        <f t="shared" ref="AB235:AB252" si="21">"－"</f>
        <v>－</v>
      </c>
      <c r="AC235" s="99" t="str">
        <f t="shared" si="15"/>
        <v>－</v>
      </c>
      <c r="AD235" s="100" t="str">
        <f t="shared" si="15"/>
        <v>－</v>
      </c>
    </row>
    <row r="236" spans="1:30">
      <c r="A236" s="91" t="s">
        <v>46</v>
      </c>
      <c r="B236" s="92" t="s">
        <v>1538</v>
      </c>
      <c r="C236" s="92" t="s">
        <v>1539</v>
      </c>
      <c r="D236" s="92" t="s">
        <v>105</v>
      </c>
      <c r="E236" s="93" t="s">
        <v>608</v>
      </c>
      <c r="F236" s="93" t="s">
        <v>1548</v>
      </c>
      <c r="G236" s="94">
        <v>1000</v>
      </c>
      <c r="H236" s="95"/>
      <c r="I236" s="96" t="s">
        <v>261</v>
      </c>
      <c r="J236" s="95"/>
      <c r="K236" s="96" t="s">
        <v>261</v>
      </c>
      <c r="L236" s="95"/>
      <c r="M236" s="96"/>
      <c r="N236" s="95"/>
      <c r="O236" s="96" t="s">
        <v>261</v>
      </c>
      <c r="P236" s="95"/>
      <c r="Q236" s="96"/>
      <c r="R236" s="95"/>
      <c r="S236" s="96" t="s">
        <v>261</v>
      </c>
      <c r="T236" s="13">
        <f>5371.33</f>
        <v>5371.33</v>
      </c>
      <c r="U236" s="97" t="str">
        <f t="shared" si="19"/>
        <v>－</v>
      </c>
      <c r="V236" s="97"/>
      <c r="W236" s="97"/>
      <c r="X236" s="97" t="str">
        <f t="shared" si="20"/>
        <v>－</v>
      </c>
      <c r="Y236" s="97"/>
      <c r="Z236" s="98"/>
      <c r="AA236" s="95" t="s">
        <v>60</v>
      </c>
      <c r="AB236" s="99" t="str">
        <f t="shared" si="21"/>
        <v>－</v>
      </c>
      <c r="AC236" s="99" t="str">
        <f t="shared" si="15"/>
        <v>－</v>
      </c>
      <c r="AD236" s="100" t="str">
        <f t="shared" si="15"/>
        <v>－</v>
      </c>
    </row>
    <row r="237" spans="1:30">
      <c r="A237" s="91" t="s">
        <v>46</v>
      </c>
      <c r="B237" s="92" t="s">
        <v>1538</v>
      </c>
      <c r="C237" s="92" t="s">
        <v>1539</v>
      </c>
      <c r="D237" s="92" t="s">
        <v>624</v>
      </c>
      <c r="E237" s="93" t="s">
        <v>608</v>
      </c>
      <c r="F237" s="93" t="s">
        <v>942</v>
      </c>
      <c r="G237" s="94">
        <v>1000</v>
      </c>
      <c r="H237" s="95"/>
      <c r="I237" s="96" t="s">
        <v>261</v>
      </c>
      <c r="J237" s="95"/>
      <c r="K237" s="96" t="s">
        <v>261</v>
      </c>
      <c r="L237" s="95"/>
      <c r="M237" s="96"/>
      <c r="N237" s="95"/>
      <c r="O237" s="96" t="s">
        <v>261</v>
      </c>
      <c r="P237" s="95"/>
      <c r="Q237" s="96"/>
      <c r="R237" s="95"/>
      <c r="S237" s="96" t="s">
        <v>261</v>
      </c>
      <c r="T237" s="13">
        <f>5416.49</f>
        <v>5416.49</v>
      </c>
      <c r="U237" s="97" t="str">
        <f t="shared" si="19"/>
        <v>－</v>
      </c>
      <c r="V237" s="97"/>
      <c r="W237" s="97"/>
      <c r="X237" s="97" t="str">
        <f t="shared" si="20"/>
        <v>－</v>
      </c>
      <c r="Y237" s="97"/>
      <c r="Z237" s="98"/>
      <c r="AA237" s="95" t="s">
        <v>60</v>
      </c>
      <c r="AB237" s="99" t="str">
        <f t="shared" si="21"/>
        <v>－</v>
      </c>
      <c r="AC237" s="99" t="str">
        <f t="shared" si="15"/>
        <v>－</v>
      </c>
      <c r="AD237" s="100" t="str">
        <f t="shared" si="15"/>
        <v>－</v>
      </c>
    </row>
    <row r="238" spans="1:30">
      <c r="A238" s="91" t="s">
        <v>46</v>
      </c>
      <c r="B238" s="92" t="s">
        <v>1538</v>
      </c>
      <c r="C238" s="92" t="s">
        <v>1539</v>
      </c>
      <c r="D238" s="92" t="s">
        <v>115</v>
      </c>
      <c r="E238" s="93" t="s">
        <v>608</v>
      </c>
      <c r="F238" s="93" t="s">
        <v>1549</v>
      </c>
      <c r="G238" s="94">
        <v>1000</v>
      </c>
      <c r="H238" s="95"/>
      <c r="I238" s="96" t="s">
        <v>261</v>
      </c>
      <c r="J238" s="95"/>
      <c r="K238" s="96" t="s">
        <v>261</v>
      </c>
      <c r="L238" s="95"/>
      <c r="M238" s="96"/>
      <c r="N238" s="95"/>
      <c r="O238" s="96" t="s">
        <v>261</v>
      </c>
      <c r="P238" s="95"/>
      <c r="Q238" s="96"/>
      <c r="R238" s="95"/>
      <c r="S238" s="96" t="s">
        <v>261</v>
      </c>
      <c r="T238" s="13">
        <f>5222.56</f>
        <v>5222.5600000000004</v>
      </c>
      <c r="U238" s="97" t="str">
        <f t="shared" si="19"/>
        <v>－</v>
      </c>
      <c r="V238" s="97"/>
      <c r="W238" s="97"/>
      <c r="X238" s="97" t="str">
        <f t="shared" si="20"/>
        <v>－</v>
      </c>
      <c r="Y238" s="97"/>
      <c r="Z238" s="98"/>
      <c r="AA238" s="95"/>
      <c r="AB238" s="99" t="str">
        <f t="shared" si="21"/>
        <v>－</v>
      </c>
      <c r="AC238" s="99" t="str">
        <f t="shared" si="15"/>
        <v>－</v>
      </c>
      <c r="AD238" s="100" t="str">
        <f t="shared" si="15"/>
        <v>－</v>
      </c>
    </row>
    <row r="239" spans="1:30">
      <c r="A239" s="91" t="s">
        <v>46</v>
      </c>
      <c r="B239" s="92" t="s">
        <v>1538</v>
      </c>
      <c r="C239" s="92" t="s">
        <v>1539</v>
      </c>
      <c r="D239" s="92" t="s">
        <v>634</v>
      </c>
      <c r="E239" s="93" t="s">
        <v>608</v>
      </c>
      <c r="F239" s="93" t="s">
        <v>951</v>
      </c>
      <c r="G239" s="94">
        <v>1000</v>
      </c>
      <c r="H239" s="95"/>
      <c r="I239" s="96" t="s">
        <v>261</v>
      </c>
      <c r="J239" s="95"/>
      <c r="K239" s="96" t="s">
        <v>261</v>
      </c>
      <c r="L239" s="95"/>
      <c r="M239" s="96"/>
      <c r="N239" s="95"/>
      <c r="O239" s="96" t="s">
        <v>261</v>
      </c>
      <c r="P239" s="95"/>
      <c r="Q239" s="96"/>
      <c r="R239" s="95"/>
      <c r="S239" s="96" t="s">
        <v>261</v>
      </c>
      <c r="T239" s="13">
        <f>4707.63</f>
        <v>4707.63</v>
      </c>
      <c r="U239" s="97" t="str">
        <f t="shared" si="19"/>
        <v>－</v>
      </c>
      <c r="V239" s="97"/>
      <c r="W239" s="97"/>
      <c r="X239" s="97" t="str">
        <f t="shared" si="20"/>
        <v>－</v>
      </c>
      <c r="Y239" s="97"/>
      <c r="Z239" s="98"/>
      <c r="AA239" s="95"/>
      <c r="AB239" s="99" t="str">
        <f t="shared" si="21"/>
        <v>－</v>
      </c>
      <c r="AC239" s="99" t="str">
        <f t="shared" si="15"/>
        <v>－</v>
      </c>
      <c r="AD239" s="100" t="str">
        <f t="shared" si="15"/>
        <v>－</v>
      </c>
    </row>
    <row r="240" spans="1:30">
      <c r="A240" s="91" t="s">
        <v>46</v>
      </c>
      <c r="B240" s="92" t="s">
        <v>1538</v>
      </c>
      <c r="C240" s="92" t="s">
        <v>1539</v>
      </c>
      <c r="D240" s="92" t="s">
        <v>128</v>
      </c>
      <c r="E240" s="93" t="s">
        <v>608</v>
      </c>
      <c r="F240" s="93" t="s">
        <v>1550</v>
      </c>
      <c r="G240" s="94">
        <v>1000</v>
      </c>
      <c r="H240" s="95"/>
      <c r="I240" s="96" t="s">
        <v>261</v>
      </c>
      <c r="J240" s="95"/>
      <c r="K240" s="96" t="s">
        <v>261</v>
      </c>
      <c r="L240" s="95"/>
      <c r="M240" s="96"/>
      <c r="N240" s="95"/>
      <c r="O240" s="96" t="s">
        <v>261</v>
      </c>
      <c r="P240" s="95"/>
      <c r="Q240" s="96"/>
      <c r="R240" s="95"/>
      <c r="S240" s="96" t="s">
        <v>261</v>
      </c>
      <c r="T240" s="13">
        <f>4567.6</f>
        <v>4567.6000000000004</v>
      </c>
      <c r="U240" s="97" t="str">
        <f t="shared" si="19"/>
        <v>－</v>
      </c>
      <c r="V240" s="97"/>
      <c r="W240" s="97"/>
      <c r="X240" s="97" t="str">
        <f t="shared" si="20"/>
        <v>－</v>
      </c>
      <c r="Y240" s="97"/>
      <c r="Z240" s="98"/>
      <c r="AA240" s="95"/>
      <c r="AB240" s="99" t="str">
        <f t="shared" si="21"/>
        <v>－</v>
      </c>
      <c r="AC240" s="99" t="str">
        <f t="shared" si="15"/>
        <v>－</v>
      </c>
      <c r="AD240" s="100" t="str">
        <f t="shared" si="15"/>
        <v>－</v>
      </c>
    </row>
    <row r="241" spans="1:30">
      <c r="A241" s="91" t="s">
        <v>46</v>
      </c>
      <c r="B241" s="92" t="s">
        <v>1538</v>
      </c>
      <c r="C241" s="92" t="s">
        <v>1539</v>
      </c>
      <c r="D241" s="92" t="s">
        <v>641</v>
      </c>
      <c r="E241" s="93" t="s">
        <v>608</v>
      </c>
      <c r="F241" s="93" t="s">
        <v>960</v>
      </c>
      <c r="G241" s="94">
        <v>1000</v>
      </c>
      <c r="H241" s="95"/>
      <c r="I241" s="96" t="s">
        <v>261</v>
      </c>
      <c r="J241" s="95"/>
      <c r="K241" s="96" t="s">
        <v>261</v>
      </c>
      <c r="L241" s="95"/>
      <c r="M241" s="96"/>
      <c r="N241" s="95"/>
      <c r="O241" s="96" t="s">
        <v>261</v>
      </c>
      <c r="P241" s="95"/>
      <c r="Q241" s="96"/>
      <c r="R241" s="95"/>
      <c r="S241" s="96" t="s">
        <v>261</v>
      </c>
      <c r="T241" s="13">
        <f>4441.28</f>
        <v>4441.28</v>
      </c>
      <c r="U241" s="97" t="str">
        <f t="shared" si="19"/>
        <v>－</v>
      </c>
      <c r="V241" s="97"/>
      <c r="W241" s="97"/>
      <c r="X241" s="97" t="str">
        <f t="shared" si="20"/>
        <v>－</v>
      </c>
      <c r="Y241" s="97"/>
      <c r="Z241" s="98"/>
      <c r="AA241" s="95"/>
      <c r="AB241" s="99" t="str">
        <f t="shared" si="21"/>
        <v>－</v>
      </c>
      <c r="AC241" s="99" t="str">
        <f t="shared" si="15"/>
        <v>－</v>
      </c>
      <c r="AD241" s="100" t="str">
        <f t="shared" si="15"/>
        <v>－</v>
      </c>
    </row>
    <row r="242" spans="1:30">
      <c r="A242" s="91" t="s">
        <v>46</v>
      </c>
      <c r="B242" s="92" t="s">
        <v>1538</v>
      </c>
      <c r="C242" s="92" t="s">
        <v>1539</v>
      </c>
      <c r="D242" s="92" t="s">
        <v>140</v>
      </c>
      <c r="E242" s="93" t="s">
        <v>608</v>
      </c>
      <c r="F242" s="93" t="s">
        <v>1551</v>
      </c>
      <c r="G242" s="94">
        <v>1000</v>
      </c>
      <c r="H242" s="95"/>
      <c r="I242" s="96" t="s">
        <v>261</v>
      </c>
      <c r="J242" s="95"/>
      <c r="K242" s="96" t="s">
        <v>261</v>
      </c>
      <c r="L242" s="95"/>
      <c r="M242" s="96"/>
      <c r="N242" s="95"/>
      <c r="O242" s="96" t="s">
        <v>261</v>
      </c>
      <c r="P242" s="95"/>
      <c r="Q242" s="96"/>
      <c r="R242" s="95"/>
      <c r="S242" s="96" t="s">
        <v>261</v>
      </c>
      <c r="T242" s="13">
        <f>4476.63</f>
        <v>4476.63</v>
      </c>
      <c r="U242" s="97" t="str">
        <f t="shared" si="19"/>
        <v>－</v>
      </c>
      <c r="V242" s="97"/>
      <c r="W242" s="97"/>
      <c r="X242" s="97" t="str">
        <f t="shared" si="20"/>
        <v>－</v>
      </c>
      <c r="Y242" s="97"/>
      <c r="Z242" s="98"/>
      <c r="AA242" s="95"/>
      <c r="AB242" s="99" t="str">
        <f t="shared" si="21"/>
        <v>－</v>
      </c>
      <c r="AC242" s="99" t="str">
        <f t="shared" si="15"/>
        <v>－</v>
      </c>
      <c r="AD242" s="100" t="str">
        <f t="shared" si="15"/>
        <v>－</v>
      </c>
    </row>
    <row r="243" spans="1:30">
      <c r="A243" s="91" t="s">
        <v>46</v>
      </c>
      <c r="B243" s="92" t="s">
        <v>1538</v>
      </c>
      <c r="C243" s="92" t="s">
        <v>1539</v>
      </c>
      <c r="D243" s="92" t="s">
        <v>783</v>
      </c>
      <c r="E243" s="93" t="s">
        <v>608</v>
      </c>
      <c r="F243" s="93" t="s">
        <v>968</v>
      </c>
      <c r="G243" s="94">
        <v>1000</v>
      </c>
      <c r="H243" s="95"/>
      <c r="I243" s="96" t="s">
        <v>261</v>
      </c>
      <c r="J243" s="95"/>
      <c r="K243" s="96" t="s">
        <v>261</v>
      </c>
      <c r="L243" s="95"/>
      <c r="M243" s="96"/>
      <c r="N243" s="95"/>
      <c r="O243" s="96" t="s">
        <v>261</v>
      </c>
      <c r="P243" s="95"/>
      <c r="Q243" s="96"/>
      <c r="R243" s="95"/>
      <c r="S243" s="96" t="s">
        <v>261</v>
      </c>
      <c r="T243" s="13">
        <f>4521.38</f>
        <v>4521.38</v>
      </c>
      <c r="U243" s="97" t="str">
        <f t="shared" si="19"/>
        <v>－</v>
      </c>
      <c r="V243" s="97"/>
      <c r="W243" s="97"/>
      <c r="X243" s="97" t="str">
        <f t="shared" si="20"/>
        <v>－</v>
      </c>
      <c r="Y243" s="97"/>
      <c r="Z243" s="98"/>
      <c r="AA243" s="95"/>
      <c r="AB243" s="99" t="str">
        <f t="shared" si="21"/>
        <v>－</v>
      </c>
      <c r="AC243" s="99" t="str">
        <f t="shared" si="15"/>
        <v>－</v>
      </c>
      <c r="AD243" s="100" t="str">
        <f t="shared" si="15"/>
        <v>－</v>
      </c>
    </row>
    <row r="244" spans="1:30">
      <c r="A244" s="91" t="s">
        <v>46</v>
      </c>
      <c r="B244" s="92" t="s">
        <v>1538</v>
      </c>
      <c r="C244" s="92" t="s">
        <v>1539</v>
      </c>
      <c r="D244" s="92" t="s">
        <v>154</v>
      </c>
      <c r="E244" s="93" t="s">
        <v>959</v>
      </c>
      <c r="F244" s="93" t="s">
        <v>1552</v>
      </c>
      <c r="G244" s="94">
        <v>1000</v>
      </c>
      <c r="H244" s="95"/>
      <c r="I244" s="96" t="s">
        <v>261</v>
      </c>
      <c r="J244" s="95"/>
      <c r="K244" s="96" t="s">
        <v>261</v>
      </c>
      <c r="L244" s="95"/>
      <c r="M244" s="96"/>
      <c r="N244" s="95"/>
      <c r="O244" s="96" t="s">
        <v>261</v>
      </c>
      <c r="P244" s="95"/>
      <c r="Q244" s="96"/>
      <c r="R244" s="95"/>
      <c r="S244" s="96" t="s">
        <v>261</v>
      </c>
      <c r="T244" s="13">
        <f>4663.61</f>
        <v>4663.6099999999997</v>
      </c>
      <c r="U244" s="97" t="str">
        <f t="shared" si="19"/>
        <v>－</v>
      </c>
      <c r="V244" s="97"/>
      <c r="W244" s="97"/>
      <c r="X244" s="97" t="str">
        <f t="shared" si="20"/>
        <v>－</v>
      </c>
      <c r="Y244" s="97"/>
      <c r="Z244" s="98"/>
      <c r="AA244" s="95"/>
      <c r="AB244" s="99" t="str">
        <f t="shared" si="21"/>
        <v>－</v>
      </c>
      <c r="AC244" s="99" t="str">
        <f t="shared" si="15"/>
        <v>－</v>
      </c>
      <c r="AD244" s="100" t="str">
        <f t="shared" si="15"/>
        <v>－</v>
      </c>
    </row>
    <row r="245" spans="1:30">
      <c r="A245" s="91" t="s">
        <v>46</v>
      </c>
      <c r="B245" s="92" t="s">
        <v>1538</v>
      </c>
      <c r="C245" s="92" t="s">
        <v>1539</v>
      </c>
      <c r="D245" s="92" t="s">
        <v>795</v>
      </c>
      <c r="E245" s="93" t="s">
        <v>1553</v>
      </c>
      <c r="F245" s="93" t="s">
        <v>976</v>
      </c>
      <c r="G245" s="94">
        <v>1000</v>
      </c>
      <c r="H245" s="95"/>
      <c r="I245" s="96" t="s">
        <v>261</v>
      </c>
      <c r="J245" s="95"/>
      <c r="K245" s="96" t="s">
        <v>261</v>
      </c>
      <c r="L245" s="95"/>
      <c r="M245" s="96"/>
      <c r="N245" s="95"/>
      <c r="O245" s="96" t="s">
        <v>261</v>
      </c>
      <c r="P245" s="95"/>
      <c r="Q245" s="96"/>
      <c r="R245" s="95"/>
      <c r="S245" s="96" t="s">
        <v>261</v>
      </c>
      <c r="T245" s="13">
        <f>4879.01</f>
        <v>4879.01</v>
      </c>
      <c r="U245" s="97" t="str">
        <f t="shared" si="19"/>
        <v>－</v>
      </c>
      <c r="V245" s="97"/>
      <c r="W245" s="97"/>
      <c r="X245" s="97" t="str">
        <f t="shared" si="20"/>
        <v>－</v>
      </c>
      <c r="Y245" s="97"/>
      <c r="Z245" s="98"/>
      <c r="AA245" s="95"/>
      <c r="AB245" s="99" t="str">
        <f t="shared" si="21"/>
        <v>－</v>
      </c>
      <c r="AC245" s="99" t="str">
        <f t="shared" si="15"/>
        <v>－</v>
      </c>
      <c r="AD245" s="100" t="str">
        <f t="shared" si="15"/>
        <v>－</v>
      </c>
    </row>
    <row r="246" spans="1:30">
      <c r="A246" s="91" t="s">
        <v>46</v>
      </c>
      <c r="B246" s="92" t="s">
        <v>1538</v>
      </c>
      <c r="C246" s="92" t="s">
        <v>1539</v>
      </c>
      <c r="D246" s="92" t="s">
        <v>165</v>
      </c>
      <c r="E246" s="93" t="s">
        <v>967</v>
      </c>
      <c r="F246" s="93" t="s">
        <v>1554</v>
      </c>
      <c r="G246" s="94">
        <v>1000</v>
      </c>
      <c r="H246" s="95"/>
      <c r="I246" s="96" t="s">
        <v>261</v>
      </c>
      <c r="J246" s="95"/>
      <c r="K246" s="96" t="s">
        <v>261</v>
      </c>
      <c r="L246" s="95"/>
      <c r="M246" s="96"/>
      <c r="N246" s="95"/>
      <c r="O246" s="96" t="s">
        <v>261</v>
      </c>
      <c r="P246" s="95"/>
      <c r="Q246" s="96"/>
      <c r="R246" s="95"/>
      <c r="S246" s="96" t="s">
        <v>261</v>
      </c>
      <c r="T246" s="13">
        <f>5185.63</f>
        <v>5185.63</v>
      </c>
      <c r="U246" s="97" t="str">
        <f t="shared" si="19"/>
        <v>－</v>
      </c>
      <c r="V246" s="97"/>
      <c r="W246" s="97"/>
      <c r="X246" s="97" t="str">
        <f t="shared" si="20"/>
        <v>－</v>
      </c>
      <c r="Y246" s="97"/>
      <c r="Z246" s="98"/>
      <c r="AA246" s="95"/>
      <c r="AB246" s="99" t="str">
        <f t="shared" si="21"/>
        <v>－</v>
      </c>
      <c r="AC246" s="99" t="str">
        <f t="shared" si="15"/>
        <v>－</v>
      </c>
      <c r="AD246" s="100" t="str">
        <f t="shared" si="15"/>
        <v>－</v>
      </c>
    </row>
    <row r="247" spans="1:30">
      <c r="A247" s="91" t="s">
        <v>46</v>
      </c>
      <c r="B247" s="92" t="s">
        <v>1538</v>
      </c>
      <c r="C247" s="92" t="s">
        <v>1539</v>
      </c>
      <c r="D247" s="92" t="s">
        <v>809</v>
      </c>
      <c r="E247" s="93" t="s">
        <v>1555</v>
      </c>
      <c r="F247" s="93" t="s">
        <v>983</v>
      </c>
      <c r="G247" s="94">
        <v>1000</v>
      </c>
      <c r="H247" s="95"/>
      <c r="I247" s="96" t="s">
        <v>261</v>
      </c>
      <c r="J247" s="95"/>
      <c r="K247" s="96" t="s">
        <v>261</v>
      </c>
      <c r="L247" s="95"/>
      <c r="M247" s="96"/>
      <c r="N247" s="95"/>
      <c r="O247" s="96" t="s">
        <v>261</v>
      </c>
      <c r="P247" s="95"/>
      <c r="Q247" s="96"/>
      <c r="R247" s="95"/>
      <c r="S247" s="96" t="s">
        <v>261</v>
      </c>
      <c r="T247" s="13">
        <f>5551.8</f>
        <v>5551.8</v>
      </c>
      <c r="U247" s="97" t="str">
        <f t="shared" si="19"/>
        <v>－</v>
      </c>
      <c r="V247" s="97"/>
      <c r="W247" s="97"/>
      <c r="X247" s="97" t="str">
        <f t="shared" si="20"/>
        <v>－</v>
      </c>
      <c r="Y247" s="97"/>
      <c r="Z247" s="98"/>
      <c r="AA247" s="95"/>
      <c r="AB247" s="99" t="str">
        <f t="shared" si="21"/>
        <v>－</v>
      </c>
      <c r="AC247" s="99" t="str">
        <f t="shared" si="15"/>
        <v>－</v>
      </c>
      <c r="AD247" s="100" t="str">
        <f t="shared" si="15"/>
        <v>－</v>
      </c>
    </row>
    <row r="248" spans="1:30">
      <c r="A248" s="91" t="s">
        <v>46</v>
      </c>
      <c r="B248" s="92" t="s">
        <v>1538</v>
      </c>
      <c r="C248" s="92" t="s">
        <v>1539</v>
      </c>
      <c r="D248" s="92" t="s">
        <v>176</v>
      </c>
      <c r="E248" s="93" t="s">
        <v>975</v>
      </c>
      <c r="F248" s="93" t="s">
        <v>1556</v>
      </c>
      <c r="G248" s="94">
        <v>1000</v>
      </c>
      <c r="H248" s="95"/>
      <c r="I248" s="96" t="s">
        <v>261</v>
      </c>
      <c r="J248" s="95"/>
      <c r="K248" s="96" t="s">
        <v>261</v>
      </c>
      <c r="L248" s="95"/>
      <c r="M248" s="96"/>
      <c r="N248" s="95"/>
      <c r="O248" s="96" t="s">
        <v>261</v>
      </c>
      <c r="P248" s="95"/>
      <c r="Q248" s="96"/>
      <c r="R248" s="95"/>
      <c r="S248" s="96" t="s">
        <v>261</v>
      </c>
      <c r="T248" s="13">
        <f>5670.07</f>
        <v>5670.07</v>
      </c>
      <c r="U248" s="97" t="str">
        <f t="shared" si="19"/>
        <v>－</v>
      </c>
      <c r="V248" s="97"/>
      <c r="W248" s="97"/>
      <c r="X248" s="97" t="str">
        <f t="shared" si="20"/>
        <v>－</v>
      </c>
      <c r="Y248" s="97"/>
      <c r="Z248" s="98"/>
      <c r="AA248" s="95"/>
      <c r="AB248" s="99" t="str">
        <f t="shared" si="21"/>
        <v>－</v>
      </c>
      <c r="AC248" s="99" t="str">
        <f t="shared" si="15"/>
        <v>－</v>
      </c>
      <c r="AD248" s="100" t="str">
        <f t="shared" si="15"/>
        <v>－</v>
      </c>
    </row>
    <row r="249" spans="1:30">
      <c r="A249" s="91" t="s">
        <v>46</v>
      </c>
      <c r="B249" s="92" t="s">
        <v>1538</v>
      </c>
      <c r="C249" s="92" t="s">
        <v>1539</v>
      </c>
      <c r="D249" s="92" t="s">
        <v>987</v>
      </c>
      <c r="E249" s="93" t="s">
        <v>1557</v>
      </c>
      <c r="F249" s="93" t="s">
        <v>989</v>
      </c>
      <c r="G249" s="94">
        <v>1000</v>
      </c>
      <c r="H249" s="95"/>
      <c r="I249" s="96" t="s">
        <v>261</v>
      </c>
      <c r="J249" s="95"/>
      <c r="K249" s="96" t="s">
        <v>261</v>
      </c>
      <c r="L249" s="95"/>
      <c r="M249" s="96"/>
      <c r="N249" s="95"/>
      <c r="O249" s="96" t="s">
        <v>261</v>
      </c>
      <c r="P249" s="95"/>
      <c r="Q249" s="96"/>
      <c r="R249" s="95"/>
      <c r="S249" s="96" t="s">
        <v>261</v>
      </c>
      <c r="T249" s="13">
        <f>5156.04</f>
        <v>5156.04</v>
      </c>
      <c r="U249" s="97" t="str">
        <f t="shared" si="19"/>
        <v>－</v>
      </c>
      <c r="V249" s="97"/>
      <c r="W249" s="97"/>
      <c r="X249" s="97" t="str">
        <f t="shared" si="20"/>
        <v>－</v>
      </c>
      <c r="Y249" s="97"/>
      <c r="Z249" s="98"/>
      <c r="AA249" s="95"/>
      <c r="AB249" s="99" t="str">
        <f t="shared" si="21"/>
        <v>－</v>
      </c>
      <c r="AC249" s="99" t="str">
        <f t="shared" si="15"/>
        <v>－</v>
      </c>
      <c r="AD249" s="100" t="str">
        <f t="shared" si="15"/>
        <v>－</v>
      </c>
    </row>
    <row r="250" spans="1:30">
      <c r="A250" s="91" t="s">
        <v>46</v>
      </c>
      <c r="B250" s="92" t="s">
        <v>1538</v>
      </c>
      <c r="C250" s="92" t="s">
        <v>1539</v>
      </c>
      <c r="D250" s="92" t="s">
        <v>1308</v>
      </c>
      <c r="E250" s="93" t="s">
        <v>982</v>
      </c>
      <c r="F250" s="93" t="s">
        <v>1558</v>
      </c>
      <c r="G250" s="94">
        <v>1000</v>
      </c>
      <c r="H250" s="95"/>
      <c r="I250" s="96" t="s">
        <v>261</v>
      </c>
      <c r="J250" s="95"/>
      <c r="K250" s="96" t="s">
        <v>261</v>
      </c>
      <c r="L250" s="95"/>
      <c r="M250" s="96"/>
      <c r="N250" s="95"/>
      <c r="O250" s="96" t="s">
        <v>261</v>
      </c>
      <c r="P250" s="95"/>
      <c r="Q250" s="96"/>
      <c r="R250" s="95"/>
      <c r="S250" s="96" t="s">
        <v>261</v>
      </c>
      <c r="T250" s="13">
        <f>4509.12</f>
        <v>4509.12</v>
      </c>
      <c r="U250" s="97" t="str">
        <f t="shared" si="19"/>
        <v>－</v>
      </c>
      <c r="V250" s="97"/>
      <c r="W250" s="97"/>
      <c r="X250" s="97" t="str">
        <f t="shared" si="20"/>
        <v>－</v>
      </c>
      <c r="Y250" s="97"/>
      <c r="Z250" s="98"/>
      <c r="AA250" s="95"/>
      <c r="AB250" s="99" t="str">
        <f t="shared" si="21"/>
        <v>－</v>
      </c>
      <c r="AC250" s="99" t="str">
        <f t="shared" si="15"/>
        <v>－</v>
      </c>
      <c r="AD250" s="100" t="str">
        <f t="shared" si="15"/>
        <v>－</v>
      </c>
    </row>
    <row r="251" spans="1:30">
      <c r="A251" s="91" t="s">
        <v>46</v>
      </c>
      <c r="B251" s="92" t="s">
        <v>1538</v>
      </c>
      <c r="C251" s="92" t="s">
        <v>1539</v>
      </c>
      <c r="D251" s="92" t="s">
        <v>1416</v>
      </c>
      <c r="E251" s="93" t="s">
        <v>1559</v>
      </c>
      <c r="F251" s="93" t="s">
        <v>1560</v>
      </c>
      <c r="G251" s="94">
        <v>1000</v>
      </c>
      <c r="H251" s="95"/>
      <c r="I251" s="96" t="s">
        <v>261</v>
      </c>
      <c r="J251" s="95"/>
      <c r="K251" s="96" t="s">
        <v>261</v>
      </c>
      <c r="L251" s="95"/>
      <c r="M251" s="96"/>
      <c r="N251" s="95"/>
      <c r="O251" s="96" t="s">
        <v>261</v>
      </c>
      <c r="P251" s="95"/>
      <c r="Q251" s="96"/>
      <c r="R251" s="95"/>
      <c r="S251" s="96" t="s">
        <v>261</v>
      </c>
      <c r="T251" s="13">
        <f>3572.12</f>
        <v>3572.12</v>
      </c>
      <c r="U251" s="97" t="str">
        <f t="shared" si="19"/>
        <v>－</v>
      </c>
      <c r="V251" s="97"/>
      <c r="W251" s="97"/>
      <c r="X251" s="97" t="str">
        <f t="shared" si="20"/>
        <v>－</v>
      </c>
      <c r="Y251" s="97"/>
      <c r="Z251" s="98"/>
      <c r="AA251" s="95"/>
      <c r="AB251" s="99" t="str">
        <f t="shared" si="21"/>
        <v>－</v>
      </c>
      <c r="AC251" s="99" t="str">
        <f t="shared" si="15"/>
        <v>－</v>
      </c>
      <c r="AD251" s="100" t="str">
        <f t="shared" si="15"/>
        <v>－</v>
      </c>
    </row>
    <row r="252" spans="1:30">
      <c r="A252" s="91" t="s">
        <v>46</v>
      </c>
      <c r="B252" s="92" t="s">
        <v>1538</v>
      </c>
      <c r="C252" s="92" t="s">
        <v>1539</v>
      </c>
      <c r="D252" s="92" t="s">
        <v>1418</v>
      </c>
      <c r="E252" s="93" t="s">
        <v>988</v>
      </c>
      <c r="F252" s="93" t="s">
        <v>1561</v>
      </c>
      <c r="G252" s="94">
        <v>1000</v>
      </c>
      <c r="H252" s="95"/>
      <c r="I252" s="96" t="s">
        <v>261</v>
      </c>
      <c r="J252" s="95"/>
      <c r="K252" s="96" t="s">
        <v>261</v>
      </c>
      <c r="L252" s="95"/>
      <c r="M252" s="96"/>
      <c r="N252" s="95"/>
      <c r="O252" s="96" t="s">
        <v>261</v>
      </c>
      <c r="P252" s="95"/>
      <c r="Q252" s="96"/>
      <c r="R252" s="95"/>
      <c r="S252" s="96" t="s">
        <v>261</v>
      </c>
      <c r="T252" s="13">
        <f>3000.38</f>
        <v>3000.38</v>
      </c>
      <c r="U252" s="97" t="str">
        <f t="shared" si="19"/>
        <v>－</v>
      </c>
      <c r="V252" s="97"/>
      <c r="W252" s="97"/>
      <c r="X252" s="97" t="str">
        <f t="shared" si="20"/>
        <v>－</v>
      </c>
      <c r="Y252" s="97"/>
      <c r="Z252" s="98"/>
      <c r="AA252" s="95"/>
      <c r="AB252" s="99" t="str">
        <f t="shared" si="21"/>
        <v>－</v>
      </c>
      <c r="AC252" s="99" t="str">
        <f t="shared" si="15"/>
        <v>－</v>
      </c>
      <c r="AD252" s="100" t="str">
        <f t="shared" si="15"/>
        <v>－</v>
      </c>
    </row>
    <row r="253" spans="1:30">
      <c r="A253" s="91" t="s">
        <v>46</v>
      </c>
      <c r="B253" s="92" t="s">
        <v>1562</v>
      </c>
      <c r="C253" s="92" t="s">
        <v>1563</v>
      </c>
      <c r="D253" s="92" t="s">
        <v>49</v>
      </c>
      <c r="E253" s="93" t="s">
        <v>1034</v>
      </c>
      <c r="F253" s="93" t="s">
        <v>649</v>
      </c>
      <c r="G253" s="94">
        <v>10</v>
      </c>
      <c r="H253" s="95" t="s">
        <v>361</v>
      </c>
      <c r="I253" s="96" t="s">
        <v>1099</v>
      </c>
      <c r="J253" s="95" t="s">
        <v>662</v>
      </c>
      <c r="K253" s="96" t="s">
        <v>1105</v>
      </c>
      <c r="L253" s="95" t="s">
        <v>662</v>
      </c>
      <c r="M253" s="96" t="s">
        <v>1564</v>
      </c>
      <c r="N253" s="95" t="s">
        <v>361</v>
      </c>
      <c r="O253" s="96" t="s">
        <v>1099</v>
      </c>
      <c r="P253" s="95" t="s">
        <v>653</v>
      </c>
      <c r="Q253" s="96" t="s">
        <v>1152</v>
      </c>
      <c r="R253" s="95" t="s">
        <v>653</v>
      </c>
      <c r="S253" s="96" t="s">
        <v>1099</v>
      </c>
      <c r="T253" s="13">
        <f>76100</f>
        <v>76100</v>
      </c>
      <c r="U253" s="97">
        <f>253</f>
        <v>253</v>
      </c>
      <c r="V253" s="97">
        <v>65</v>
      </c>
      <c r="W253" s="97"/>
      <c r="X253" s="97">
        <f>196154000</f>
        <v>196154000</v>
      </c>
      <c r="Y253" s="97">
        <v>50235000</v>
      </c>
      <c r="Z253" s="98"/>
      <c r="AA253" s="95" t="s">
        <v>60</v>
      </c>
      <c r="AB253" s="99">
        <f>202</f>
        <v>202</v>
      </c>
      <c r="AC253" s="99" t="str">
        <f t="shared" si="15"/>
        <v>－</v>
      </c>
      <c r="AD253" s="100">
        <f>8</f>
        <v>8</v>
      </c>
    </row>
    <row r="254" spans="1:30">
      <c r="A254" s="91" t="s">
        <v>46</v>
      </c>
      <c r="B254" s="92" t="s">
        <v>1562</v>
      </c>
      <c r="C254" s="92" t="s">
        <v>1563</v>
      </c>
      <c r="D254" s="92" t="s">
        <v>548</v>
      </c>
      <c r="E254" s="93" t="s">
        <v>657</v>
      </c>
      <c r="F254" s="93" t="s">
        <v>1041</v>
      </c>
      <c r="G254" s="94">
        <v>10</v>
      </c>
      <c r="H254" s="95" t="s">
        <v>546</v>
      </c>
      <c r="I254" s="96" t="s">
        <v>1565</v>
      </c>
      <c r="J254" s="95" t="s">
        <v>123</v>
      </c>
      <c r="K254" s="96" t="s">
        <v>1100</v>
      </c>
      <c r="L254" s="95" t="s">
        <v>123</v>
      </c>
      <c r="M254" s="96" t="s">
        <v>1566</v>
      </c>
      <c r="N254" s="95" t="s">
        <v>546</v>
      </c>
      <c r="O254" s="96" t="s">
        <v>1565</v>
      </c>
      <c r="P254" s="95" t="s">
        <v>285</v>
      </c>
      <c r="Q254" s="96" t="s">
        <v>1152</v>
      </c>
      <c r="R254" s="95" t="s">
        <v>123</v>
      </c>
      <c r="S254" s="96" t="s">
        <v>1567</v>
      </c>
      <c r="T254" s="13">
        <f>77173.06</f>
        <v>77173.06</v>
      </c>
      <c r="U254" s="97">
        <f>310</f>
        <v>310</v>
      </c>
      <c r="V254" s="97">
        <v>48</v>
      </c>
      <c r="W254" s="97"/>
      <c r="X254" s="97">
        <f>248473600</f>
        <v>248473600</v>
      </c>
      <c r="Y254" s="97">
        <v>39324600</v>
      </c>
      <c r="Z254" s="98"/>
      <c r="AA254" s="95" t="s">
        <v>60</v>
      </c>
      <c r="AB254" s="99">
        <f>298</f>
        <v>298</v>
      </c>
      <c r="AC254" s="99" t="str">
        <f t="shared" si="15"/>
        <v>－</v>
      </c>
      <c r="AD254" s="100">
        <f>14</f>
        <v>14</v>
      </c>
    </row>
    <row r="255" spans="1:30">
      <c r="A255" s="91" t="s">
        <v>46</v>
      </c>
      <c r="B255" s="92" t="s">
        <v>1562</v>
      </c>
      <c r="C255" s="92" t="s">
        <v>1563</v>
      </c>
      <c r="D255" s="92" t="s">
        <v>61</v>
      </c>
      <c r="E255" s="93" t="s">
        <v>706</v>
      </c>
      <c r="F255" s="93" t="s">
        <v>664</v>
      </c>
      <c r="G255" s="94">
        <v>10</v>
      </c>
      <c r="H255" s="95" t="s">
        <v>54</v>
      </c>
      <c r="I255" s="96" t="s">
        <v>1281</v>
      </c>
      <c r="J255" s="95" t="s">
        <v>1059</v>
      </c>
      <c r="K255" s="96" t="s">
        <v>1568</v>
      </c>
      <c r="L255" s="95" t="s">
        <v>670</v>
      </c>
      <c r="M255" s="96" t="s">
        <v>1569</v>
      </c>
      <c r="N255" s="95" t="s">
        <v>54</v>
      </c>
      <c r="O255" s="96" t="s">
        <v>1052</v>
      </c>
      <c r="P255" s="95" t="s">
        <v>285</v>
      </c>
      <c r="Q255" s="96" t="s">
        <v>1090</v>
      </c>
      <c r="R255" s="95" t="s">
        <v>670</v>
      </c>
      <c r="S255" s="96" t="s">
        <v>1129</v>
      </c>
      <c r="T255" s="13">
        <f>78508.55</f>
        <v>78508.55</v>
      </c>
      <c r="U255" s="97">
        <f>161</f>
        <v>161</v>
      </c>
      <c r="V255" s="97">
        <v>115</v>
      </c>
      <c r="W255" s="97"/>
      <c r="X255" s="97">
        <f>130976400</f>
        <v>130976400</v>
      </c>
      <c r="Y255" s="97">
        <v>93589400</v>
      </c>
      <c r="Z255" s="98"/>
      <c r="AA255" s="95" t="s">
        <v>60</v>
      </c>
      <c r="AB255" s="99">
        <f>154</f>
        <v>154</v>
      </c>
      <c r="AC255" s="99" t="str">
        <f t="shared" si="15"/>
        <v>－</v>
      </c>
      <c r="AD255" s="100">
        <f>8</f>
        <v>8</v>
      </c>
    </row>
    <row r="256" spans="1:30">
      <c r="A256" s="91" t="s">
        <v>46</v>
      </c>
      <c r="B256" s="92" t="s">
        <v>1562</v>
      </c>
      <c r="C256" s="92" t="s">
        <v>1563</v>
      </c>
      <c r="D256" s="92" t="s">
        <v>561</v>
      </c>
      <c r="E256" s="93" t="s">
        <v>716</v>
      </c>
      <c r="F256" s="93" t="s">
        <v>63</v>
      </c>
      <c r="G256" s="94">
        <v>10</v>
      </c>
      <c r="H256" s="95" t="s">
        <v>123</v>
      </c>
      <c r="I256" s="96" t="s">
        <v>1166</v>
      </c>
      <c r="J256" s="95" t="s">
        <v>518</v>
      </c>
      <c r="K256" s="96" t="s">
        <v>1154</v>
      </c>
      <c r="L256" s="95" t="s">
        <v>72</v>
      </c>
      <c r="M256" s="96" t="s">
        <v>1570</v>
      </c>
      <c r="N256" s="95" t="s">
        <v>72</v>
      </c>
      <c r="O256" s="96" t="s">
        <v>1062</v>
      </c>
      <c r="P256" s="95" t="s">
        <v>285</v>
      </c>
      <c r="Q256" s="96" t="s">
        <v>1571</v>
      </c>
      <c r="R256" s="95" t="s">
        <v>72</v>
      </c>
      <c r="S256" s="96" t="s">
        <v>1572</v>
      </c>
      <c r="T256" s="13">
        <f>78559.21</f>
        <v>78559.210000000006</v>
      </c>
      <c r="U256" s="97">
        <f>161</f>
        <v>161</v>
      </c>
      <c r="V256" s="97">
        <v>23</v>
      </c>
      <c r="W256" s="97"/>
      <c r="X256" s="97">
        <f>125423000</f>
        <v>125423000</v>
      </c>
      <c r="Y256" s="97">
        <v>17419000</v>
      </c>
      <c r="Z256" s="98"/>
      <c r="AA256" s="95" t="s">
        <v>60</v>
      </c>
      <c r="AB256" s="99">
        <f>112</f>
        <v>112</v>
      </c>
      <c r="AC256" s="99" t="str">
        <f t="shared" si="15"/>
        <v>－</v>
      </c>
      <c r="AD256" s="100">
        <f>9</f>
        <v>9</v>
      </c>
    </row>
    <row r="257" spans="1:30">
      <c r="A257" s="91" t="s">
        <v>46</v>
      </c>
      <c r="B257" s="92" t="s">
        <v>1562</v>
      </c>
      <c r="C257" s="92" t="s">
        <v>1563</v>
      </c>
      <c r="D257" s="92" t="s">
        <v>74</v>
      </c>
      <c r="E257" s="93" t="s">
        <v>1000</v>
      </c>
      <c r="F257" s="93" t="s">
        <v>678</v>
      </c>
      <c r="G257" s="94">
        <v>10</v>
      </c>
      <c r="H257" s="95" t="s">
        <v>518</v>
      </c>
      <c r="I257" s="96" t="s">
        <v>1100</v>
      </c>
      <c r="J257" s="95" t="s">
        <v>518</v>
      </c>
      <c r="K257" s="96" t="s">
        <v>1100</v>
      </c>
      <c r="L257" s="95" t="s">
        <v>684</v>
      </c>
      <c r="M257" s="96" t="s">
        <v>1573</v>
      </c>
      <c r="N257" s="95" t="s">
        <v>1078</v>
      </c>
      <c r="O257" s="96" t="s">
        <v>1574</v>
      </c>
      <c r="P257" s="95" t="s">
        <v>285</v>
      </c>
      <c r="Q257" s="96" t="s">
        <v>1575</v>
      </c>
      <c r="R257" s="95" t="s">
        <v>684</v>
      </c>
      <c r="S257" s="96" t="s">
        <v>1576</v>
      </c>
      <c r="T257" s="13">
        <f>77383.51</f>
        <v>77383.509999999995</v>
      </c>
      <c r="U257" s="97">
        <f>142</f>
        <v>142</v>
      </c>
      <c r="V257" s="97">
        <v>24</v>
      </c>
      <c r="W257" s="97"/>
      <c r="X257" s="97">
        <f>106673000</f>
        <v>106673000</v>
      </c>
      <c r="Y257" s="97">
        <v>18476000</v>
      </c>
      <c r="Z257" s="98"/>
      <c r="AA257" s="95" t="s">
        <v>60</v>
      </c>
      <c r="AB257" s="99">
        <f>118</f>
        <v>118</v>
      </c>
      <c r="AC257" s="99" t="str">
        <f t="shared" si="15"/>
        <v>－</v>
      </c>
      <c r="AD257" s="100">
        <f>11</f>
        <v>11</v>
      </c>
    </row>
    <row r="258" spans="1:30">
      <c r="A258" s="91" t="s">
        <v>46</v>
      </c>
      <c r="B258" s="92" t="s">
        <v>1562</v>
      </c>
      <c r="C258" s="92" t="s">
        <v>1563</v>
      </c>
      <c r="D258" s="92" t="s">
        <v>576</v>
      </c>
      <c r="E258" s="93" t="s">
        <v>1063</v>
      </c>
      <c r="F258" s="93" t="s">
        <v>199</v>
      </c>
      <c r="G258" s="94">
        <v>10</v>
      </c>
      <c r="H258" s="95" t="s">
        <v>65</v>
      </c>
      <c r="I258" s="96" t="s">
        <v>1046</v>
      </c>
      <c r="J258" s="95" t="s">
        <v>292</v>
      </c>
      <c r="K258" s="96" t="s">
        <v>1068</v>
      </c>
      <c r="L258" s="95" t="s">
        <v>852</v>
      </c>
      <c r="M258" s="96" t="s">
        <v>1577</v>
      </c>
      <c r="N258" s="95" t="s">
        <v>720</v>
      </c>
      <c r="O258" s="96" t="s">
        <v>1578</v>
      </c>
      <c r="P258" s="95" t="s">
        <v>203</v>
      </c>
      <c r="Q258" s="96" t="s">
        <v>1077</v>
      </c>
      <c r="R258" s="95" t="s">
        <v>203</v>
      </c>
      <c r="S258" s="96" t="s">
        <v>1111</v>
      </c>
      <c r="T258" s="13">
        <f>77424.66</f>
        <v>77424.66</v>
      </c>
      <c r="U258" s="97">
        <f>94</f>
        <v>94</v>
      </c>
      <c r="V258" s="97">
        <v>21</v>
      </c>
      <c r="W258" s="97"/>
      <c r="X258" s="97">
        <f>74904900</f>
        <v>74904900</v>
      </c>
      <c r="Y258" s="97">
        <v>16617000</v>
      </c>
      <c r="Z258" s="98"/>
      <c r="AA258" s="95" t="s">
        <v>60</v>
      </c>
      <c r="AB258" s="99">
        <f>86</f>
        <v>86</v>
      </c>
      <c r="AC258" s="99" t="str">
        <f t="shared" si="15"/>
        <v>－</v>
      </c>
      <c r="AD258" s="100">
        <f>12</f>
        <v>12</v>
      </c>
    </row>
    <row r="259" spans="1:30">
      <c r="A259" s="91" t="s">
        <v>46</v>
      </c>
      <c r="B259" s="92" t="s">
        <v>1562</v>
      </c>
      <c r="C259" s="92" t="s">
        <v>1563</v>
      </c>
      <c r="D259" s="92" t="s">
        <v>81</v>
      </c>
      <c r="E259" s="93" t="s">
        <v>744</v>
      </c>
      <c r="F259" s="93" t="s">
        <v>693</v>
      </c>
      <c r="G259" s="94">
        <v>10</v>
      </c>
      <c r="H259" s="95" t="s">
        <v>72</v>
      </c>
      <c r="I259" s="96" t="s">
        <v>1579</v>
      </c>
      <c r="J259" s="95" t="s">
        <v>305</v>
      </c>
      <c r="K259" s="96" t="s">
        <v>1052</v>
      </c>
      <c r="L259" s="95"/>
      <c r="M259" s="96"/>
      <c r="N259" s="95" t="s">
        <v>934</v>
      </c>
      <c r="O259" s="96" t="s">
        <v>1580</v>
      </c>
      <c r="P259" s="95"/>
      <c r="Q259" s="96"/>
      <c r="R259" s="95" t="s">
        <v>311</v>
      </c>
      <c r="S259" s="96" t="s">
        <v>1121</v>
      </c>
      <c r="T259" s="13">
        <f>78117.02</f>
        <v>78117.02</v>
      </c>
      <c r="U259" s="97">
        <f>48</f>
        <v>48</v>
      </c>
      <c r="V259" s="97"/>
      <c r="W259" s="97"/>
      <c r="X259" s="97">
        <f>36580000</f>
        <v>36580000</v>
      </c>
      <c r="Y259" s="97"/>
      <c r="Z259" s="98"/>
      <c r="AA259" s="95" t="s">
        <v>60</v>
      </c>
      <c r="AB259" s="99">
        <f>42</f>
        <v>42</v>
      </c>
      <c r="AC259" s="99" t="str">
        <f t="shared" si="15"/>
        <v>－</v>
      </c>
      <c r="AD259" s="100">
        <f>7</f>
        <v>7</v>
      </c>
    </row>
    <row r="260" spans="1:30">
      <c r="A260" s="91" t="s">
        <v>46</v>
      </c>
      <c r="B260" s="92" t="s">
        <v>1562</v>
      </c>
      <c r="C260" s="92" t="s">
        <v>1563</v>
      </c>
      <c r="D260" s="92" t="s">
        <v>596</v>
      </c>
      <c r="E260" s="93" t="s">
        <v>824</v>
      </c>
      <c r="F260" s="93" t="s">
        <v>205</v>
      </c>
      <c r="G260" s="94">
        <v>10</v>
      </c>
      <c r="H260" s="95" t="s">
        <v>197</v>
      </c>
      <c r="I260" s="96" t="s">
        <v>1052</v>
      </c>
      <c r="J260" s="95" t="s">
        <v>209</v>
      </c>
      <c r="K260" s="96" t="s">
        <v>1105</v>
      </c>
      <c r="L260" s="95" t="s">
        <v>209</v>
      </c>
      <c r="M260" s="96" t="s">
        <v>1581</v>
      </c>
      <c r="N260" s="95" t="s">
        <v>297</v>
      </c>
      <c r="O260" s="96" t="s">
        <v>1087</v>
      </c>
      <c r="P260" s="95" t="s">
        <v>209</v>
      </c>
      <c r="Q260" s="96" t="s">
        <v>1582</v>
      </c>
      <c r="R260" s="95" t="s">
        <v>209</v>
      </c>
      <c r="S260" s="96" t="s">
        <v>1583</v>
      </c>
      <c r="T260" s="13">
        <f>77927.79</f>
        <v>77927.789999999994</v>
      </c>
      <c r="U260" s="97">
        <f>146</f>
        <v>146</v>
      </c>
      <c r="V260" s="97">
        <v>54</v>
      </c>
      <c r="W260" s="97"/>
      <c r="X260" s="97">
        <f>113120000</f>
        <v>113120000</v>
      </c>
      <c r="Y260" s="97">
        <v>42051000</v>
      </c>
      <c r="Z260" s="98"/>
      <c r="AA260" s="95" t="s">
        <v>60</v>
      </c>
      <c r="AB260" s="99">
        <f>109</f>
        <v>109</v>
      </c>
      <c r="AC260" s="99" t="str">
        <f t="shared" si="15"/>
        <v>－</v>
      </c>
      <c r="AD260" s="100">
        <f>10</f>
        <v>10</v>
      </c>
    </row>
    <row r="261" spans="1:30">
      <c r="A261" s="91" t="s">
        <v>46</v>
      </c>
      <c r="B261" s="92" t="s">
        <v>1562</v>
      </c>
      <c r="C261" s="92" t="s">
        <v>1563</v>
      </c>
      <c r="D261" s="92" t="s">
        <v>93</v>
      </c>
      <c r="E261" s="93" t="s">
        <v>756</v>
      </c>
      <c r="F261" s="93" t="s">
        <v>1081</v>
      </c>
      <c r="G261" s="94">
        <v>10</v>
      </c>
      <c r="H261" s="95" t="s">
        <v>1085</v>
      </c>
      <c r="I261" s="96" t="s">
        <v>1584</v>
      </c>
      <c r="J261" s="95" t="s">
        <v>1085</v>
      </c>
      <c r="K261" s="96" t="s">
        <v>1584</v>
      </c>
      <c r="L261" s="95" t="s">
        <v>1585</v>
      </c>
      <c r="M261" s="96" t="s">
        <v>1586</v>
      </c>
      <c r="N261" s="95" t="s">
        <v>1374</v>
      </c>
      <c r="O261" s="96" t="s">
        <v>1587</v>
      </c>
      <c r="P261" s="95" t="s">
        <v>1374</v>
      </c>
      <c r="Q261" s="96" t="s">
        <v>1056</v>
      </c>
      <c r="R261" s="95" t="s">
        <v>472</v>
      </c>
      <c r="S261" s="96" t="s">
        <v>1040</v>
      </c>
      <c r="T261" s="13">
        <f>77202.95</f>
        <v>77202.95</v>
      </c>
      <c r="U261" s="97">
        <f>202</f>
        <v>202</v>
      </c>
      <c r="V261" s="97">
        <v>86</v>
      </c>
      <c r="W261" s="97"/>
      <c r="X261" s="97">
        <f>150596000</f>
        <v>150596000</v>
      </c>
      <c r="Y261" s="97">
        <v>64052000</v>
      </c>
      <c r="Z261" s="98"/>
      <c r="AA261" s="95" t="s">
        <v>60</v>
      </c>
      <c r="AB261" s="99">
        <f>192</f>
        <v>192</v>
      </c>
      <c r="AC261" s="99" t="str">
        <f t="shared" si="15"/>
        <v>－</v>
      </c>
      <c r="AD261" s="100">
        <f>6</f>
        <v>6</v>
      </c>
    </row>
    <row r="262" spans="1:30">
      <c r="A262" s="91" t="s">
        <v>46</v>
      </c>
      <c r="B262" s="92" t="s">
        <v>1562</v>
      </c>
      <c r="C262" s="92" t="s">
        <v>1563</v>
      </c>
      <c r="D262" s="92" t="s">
        <v>614</v>
      </c>
      <c r="E262" s="93" t="s">
        <v>129</v>
      </c>
      <c r="F262" s="93" t="s">
        <v>211</v>
      </c>
      <c r="G262" s="94">
        <v>10</v>
      </c>
      <c r="H262" s="95" t="s">
        <v>236</v>
      </c>
      <c r="I262" s="96" t="s">
        <v>1584</v>
      </c>
      <c r="J262" s="95" t="s">
        <v>236</v>
      </c>
      <c r="K262" s="96" t="s">
        <v>1584</v>
      </c>
      <c r="L262" s="95" t="s">
        <v>214</v>
      </c>
      <c r="M262" s="96" t="s">
        <v>1588</v>
      </c>
      <c r="N262" s="95" t="s">
        <v>214</v>
      </c>
      <c r="O262" s="96" t="s">
        <v>1589</v>
      </c>
      <c r="P262" s="95" t="s">
        <v>214</v>
      </c>
      <c r="Q262" s="96" t="s">
        <v>1590</v>
      </c>
      <c r="R262" s="95" t="s">
        <v>214</v>
      </c>
      <c r="S262" s="96" t="s">
        <v>1589</v>
      </c>
      <c r="T262" s="13">
        <f>76170.25</f>
        <v>76170.25</v>
      </c>
      <c r="U262" s="97">
        <f>92</f>
        <v>92</v>
      </c>
      <c r="V262" s="97">
        <v>28</v>
      </c>
      <c r="W262" s="97"/>
      <c r="X262" s="97">
        <f>66773000</f>
        <v>66773000</v>
      </c>
      <c r="Y262" s="97">
        <v>20128000</v>
      </c>
      <c r="Z262" s="98"/>
      <c r="AA262" s="95" t="s">
        <v>60</v>
      </c>
      <c r="AB262" s="99">
        <f>79</f>
        <v>79</v>
      </c>
      <c r="AC262" s="99" t="str">
        <f t="shared" si="15"/>
        <v>－</v>
      </c>
      <c r="AD262" s="100">
        <f>8</f>
        <v>8</v>
      </c>
    </row>
    <row r="263" spans="1:30">
      <c r="A263" s="91" t="s">
        <v>46</v>
      </c>
      <c r="B263" s="92" t="s">
        <v>1562</v>
      </c>
      <c r="C263" s="92" t="s">
        <v>1563</v>
      </c>
      <c r="D263" s="92" t="s">
        <v>105</v>
      </c>
      <c r="E263" s="93" t="s">
        <v>771</v>
      </c>
      <c r="F263" s="93" t="s">
        <v>810</v>
      </c>
      <c r="G263" s="94">
        <v>10</v>
      </c>
      <c r="H263" s="95" t="s">
        <v>236</v>
      </c>
      <c r="I263" s="96" t="s">
        <v>1584</v>
      </c>
      <c r="J263" s="95" t="s">
        <v>236</v>
      </c>
      <c r="K263" s="96" t="s">
        <v>1584</v>
      </c>
      <c r="L263" s="95" t="s">
        <v>805</v>
      </c>
      <c r="M263" s="96" t="s">
        <v>1091</v>
      </c>
      <c r="N263" s="95" t="s">
        <v>805</v>
      </c>
      <c r="O263" s="96" t="s">
        <v>1591</v>
      </c>
      <c r="P263" s="95" t="s">
        <v>1158</v>
      </c>
      <c r="Q263" s="96" t="s">
        <v>1592</v>
      </c>
      <c r="R263" s="95" t="s">
        <v>1158</v>
      </c>
      <c r="S263" s="96" t="s">
        <v>1114</v>
      </c>
      <c r="T263" s="13">
        <f>75806.08</f>
        <v>75806.080000000002</v>
      </c>
      <c r="U263" s="97">
        <f>123</f>
        <v>123</v>
      </c>
      <c r="V263" s="97">
        <v>40</v>
      </c>
      <c r="W263" s="97"/>
      <c r="X263" s="97">
        <f>88991200</f>
        <v>88991200</v>
      </c>
      <c r="Y263" s="97">
        <v>28771200</v>
      </c>
      <c r="Z263" s="98"/>
      <c r="AA263" s="95" t="s">
        <v>60</v>
      </c>
      <c r="AB263" s="99">
        <f>116</f>
        <v>116</v>
      </c>
      <c r="AC263" s="99" t="str">
        <f t="shared" ref="AC263:AD288" si="22">"－"</f>
        <v>－</v>
      </c>
      <c r="AD263" s="100">
        <f>9</f>
        <v>9</v>
      </c>
    </row>
    <row r="264" spans="1:30">
      <c r="A264" s="91" t="s">
        <v>46</v>
      </c>
      <c r="B264" s="92" t="s">
        <v>1562</v>
      </c>
      <c r="C264" s="92" t="s">
        <v>1563</v>
      </c>
      <c r="D264" s="92" t="s">
        <v>624</v>
      </c>
      <c r="E264" s="93" t="s">
        <v>76</v>
      </c>
      <c r="F264" s="93" t="s">
        <v>107</v>
      </c>
      <c r="G264" s="94">
        <v>10</v>
      </c>
      <c r="H264" s="95" t="s">
        <v>629</v>
      </c>
      <c r="I264" s="96" t="s">
        <v>1087</v>
      </c>
      <c r="J264" s="95" t="s">
        <v>629</v>
      </c>
      <c r="K264" s="96" t="s">
        <v>1121</v>
      </c>
      <c r="L264" s="95" t="s">
        <v>113</v>
      </c>
      <c r="M264" s="96" t="s">
        <v>1126</v>
      </c>
      <c r="N264" s="95" t="s">
        <v>147</v>
      </c>
      <c r="O264" s="96" t="s">
        <v>1593</v>
      </c>
      <c r="P264" s="95" t="s">
        <v>147</v>
      </c>
      <c r="Q264" s="96" t="s">
        <v>1302</v>
      </c>
      <c r="R264" s="95" t="s">
        <v>113</v>
      </c>
      <c r="S264" s="96" t="s">
        <v>1040</v>
      </c>
      <c r="T264" s="13">
        <f>76128.21</f>
        <v>76128.210000000006</v>
      </c>
      <c r="U264" s="97">
        <f>118</f>
        <v>118</v>
      </c>
      <c r="V264" s="97">
        <v>50</v>
      </c>
      <c r="W264" s="97"/>
      <c r="X264" s="97">
        <f>86524000</f>
        <v>86524000</v>
      </c>
      <c r="Y264" s="97">
        <v>36904000</v>
      </c>
      <c r="Z264" s="98"/>
      <c r="AA264" s="95" t="s">
        <v>60</v>
      </c>
      <c r="AB264" s="99">
        <f>116</f>
        <v>116</v>
      </c>
      <c r="AC264" s="99" t="str">
        <f t="shared" si="22"/>
        <v>－</v>
      </c>
      <c r="AD264" s="100">
        <f>4</f>
        <v>4</v>
      </c>
    </row>
    <row r="265" spans="1:30">
      <c r="A265" s="91" t="s">
        <v>46</v>
      </c>
      <c r="B265" s="92" t="s">
        <v>1562</v>
      </c>
      <c r="C265" s="92" t="s">
        <v>1563</v>
      </c>
      <c r="D265" s="92" t="s">
        <v>115</v>
      </c>
      <c r="E265" s="93" t="s">
        <v>784</v>
      </c>
      <c r="F265" s="93" t="s">
        <v>745</v>
      </c>
      <c r="G265" s="94">
        <v>10</v>
      </c>
      <c r="H265" s="95"/>
      <c r="I265" s="96" t="s">
        <v>261</v>
      </c>
      <c r="J265" s="95"/>
      <c r="K265" s="96" t="s">
        <v>261</v>
      </c>
      <c r="L265" s="95"/>
      <c r="M265" s="96"/>
      <c r="N265" s="95"/>
      <c r="O265" s="96" t="s">
        <v>261</v>
      </c>
      <c r="P265" s="95"/>
      <c r="Q265" s="96"/>
      <c r="R265" s="95"/>
      <c r="S265" s="96" t="s">
        <v>261</v>
      </c>
      <c r="T265" s="13">
        <f>75775</f>
        <v>75775</v>
      </c>
      <c r="U265" s="97" t="str">
        <f t="shared" ref="U265:U270" si="23">"－"</f>
        <v>－</v>
      </c>
      <c r="V265" s="97"/>
      <c r="W265" s="97"/>
      <c r="X265" s="97" t="str">
        <f t="shared" ref="X265:X270" si="24">"－"</f>
        <v>－</v>
      </c>
      <c r="Y265" s="97"/>
      <c r="Z265" s="98"/>
      <c r="AA265" s="95"/>
      <c r="AB265" s="99" t="str">
        <f t="shared" ref="AB265:AB270" si="25">"－"</f>
        <v>－</v>
      </c>
      <c r="AC265" s="99" t="str">
        <f t="shared" si="22"/>
        <v>－</v>
      </c>
      <c r="AD265" s="100" t="str">
        <f t="shared" si="22"/>
        <v>－</v>
      </c>
    </row>
    <row r="266" spans="1:30">
      <c r="A266" s="91" t="s">
        <v>46</v>
      </c>
      <c r="B266" s="92" t="s">
        <v>1562</v>
      </c>
      <c r="C266" s="92" t="s">
        <v>1563</v>
      </c>
      <c r="D266" s="92" t="s">
        <v>634</v>
      </c>
      <c r="E266" s="93" t="s">
        <v>83</v>
      </c>
      <c r="F266" s="93" t="s">
        <v>1103</v>
      </c>
      <c r="G266" s="94">
        <v>10</v>
      </c>
      <c r="H266" s="95"/>
      <c r="I266" s="96" t="s">
        <v>261</v>
      </c>
      <c r="J266" s="95"/>
      <c r="K266" s="96" t="s">
        <v>261</v>
      </c>
      <c r="L266" s="95"/>
      <c r="M266" s="96"/>
      <c r="N266" s="95"/>
      <c r="O266" s="96" t="s">
        <v>261</v>
      </c>
      <c r="P266" s="95"/>
      <c r="Q266" s="96"/>
      <c r="R266" s="95"/>
      <c r="S266" s="96" t="s">
        <v>261</v>
      </c>
      <c r="T266" s="13">
        <f>75554.65</f>
        <v>75554.649999999994</v>
      </c>
      <c r="U266" s="97" t="str">
        <f t="shared" si="23"/>
        <v>－</v>
      </c>
      <c r="V266" s="97"/>
      <c r="W266" s="97"/>
      <c r="X266" s="97" t="str">
        <f t="shared" si="24"/>
        <v>－</v>
      </c>
      <c r="Y266" s="97"/>
      <c r="Z266" s="98"/>
      <c r="AA266" s="95"/>
      <c r="AB266" s="99" t="str">
        <f t="shared" si="25"/>
        <v>－</v>
      </c>
      <c r="AC266" s="99" t="str">
        <f t="shared" si="22"/>
        <v>－</v>
      </c>
      <c r="AD266" s="100" t="str">
        <f t="shared" si="22"/>
        <v>－</v>
      </c>
    </row>
    <row r="267" spans="1:30">
      <c r="A267" s="91" t="s">
        <v>46</v>
      </c>
      <c r="B267" s="92" t="s">
        <v>1562</v>
      </c>
      <c r="C267" s="92" t="s">
        <v>1563</v>
      </c>
      <c r="D267" s="92" t="s">
        <v>128</v>
      </c>
      <c r="E267" s="93" t="s">
        <v>707</v>
      </c>
      <c r="F267" s="93" t="s">
        <v>1106</v>
      </c>
      <c r="G267" s="94">
        <v>10</v>
      </c>
      <c r="H267" s="95"/>
      <c r="I267" s="96" t="s">
        <v>261</v>
      </c>
      <c r="J267" s="95"/>
      <c r="K267" s="96" t="s">
        <v>261</v>
      </c>
      <c r="L267" s="95"/>
      <c r="M267" s="96"/>
      <c r="N267" s="95"/>
      <c r="O267" s="96" t="s">
        <v>261</v>
      </c>
      <c r="P267" s="95"/>
      <c r="Q267" s="96"/>
      <c r="R267" s="95"/>
      <c r="S267" s="96" t="s">
        <v>261</v>
      </c>
      <c r="T267" s="13">
        <f>75125.37</f>
        <v>75125.37</v>
      </c>
      <c r="U267" s="97" t="str">
        <f t="shared" si="23"/>
        <v>－</v>
      </c>
      <c r="V267" s="97"/>
      <c r="W267" s="97"/>
      <c r="X267" s="97" t="str">
        <f t="shared" si="24"/>
        <v>－</v>
      </c>
      <c r="Y267" s="97"/>
      <c r="Z267" s="98"/>
      <c r="AA267" s="95"/>
      <c r="AB267" s="99" t="str">
        <f t="shared" si="25"/>
        <v>－</v>
      </c>
      <c r="AC267" s="99" t="str">
        <f t="shared" si="22"/>
        <v>－</v>
      </c>
      <c r="AD267" s="100" t="str">
        <f t="shared" si="22"/>
        <v>－</v>
      </c>
    </row>
    <row r="268" spans="1:30">
      <c r="A268" s="91" t="s">
        <v>46</v>
      </c>
      <c r="B268" s="92" t="s">
        <v>1562</v>
      </c>
      <c r="C268" s="92" t="s">
        <v>1563</v>
      </c>
      <c r="D268" s="92" t="s">
        <v>641</v>
      </c>
      <c r="E268" s="93" t="s">
        <v>95</v>
      </c>
      <c r="F268" s="93" t="s">
        <v>130</v>
      </c>
      <c r="G268" s="94">
        <v>10</v>
      </c>
      <c r="H268" s="95"/>
      <c r="I268" s="96" t="s">
        <v>261</v>
      </c>
      <c r="J268" s="95"/>
      <c r="K268" s="96" t="s">
        <v>261</v>
      </c>
      <c r="L268" s="95"/>
      <c r="M268" s="96"/>
      <c r="N268" s="95"/>
      <c r="O268" s="96" t="s">
        <v>261</v>
      </c>
      <c r="P268" s="95"/>
      <c r="Q268" s="96"/>
      <c r="R268" s="95"/>
      <c r="S268" s="96" t="s">
        <v>261</v>
      </c>
      <c r="T268" s="13">
        <f>74634.78</f>
        <v>74634.78</v>
      </c>
      <c r="U268" s="97" t="str">
        <f t="shared" si="23"/>
        <v>－</v>
      </c>
      <c r="V268" s="97"/>
      <c r="W268" s="97"/>
      <c r="X268" s="97" t="str">
        <f t="shared" si="24"/>
        <v>－</v>
      </c>
      <c r="Y268" s="97"/>
      <c r="Z268" s="98"/>
      <c r="AA268" s="95"/>
      <c r="AB268" s="99" t="str">
        <f t="shared" si="25"/>
        <v>－</v>
      </c>
      <c r="AC268" s="99" t="str">
        <f t="shared" si="22"/>
        <v>－</v>
      </c>
      <c r="AD268" s="100" t="str">
        <f t="shared" si="22"/>
        <v>－</v>
      </c>
    </row>
    <row r="269" spans="1:30">
      <c r="A269" s="91" t="s">
        <v>46</v>
      </c>
      <c r="B269" s="92" t="s">
        <v>1562</v>
      </c>
      <c r="C269" s="92" t="s">
        <v>1563</v>
      </c>
      <c r="D269" s="92" t="s">
        <v>140</v>
      </c>
      <c r="E269" s="93" t="s">
        <v>1009</v>
      </c>
      <c r="F269" s="93" t="s">
        <v>772</v>
      </c>
      <c r="G269" s="94">
        <v>10</v>
      </c>
      <c r="H269" s="95"/>
      <c r="I269" s="96" t="s">
        <v>261</v>
      </c>
      <c r="J269" s="95"/>
      <c r="K269" s="96" t="s">
        <v>261</v>
      </c>
      <c r="L269" s="95"/>
      <c r="M269" s="96"/>
      <c r="N269" s="95"/>
      <c r="O269" s="96" t="s">
        <v>261</v>
      </c>
      <c r="P269" s="95"/>
      <c r="Q269" s="96"/>
      <c r="R269" s="95"/>
      <c r="S269" s="96" t="s">
        <v>261</v>
      </c>
      <c r="T269" s="13">
        <f>74600</f>
        <v>74600</v>
      </c>
      <c r="U269" s="97" t="str">
        <f t="shared" si="23"/>
        <v>－</v>
      </c>
      <c r="V269" s="97"/>
      <c r="W269" s="97"/>
      <c r="X269" s="97" t="str">
        <f t="shared" si="24"/>
        <v>－</v>
      </c>
      <c r="Y269" s="97"/>
      <c r="Z269" s="98"/>
      <c r="AA269" s="95"/>
      <c r="AB269" s="99" t="str">
        <f t="shared" si="25"/>
        <v>－</v>
      </c>
      <c r="AC269" s="99" t="str">
        <f t="shared" si="22"/>
        <v>－</v>
      </c>
      <c r="AD269" s="100" t="str">
        <f t="shared" si="22"/>
        <v>－</v>
      </c>
    </row>
    <row r="270" spans="1:30">
      <c r="A270" s="91" t="s">
        <v>46</v>
      </c>
      <c r="B270" s="92" t="s">
        <v>1562</v>
      </c>
      <c r="C270" s="92" t="s">
        <v>1563</v>
      </c>
      <c r="D270" s="92" t="s">
        <v>783</v>
      </c>
      <c r="E270" s="93" t="s">
        <v>177</v>
      </c>
      <c r="F270" s="93" t="s">
        <v>1107</v>
      </c>
      <c r="G270" s="94">
        <v>10</v>
      </c>
      <c r="H270" s="95"/>
      <c r="I270" s="96" t="s">
        <v>261</v>
      </c>
      <c r="J270" s="95"/>
      <c r="K270" s="96" t="s">
        <v>261</v>
      </c>
      <c r="L270" s="95"/>
      <c r="M270" s="96"/>
      <c r="N270" s="95"/>
      <c r="O270" s="96" t="s">
        <v>261</v>
      </c>
      <c r="P270" s="95"/>
      <c r="Q270" s="96"/>
      <c r="R270" s="95"/>
      <c r="S270" s="96" t="s">
        <v>261</v>
      </c>
      <c r="T270" s="13">
        <f>74600</f>
        <v>74600</v>
      </c>
      <c r="U270" s="97" t="str">
        <f t="shared" si="23"/>
        <v>－</v>
      </c>
      <c r="V270" s="97"/>
      <c r="W270" s="97"/>
      <c r="X270" s="97" t="str">
        <f t="shared" si="24"/>
        <v>－</v>
      </c>
      <c r="Y270" s="97"/>
      <c r="Z270" s="98"/>
      <c r="AA270" s="95"/>
      <c r="AB270" s="99" t="str">
        <f t="shared" si="25"/>
        <v>－</v>
      </c>
      <c r="AC270" s="99" t="str">
        <f t="shared" si="22"/>
        <v>－</v>
      </c>
      <c r="AD270" s="100" t="str">
        <f t="shared" si="22"/>
        <v>－</v>
      </c>
    </row>
    <row r="271" spans="1:30">
      <c r="A271" s="91" t="s">
        <v>46</v>
      </c>
      <c r="B271" s="92" t="s">
        <v>1594</v>
      </c>
      <c r="C271" s="92" t="s">
        <v>1595</v>
      </c>
      <c r="D271" s="92" t="s">
        <v>49</v>
      </c>
      <c r="E271" s="93" t="s">
        <v>1034</v>
      </c>
      <c r="F271" s="93" t="s">
        <v>649</v>
      </c>
      <c r="G271" s="94">
        <v>10</v>
      </c>
      <c r="H271" s="95" t="s">
        <v>582</v>
      </c>
      <c r="I271" s="96" t="s">
        <v>1087</v>
      </c>
      <c r="J271" s="95" t="s">
        <v>662</v>
      </c>
      <c r="K271" s="96" t="s">
        <v>1596</v>
      </c>
      <c r="L271" s="95" t="s">
        <v>662</v>
      </c>
      <c r="M271" s="96" t="s">
        <v>1077</v>
      </c>
      <c r="N271" s="95" t="s">
        <v>582</v>
      </c>
      <c r="O271" s="96" t="s">
        <v>1087</v>
      </c>
      <c r="P271" s="95" t="s">
        <v>361</v>
      </c>
      <c r="Q271" s="96" t="s">
        <v>1152</v>
      </c>
      <c r="R271" s="95" t="s">
        <v>653</v>
      </c>
      <c r="S271" s="96" t="s">
        <v>1597</v>
      </c>
      <c r="T271" s="13">
        <f>76746</f>
        <v>76746</v>
      </c>
      <c r="U271" s="97">
        <f>548</f>
        <v>548</v>
      </c>
      <c r="V271" s="97">
        <v>261</v>
      </c>
      <c r="W271" s="97"/>
      <c r="X271" s="97">
        <f>425301100</f>
        <v>425301100</v>
      </c>
      <c r="Y271" s="97">
        <v>202779600</v>
      </c>
      <c r="Z271" s="98"/>
      <c r="AA271" s="95" t="s">
        <v>60</v>
      </c>
      <c r="AB271" s="99">
        <f>490</f>
        <v>490</v>
      </c>
      <c r="AC271" s="99" t="str">
        <f t="shared" si="22"/>
        <v>－</v>
      </c>
      <c r="AD271" s="100">
        <f>12</f>
        <v>12</v>
      </c>
    </row>
    <row r="272" spans="1:30">
      <c r="A272" s="91" t="s">
        <v>46</v>
      </c>
      <c r="B272" s="92" t="s">
        <v>1594</v>
      </c>
      <c r="C272" s="92" t="s">
        <v>1595</v>
      </c>
      <c r="D272" s="92" t="s">
        <v>548</v>
      </c>
      <c r="E272" s="93" t="s">
        <v>657</v>
      </c>
      <c r="F272" s="93" t="s">
        <v>1041</v>
      </c>
      <c r="G272" s="94">
        <v>10</v>
      </c>
      <c r="H272" s="95" t="s">
        <v>653</v>
      </c>
      <c r="I272" s="96" t="s">
        <v>1099</v>
      </c>
      <c r="J272" s="95" t="s">
        <v>118</v>
      </c>
      <c r="K272" s="96" t="s">
        <v>1154</v>
      </c>
      <c r="L272" s="95" t="s">
        <v>123</v>
      </c>
      <c r="M272" s="96" t="s">
        <v>1598</v>
      </c>
      <c r="N272" s="95" t="s">
        <v>653</v>
      </c>
      <c r="O272" s="96" t="s">
        <v>1099</v>
      </c>
      <c r="P272" s="95" t="s">
        <v>285</v>
      </c>
      <c r="Q272" s="96" t="s">
        <v>1152</v>
      </c>
      <c r="R272" s="95" t="s">
        <v>123</v>
      </c>
      <c r="S272" s="96" t="s">
        <v>1166</v>
      </c>
      <c r="T272" s="13">
        <f>77652.22</f>
        <v>77652.22</v>
      </c>
      <c r="U272" s="97">
        <f>220</f>
        <v>220</v>
      </c>
      <c r="V272" s="97">
        <v>49</v>
      </c>
      <c r="W272" s="97"/>
      <c r="X272" s="97">
        <f>181969200</f>
        <v>181969200</v>
      </c>
      <c r="Y272" s="97">
        <v>40568200</v>
      </c>
      <c r="Z272" s="98"/>
      <c r="AA272" s="95" t="s">
        <v>60</v>
      </c>
      <c r="AB272" s="99">
        <f>212</f>
        <v>212</v>
      </c>
      <c r="AC272" s="99" t="str">
        <f t="shared" si="22"/>
        <v>－</v>
      </c>
      <c r="AD272" s="100">
        <f>13</f>
        <v>13</v>
      </c>
    </row>
    <row r="273" spans="1:30">
      <c r="A273" s="91" t="s">
        <v>46</v>
      </c>
      <c r="B273" s="92" t="s">
        <v>1594</v>
      </c>
      <c r="C273" s="92" t="s">
        <v>1595</v>
      </c>
      <c r="D273" s="92" t="s">
        <v>61</v>
      </c>
      <c r="E273" s="93" t="s">
        <v>706</v>
      </c>
      <c r="F273" s="93" t="s">
        <v>664</v>
      </c>
      <c r="G273" s="94">
        <v>10</v>
      </c>
      <c r="H273" s="95" t="s">
        <v>351</v>
      </c>
      <c r="I273" s="96" t="s">
        <v>1596</v>
      </c>
      <c r="J273" s="95" t="s">
        <v>1599</v>
      </c>
      <c r="K273" s="96" t="s">
        <v>1567</v>
      </c>
      <c r="L273" s="95" t="s">
        <v>670</v>
      </c>
      <c r="M273" s="96" t="s">
        <v>1577</v>
      </c>
      <c r="N273" s="95" t="s">
        <v>1342</v>
      </c>
      <c r="O273" s="96" t="s">
        <v>1600</v>
      </c>
      <c r="P273" s="95" t="s">
        <v>670</v>
      </c>
      <c r="Q273" s="96" t="s">
        <v>1601</v>
      </c>
      <c r="R273" s="95" t="s">
        <v>670</v>
      </c>
      <c r="S273" s="96" t="s">
        <v>1129</v>
      </c>
      <c r="T273" s="13">
        <f>77507.45</f>
        <v>77507.45</v>
      </c>
      <c r="U273" s="97">
        <f>102</f>
        <v>102</v>
      </c>
      <c r="V273" s="97">
        <v>7</v>
      </c>
      <c r="W273" s="97"/>
      <c r="X273" s="97">
        <f>82918200</f>
        <v>82918200</v>
      </c>
      <c r="Y273" s="97">
        <v>5711200</v>
      </c>
      <c r="Z273" s="98"/>
      <c r="AA273" s="95" t="s">
        <v>60</v>
      </c>
      <c r="AB273" s="99">
        <f>92</f>
        <v>92</v>
      </c>
      <c r="AC273" s="99" t="str">
        <f t="shared" si="22"/>
        <v>－</v>
      </c>
      <c r="AD273" s="100">
        <f>6</f>
        <v>6</v>
      </c>
    </row>
    <row r="274" spans="1:30">
      <c r="A274" s="91" t="s">
        <v>46</v>
      </c>
      <c r="B274" s="92" t="s">
        <v>1594</v>
      </c>
      <c r="C274" s="92" t="s">
        <v>1595</v>
      </c>
      <c r="D274" s="92" t="s">
        <v>561</v>
      </c>
      <c r="E274" s="93" t="s">
        <v>716</v>
      </c>
      <c r="F274" s="93" t="s">
        <v>63</v>
      </c>
      <c r="G274" s="94">
        <v>10</v>
      </c>
      <c r="H274" s="95" t="s">
        <v>718</v>
      </c>
      <c r="I274" s="96" t="s">
        <v>1129</v>
      </c>
      <c r="J274" s="95" t="s">
        <v>718</v>
      </c>
      <c r="K274" s="96" t="s">
        <v>1129</v>
      </c>
      <c r="L274" s="95" t="s">
        <v>65</v>
      </c>
      <c r="M274" s="96" t="s">
        <v>1602</v>
      </c>
      <c r="N274" s="95" t="s">
        <v>197</v>
      </c>
      <c r="O274" s="96" t="s">
        <v>1576</v>
      </c>
      <c r="P274" s="95" t="s">
        <v>72</v>
      </c>
      <c r="Q274" s="96" t="s">
        <v>1603</v>
      </c>
      <c r="R274" s="95" t="s">
        <v>72</v>
      </c>
      <c r="S274" s="96" t="s">
        <v>1576</v>
      </c>
      <c r="T274" s="13">
        <f>77914.47</f>
        <v>77914.47</v>
      </c>
      <c r="U274" s="97">
        <f>71</f>
        <v>71</v>
      </c>
      <c r="V274" s="97">
        <v>15</v>
      </c>
      <c r="W274" s="97"/>
      <c r="X274" s="97">
        <f>56003000</f>
        <v>56003000</v>
      </c>
      <c r="Y274" s="97">
        <v>12064000</v>
      </c>
      <c r="Z274" s="98"/>
      <c r="AA274" s="95" t="s">
        <v>60</v>
      </c>
      <c r="AB274" s="99">
        <f>60</f>
        <v>60</v>
      </c>
      <c r="AC274" s="99" t="str">
        <f t="shared" si="22"/>
        <v>－</v>
      </c>
      <c r="AD274" s="100">
        <f>7</f>
        <v>7</v>
      </c>
    </row>
    <row r="275" spans="1:30">
      <c r="A275" s="91" t="s">
        <v>46</v>
      </c>
      <c r="B275" s="92" t="s">
        <v>1594</v>
      </c>
      <c r="C275" s="92" t="s">
        <v>1595</v>
      </c>
      <c r="D275" s="92" t="s">
        <v>74</v>
      </c>
      <c r="E275" s="93" t="s">
        <v>1000</v>
      </c>
      <c r="F275" s="93" t="s">
        <v>678</v>
      </c>
      <c r="G275" s="94">
        <v>10</v>
      </c>
      <c r="H275" s="95" t="s">
        <v>197</v>
      </c>
      <c r="I275" s="96" t="s">
        <v>1597</v>
      </c>
      <c r="J275" s="95" t="s">
        <v>197</v>
      </c>
      <c r="K275" s="96" t="s">
        <v>1597</v>
      </c>
      <c r="L275" s="95" t="s">
        <v>684</v>
      </c>
      <c r="M275" s="96" t="s">
        <v>1586</v>
      </c>
      <c r="N275" s="95" t="s">
        <v>1447</v>
      </c>
      <c r="O275" s="96" t="s">
        <v>1604</v>
      </c>
      <c r="P275" s="95" t="s">
        <v>1488</v>
      </c>
      <c r="Q275" s="96" t="s">
        <v>1571</v>
      </c>
      <c r="R275" s="95" t="s">
        <v>684</v>
      </c>
      <c r="S275" s="96" t="s">
        <v>1605</v>
      </c>
      <c r="T275" s="13">
        <f>77272.34</f>
        <v>77272.34</v>
      </c>
      <c r="U275" s="97">
        <f>72</f>
        <v>72</v>
      </c>
      <c r="V275" s="97">
        <v>14</v>
      </c>
      <c r="W275" s="97"/>
      <c r="X275" s="97">
        <f>54019000</f>
        <v>54019000</v>
      </c>
      <c r="Y275" s="97">
        <v>10546000</v>
      </c>
      <c r="Z275" s="98"/>
      <c r="AA275" s="95" t="s">
        <v>60</v>
      </c>
      <c r="AB275" s="99">
        <f>59</f>
        <v>59</v>
      </c>
      <c r="AC275" s="99" t="str">
        <f t="shared" si="22"/>
        <v>－</v>
      </c>
      <c r="AD275" s="100">
        <f>9</f>
        <v>9</v>
      </c>
    </row>
    <row r="276" spans="1:30">
      <c r="A276" s="91" t="s">
        <v>46</v>
      </c>
      <c r="B276" s="92" t="s">
        <v>1594</v>
      </c>
      <c r="C276" s="92" t="s">
        <v>1595</v>
      </c>
      <c r="D276" s="92" t="s">
        <v>576</v>
      </c>
      <c r="E276" s="93" t="s">
        <v>1063</v>
      </c>
      <c r="F276" s="93" t="s">
        <v>199</v>
      </c>
      <c r="G276" s="94">
        <v>10</v>
      </c>
      <c r="H276" s="95" t="s">
        <v>65</v>
      </c>
      <c r="I276" s="96" t="s">
        <v>1105</v>
      </c>
      <c r="J276" s="95" t="s">
        <v>1144</v>
      </c>
      <c r="K276" s="96" t="s">
        <v>1129</v>
      </c>
      <c r="L276" s="95" t="s">
        <v>852</v>
      </c>
      <c r="M276" s="96" t="s">
        <v>1606</v>
      </c>
      <c r="N276" s="95" t="s">
        <v>574</v>
      </c>
      <c r="O276" s="96" t="s">
        <v>1607</v>
      </c>
      <c r="P276" s="95" t="s">
        <v>852</v>
      </c>
      <c r="Q276" s="96" t="s">
        <v>1606</v>
      </c>
      <c r="R276" s="95" t="s">
        <v>203</v>
      </c>
      <c r="S276" s="96" t="s">
        <v>1052</v>
      </c>
      <c r="T276" s="13">
        <f>77338.62</f>
        <v>77338.62</v>
      </c>
      <c r="U276" s="97">
        <f>48</f>
        <v>48</v>
      </c>
      <c r="V276" s="97">
        <v>12</v>
      </c>
      <c r="W276" s="97"/>
      <c r="X276" s="97">
        <f>38001000</f>
        <v>38001000</v>
      </c>
      <c r="Y276" s="97">
        <v>9600000</v>
      </c>
      <c r="Z276" s="98"/>
      <c r="AA276" s="95" t="s">
        <v>60</v>
      </c>
      <c r="AB276" s="99">
        <f>47</f>
        <v>47</v>
      </c>
      <c r="AC276" s="99" t="str">
        <f t="shared" si="22"/>
        <v>－</v>
      </c>
      <c r="AD276" s="100">
        <f>8</f>
        <v>8</v>
      </c>
    </row>
    <row r="277" spans="1:30">
      <c r="A277" s="91" t="s">
        <v>46</v>
      </c>
      <c r="B277" s="92" t="s">
        <v>1594</v>
      </c>
      <c r="C277" s="92" t="s">
        <v>1595</v>
      </c>
      <c r="D277" s="92" t="s">
        <v>81</v>
      </c>
      <c r="E277" s="93" t="s">
        <v>744</v>
      </c>
      <c r="F277" s="93" t="s">
        <v>693</v>
      </c>
      <c r="G277" s="94">
        <v>10</v>
      </c>
      <c r="H277" s="95" t="s">
        <v>1144</v>
      </c>
      <c r="I277" s="96" t="s">
        <v>1129</v>
      </c>
      <c r="J277" s="95" t="s">
        <v>1144</v>
      </c>
      <c r="K277" s="96" t="s">
        <v>1129</v>
      </c>
      <c r="L277" s="95"/>
      <c r="M277" s="96"/>
      <c r="N277" s="95" t="s">
        <v>311</v>
      </c>
      <c r="O277" s="96" t="s">
        <v>1087</v>
      </c>
      <c r="P277" s="95"/>
      <c r="Q277" s="96"/>
      <c r="R277" s="95" t="s">
        <v>311</v>
      </c>
      <c r="S277" s="96" t="s">
        <v>1136</v>
      </c>
      <c r="T277" s="13">
        <f>78036.28</f>
        <v>78036.28</v>
      </c>
      <c r="U277" s="97">
        <f>14</f>
        <v>14</v>
      </c>
      <c r="V277" s="97"/>
      <c r="W277" s="97"/>
      <c r="X277" s="97">
        <f>10655000</f>
        <v>10655000</v>
      </c>
      <c r="Y277" s="97"/>
      <c r="Z277" s="98"/>
      <c r="AA277" s="95" t="s">
        <v>60</v>
      </c>
      <c r="AB277" s="99">
        <f>14</f>
        <v>14</v>
      </c>
      <c r="AC277" s="99" t="str">
        <f t="shared" si="22"/>
        <v>－</v>
      </c>
      <c r="AD277" s="100">
        <f>3</f>
        <v>3</v>
      </c>
    </row>
    <row r="278" spans="1:30">
      <c r="A278" s="91" t="s">
        <v>46</v>
      </c>
      <c r="B278" s="92" t="s">
        <v>1594</v>
      </c>
      <c r="C278" s="92" t="s">
        <v>1595</v>
      </c>
      <c r="D278" s="92" t="s">
        <v>596</v>
      </c>
      <c r="E278" s="93" t="s">
        <v>824</v>
      </c>
      <c r="F278" s="93" t="s">
        <v>205</v>
      </c>
      <c r="G278" s="94">
        <v>10</v>
      </c>
      <c r="H278" s="95" t="s">
        <v>197</v>
      </c>
      <c r="I278" s="96" t="s">
        <v>1111</v>
      </c>
      <c r="J278" s="95" t="s">
        <v>852</v>
      </c>
      <c r="K278" s="96" t="s">
        <v>1129</v>
      </c>
      <c r="L278" s="95"/>
      <c r="M278" s="96"/>
      <c r="N278" s="95" t="s">
        <v>209</v>
      </c>
      <c r="O278" s="96" t="s">
        <v>1608</v>
      </c>
      <c r="P278" s="95"/>
      <c r="Q278" s="96"/>
      <c r="R278" s="95" t="s">
        <v>209</v>
      </c>
      <c r="S278" s="96" t="s">
        <v>1584</v>
      </c>
      <c r="T278" s="13">
        <f>77765.08</f>
        <v>77765.08</v>
      </c>
      <c r="U278" s="97">
        <f>34</f>
        <v>34</v>
      </c>
      <c r="V278" s="97"/>
      <c r="W278" s="97"/>
      <c r="X278" s="97">
        <f>26569000</f>
        <v>26569000</v>
      </c>
      <c r="Y278" s="97"/>
      <c r="Z278" s="98"/>
      <c r="AA278" s="95" t="s">
        <v>60</v>
      </c>
      <c r="AB278" s="99">
        <f>34</f>
        <v>34</v>
      </c>
      <c r="AC278" s="99" t="str">
        <f t="shared" si="22"/>
        <v>－</v>
      </c>
      <c r="AD278" s="100">
        <f>3</f>
        <v>3</v>
      </c>
    </row>
    <row r="279" spans="1:30">
      <c r="A279" s="91" t="s">
        <v>46</v>
      </c>
      <c r="B279" s="92" t="s">
        <v>1594</v>
      </c>
      <c r="C279" s="92" t="s">
        <v>1595</v>
      </c>
      <c r="D279" s="92" t="s">
        <v>93</v>
      </c>
      <c r="E279" s="93" t="s">
        <v>756</v>
      </c>
      <c r="F279" s="93" t="s">
        <v>1081</v>
      </c>
      <c r="G279" s="94">
        <v>10</v>
      </c>
      <c r="H279" s="95" t="s">
        <v>1585</v>
      </c>
      <c r="I279" s="96" t="s">
        <v>1052</v>
      </c>
      <c r="J279" s="95" t="s">
        <v>1585</v>
      </c>
      <c r="K279" s="96" t="s">
        <v>1052</v>
      </c>
      <c r="L279" s="95"/>
      <c r="M279" s="96"/>
      <c r="N279" s="95" t="s">
        <v>1374</v>
      </c>
      <c r="O279" s="96" t="s">
        <v>1597</v>
      </c>
      <c r="P279" s="95"/>
      <c r="Q279" s="96"/>
      <c r="R279" s="95" t="s">
        <v>472</v>
      </c>
      <c r="S279" s="96" t="s">
        <v>1609</v>
      </c>
      <c r="T279" s="13">
        <f>76826.07</f>
        <v>76826.070000000007</v>
      </c>
      <c r="U279" s="97">
        <f>77</f>
        <v>77</v>
      </c>
      <c r="V279" s="97"/>
      <c r="W279" s="97"/>
      <c r="X279" s="97">
        <f>59674000</f>
        <v>59674000</v>
      </c>
      <c r="Y279" s="97"/>
      <c r="Z279" s="98"/>
      <c r="AA279" s="95" t="s">
        <v>60</v>
      </c>
      <c r="AB279" s="99">
        <f>74</f>
        <v>74</v>
      </c>
      <c r="AC279" s="99" t="str">
        <f t="shared" si="22"/>
        <v>－</v>
      </c>
      <c r="AD279" s="100">
        <f>3</f>
        <v>3</v>
      </c>
    </row>
    <row r="280" spans="1:30">
      <c r="A280" s="91" t="s">
        <v>46</v>
      </c>
      <c r="B280" s="92" t="s">
        <v>1594</v>
      </c>
      <c r="C280" s="92" t="s">
        <v>1595</v>
      </c>
      <c r="D280" s="92" t="s">
        <v>614</v>
      </c>
      <c r="E280" s="93" t="s">
        <v>129</v>
      </c>
      <c r="F280" s="93" t="s">
        <v>211</v>
      </c>
      <c r="G280" s="94">
        <v>10</v>
      </c>
      <c r="H280" s="95" t="s">
        <v>798</v>
      </c>
      <c r="I280" s="96" t="s">
        <v>1610</v>
      </c>
      <c r="J280" s="95" t="s">
        <v>1296</v>
      </c>
      <c r="K280" s="96" t="s">
        <v>1611</v>
      </c>
      <c r="L280" s="95" t="s">
        <v>214</v>
      </c>
      <c r="M280" s="96" t="s">
        <v>1612</v>
      </c>
      <c r="N280" s="95" t="s">
        <v>1455</v>
      </c>
      <c r="O280" s="96" t="s">
        <v>1613</v>
      </c>
      <c r="P280" s="95" t="s">
        <v>1296</v>
      </c>
      <c r="Q280" s="96" t="s">
        <v>1614</v>
      </c>
      <c r="R280" s="95" t="s">
        <v>214</v>
      </c>
      <c r="S280" s="96" t="s">
        <v>1611</v>
      </c>
      <c r="T280" s="13">
        <f>76339.34</f>
        <v>76339.34</v>
      </c>
      <c r="U280" s="97">
        <f>54</f>
        <v>54</v>
      </c>
      <c r="V280" s="97">
        <v>32</v>
      </c>
      <c r="W280" s="97"/>
      <c r="X280" s="97">
        <f>42676000</f>
        <v>42676000</v>
      </c>
      <c r="Y280" s="97">
        <v>25376000</v>
      </c>
      <c r="Z280" s="98"/>
      <c r="AA280" s="95" t="s">
        <v>60</v>
      </c>
      <c r="AB280" s="99">
        <f>39</f>
        <v>39</v>
      </c>
      <c r="AC280" s="99" t="str">
        <f t="shared" si="22"/>
        <v>－</v>
      </c>
      <c r="AD280" s="100">
        <f>4</f>
        <v>4</v>
      </c>
    </row>
    <row r="281" spans="1:30">
      <c r="A281" s="91" t="s">
        <v>46</v>
      </c>
      <c r="B281" s="92" t="s">
        <v>1594</v>
      </c>
      <c r="C281" s="92" t="s">
        <v>1595</v>
      </c>
      <c r="D281" s="92" t="s">
        <v>105</v>
      </c>
      <c r="E281" s="93" t="s">
        <v>771</v>
      </c>
      <c r="F281" s="93" t="s">
        <v>810</v>
      </c>
      <c r="G281" s="94">
        <v>10</v>
      </c>
      <c r="H281" s="95" t="s">
        <v>236</v>
      </c>
      <c r="I281" s="96" t="s">
        <v>1052</v>
      </c>
      <c r="J281" s="95" t="s">
        <v>805</v>
      </c>
      <c r="K281" s="96" t="s">
        <v>1615</v>
      </c>
      <c r="L281" s="95" t="s">
        <v>1158</v>
      </c>
      <c r="M281" s="96" t="s">
        <v>1602</v>
      </c>
      <c r="N281" s="95" t="s">
        <v>1455</v>
      </c>
      <c r="O281" s="96" t="s">
        <v>1099</v>
      </c>
      <c r="P281" s="95" t="s">
        <v>1158</v>
      </c>
      <c r="Q281" s="96" t="s">
        <v>1077</v>
      </c>
      <c r="R281" s="95" t="s">
        <v>1158</v>
      </c>
      <c r="S281" s="96" t="s">
        <v>1046</v>
      </c>
      <c r="T281" s="13">
        <f>76708.8</f>
        <v>76708.800000000003</v>
      </c>
      <c r="U281" s="97">
        <f>143</f>
        <v>143</v>
      </c>
      <c r="V281" s="97">
        <v>53</v>
      </c>
      <c r="W281" s="97"/>
      <c r="X281" s="97">
        <f>113365000</f>
        <v>113365000</v>
      </c>
      <c r="Y281" s="97">
        <v>42280000</v>
      </c>
      <c r="Z281" s="98"/>
      <c r="AA281" s="95" t="s">
        <v>60</v>
      </c>
      <c r="AB281" s="99">
        <f>95</f>
        <v>95</v>
      </c>
      <c r="AC281" s="99" t="str">
        <f t="shared" si="22"/>
        <v>－</v>
      </c>
      <c r="AD281" s="100">
        <f>11</f>
        <v>11</v>
      </c>
    </row>
    <row r="282" spans="1:30">
      <c r="A282" s="91" t="s">
        <v>46</v>
      </c>
      <c r="B282" s="92" t="s">
        <v>1594</v>
      </c>
      <c r="C282" s="92" t="s">
        <v>1595</v>
      </c>
      <c r="D282" s="92" t="s">
        <v>624</v>
      </c>
      <c r="E282" s="93" t="s">
        <v>76</v>
      </c>
      <c r="F282" s="93" t="s">
        <v>107</v>
      </c>
      <c r="G282" s="94">
        <v>10</v>
      </c>
      <c r="H282" s="95" t="s">
        <v>629</v>
      </c>
      <c r="I282" s="96" t="s">
        <v>1596</v>
      </c>
      <c r="J282" s="95" t="s">
        <v>629</v>
      </c>
      <c r="K282" s="96" t="s">
        <v>1616</v>
      </c>
      <c r="L282" s="95" t="s">
        <v>147</v>
      </c>
      <c r="M282" s="96" t="s">
        <v>1602</v>
      </c>
      <c r="N282" s="95" t="s">
        <v>629</v>
      </c>
      <c r="O282" s="96" t="s">
        <v>1596</v>
      </c>
      <c r="P282" s="95" t="s">
        <v>113</v>
      </c>
      <c r="Q282" s="96" t="s">
        <v>1617</v>
      </c>
      <c r="R282" s="95" t="s">
        <v>219</v>
      </c>
      <c r="S282" s="96" t="s">
        <v>1618</v>
      </c>
      <c r="T282" s="13">
        <f>76941.46</f>
        <v>76941.460000000006</v>
      </c>
      <c r="U282" s="97">
        <f>59</f>
        <v>59</v>
      </c>
      <c r="V282" s="97">
        <v>38</v>
      </c>
      <c r="W282" s="97"/>
      <c r="X282" s="97">
        <f>47276000</f>
        <v>47276000</v>
      </c>
      <c r="Y282" s="97">
        <v>30382000</v>
      </c>
      <c r="Z282" s="98"/>
      <c r="AA282" s="95" t="s">
        <v>60</v>
      </c>
      <c r="AB282" s="99">
        <f>46</f>
        <v>46</v>
      </c>
      <c r="AC282" s="99" t="str">
        <f t="shared" si="22"/>
        <v>－</v>
      </c>
      <c r="AD282" s="100">
        <f>3</f>
        <v>3</v>
      </c>
    </row>
    <row r="283" spans="1:30">
      <c r="A283" s="91" t="s">
        <v>46</v>
      </c>
      <c r="B283" s="92" t="s">
        <v>1594</v>
      </c>
      <c r="C283" s="92" t="s">
        <v>1595</v>
      </c>
      <c r="D283" s="92" t="s">
        <v>115</v>
      </c>
      <c r="E283" s="93" t="s">
        <v>784</v>
      </c>
      <c r="F283" s="93" t="s">
        <v>745</v>
      </c>
      <c r="G283" s="94">
        <v>10</v>
      </c>
      <c r="H283" s="95"/>
      <c r="I283" s="96" t="s">
        <v>261</v>
      </c>
      <c r="J283" s="95"/>
      <c r="K283" s="96" t="s">
        <v>261</v>
      </c>
      <c r="L283" s="95"/>
      <c r="M283" s="96"/>
      <c r="N283" s="95"/>
      <c r="O283" s="96" t="s">
        <v>261</v>
      </c>
      <c r="P283" s="95"/>
      <c r="Q283" s="96"/>
      <c r="R283" s="95"/>
      <c r="S283" s="96" t="s">
        <v>261</v>
      </c>
      <c r="T283" s="13">
        <f>76814.81</f>
        <v>76814.81</v>
      </c>
      <c r="U283" s="97" t="str">
        <f t="shared" ref="U283:U288" si="26">"－"</f>
        <v>－</v>
      </c>
      <c r="V283" s="97"/>
      <c r="W283" s="97"/>
      <c r="X283" s="97" t="str">
        <f t="shared" ref="X283:X288" si="27">"－"</f>
        <v>－</v>
      </c>
      <c r="Y283" s="97"/>
      <c r="Z283" s="98"/>
      <c r="AA283" s="95"/>
      <c r="AB283" s="99" t="str">
        <f t="shared" ref="AB283:AB288" si="28">"－"</f>
        <v>－</v>
      </c>
      <c r="AC283" s="99" t="str">
        <f t="shared" si="22"/>
        <v>－</v>
      </c>
      <c r="AD283" s="100" t="str">
        <f t="shared" si="22"/>
        <v>－</v>
      </c>
    </row>
    <row r="284" spans="1:30">
      <c r="A284" s="91" t="s">
        <v>46</v>
      </c>
      <c r="B284" s="92" t="s">
        <v>1594</v>
      </c>
      <c r="C284" s="92" t="s">
        <v>1595</v>
      </c>
      <c r="D284" s="92" t="s">
        <v>634</v>
      </c>
      <c r="E284" s="93" t="s">
        <v>83</v>
      </c>
      <c r="F284" s="93" t="s">
        <v>1103</v>
      </c>
      <c r="G284" s="94">
        <v>10</v>
      </c>
      <c r="H284" s="95"/>
      <c r="I284" s="96" t="s">
        <v>261</v>
      </c>
      <c r="J284" s="95"/>
      <c r="K284" s="96" t="s">
        <v>261</v>
      </c>
      <c r="L284" s="95"/>
      <c r="M284" s="96"/>
      <c r="N284" s="95"/>
      <c r="O284" s="96" t="s">
        <v>261</v>
      </c>
      <c r="P284" s="95"/>
      <c r="Q284" s="96"/>
      <c r="R284" s="95"/>
      <c r="S284" s="96" t="s">
        <v>261</v>
      </c>
      <c r="T284" s="13">
        <f>77232.56</f>
        <v>77232.56</v>
      </c>
      <c r="U284" s="97" t="str">
        <f t="shared" si="26"/>
        <v>－</v>
      </c>
      <c r="V284" s="97"/>
      <c r="W284" s="97"/>
      <c r="X284" s="97" t="str">
        <f t="shared" si="27"/>
        <v>－</v>
      </c>
      <c r="Y284" s="97"/>
      <c r="Z284" s="98"/>
      <c r="AA284" s="95"/>
      <c r="AB284" s="99" t="str">
        <f t="shared" si="28"/>
        <v>－</v>
      </c>
      <c r="AC284" s="99" t="str">
        <f t="shared" si="22"/>
        <v>－</v>
      </c>
      <c r="AD284" s="100" t="str">
        <f t="shared" si="22"/>
        <v>－</v>
      </c>
    </row>
    <row r="285" spans="1:30">
      <c r="A285" s="91" t="s">
        <v>46</v>
      </c>
      <c r="B285" s="92" t="s">
        <v>1594</v>
      </c>
      <c r="C285" s="92" t="s">
        <v>1595</v>
      </c>
      <c r="D285" s="92" t="s">
        <v>128</v>
      </c>
      <c r="E285" s="93" t="s">
        <v>707</v>
      </c>
      <c r="F285" s="93" t="s">
        <v>1106</v>
      </c>
      <c r="G285" s="94">
        <v>10</v>
      </c>
      <c r="H285" s="95"/>
      <c r="I285" s="96" t="s">
        <v>261</v>
      </c>
      <c r="J285" s="95"/>
      <c r="K285" s="96" t="s">
        <v>261</v>
      </c>
      <c r="L285" s="95"/>
      <c r="M285" s="96"/>
      <c r="N285" s="95"/>
      <c r="O285" s="96" t="s">
        <v>261</v>
      </c>
      <c r="P285" s="95"/>
      <c r="Q285" s="96"/>
      <c r="R285" s="95"/>
      <c r="S285" s="96" t="s">
        <v>261</v>
      </c>
      <c r="T285" s="13">
        <f>77000</f>
        <v>77000</v>
      </c>
      <c r="U285" s="97" t="str">
        <f t="shared" si="26"/>
        <v>－</v>
      </c>
      <c r="V285" s="97"/>
      <c r="W285" s="97"/>
      <c r="X285" s="97" t="str">
        <f t="shared" si="27"/>
        <v>－</v>
      </c>
      <c r="Y285" s="97"/>
      <c r="Z285" s="98"/>
      <c r="AA285" s="95"/>
      <c r="AB285" s="99" t="str">
        <f t="shared" si="28"/>
        <v>－</v>
      </c>
      <c r="AC285" s="99" t="str">
        <f t="shared" si="22"/>
        <v>－</v>
      </c>
      <c r="AD285" s="100" t="str">
        <f t="shared" si="22"/>
        <v>－</v>
      </c>
    </row>
    <row r="286" spans="1:30">
      <c r="A286" s="91" t="s">
        <v>46</v>
      </c>
      <c r="B286" s="92" t="s">
        <v>1594</v>
      </c>
      <c r="C286" s="92" t="s">
        <v>1595</v>
      </c>
      <c r="D286" s="92" t="s">
        <v>641</v>
      </c>
      <c r="E286" s="93" t="s">
        <v>95</v>
      </c>
      <c r="F286" s="93" t="s">
        <v>130</v>
      </c>
      <c r="G286" s="94">
        <v>10</v>
      </c>
      <c r="H286" s="95"/>
      <c r="I286" s="96" t="s">
        <v>261</v>
      </c>
      <c r="J286" s="95"/>
      <c r="K286" s="96" t="s">
        <v>261</v>
      </c>
      <c r="L286" s="95"/>
      <c r="M286" s="96"/>
      <c r="N286" s="95"/>
      <c r="O286" s="96" t="s">
        <v>261</v>
      </c>
      <c r="P286" s="95"/>
      <c r="Q286" s="96"/>
      <c r="R286" s="95"/>
      <c r="S286" s="96" t="s">
        <v>261</v>
      </c>
      <c r="T286" s="13">
        <f>77000</f>
        <v>77000</v>
      </c>
      <c r="U286" s="97" t="str">
        <f t="shared" si="26"/>
        <v>－</v>
      </c>
      <c r="V286" s="97"/>
      <c r="W286" s="97"/>
      <c r="X286" s="97" t="str">
        <f t="shared" si="27"/>
        <v>－</v>
      </c>
      <c r="Y286" s="97"/>
      <c r="Z286" s="98"/>
      <c r="AA286" s="95"/>
      <c r="AB286" s="99" t="str">
        <f t="shared" si="28"/>
        <v>－</v>
      </c>
      <c r="AC286" s="99" t="str">
        <f t="shared" si="22"/>
        <v>－</v>
      </c>
      <c r="AD286" s="100" t="str">
        <f t="shared" si="22"/>
        <v>－</v>
      </c>
    </row>
    <row r="287" spans="1:30">
      <c r="A287" s="91" t="s">
        <v>46</v>
      </c>
      <c r="B287" s="92" t="s">
        <v>1594</v>
      </c>
      <c r="C287" s="92" t="s">
        <v>1595</v>
      </c>
      <c r="D287" s="92" t="s">
        <v>140</v>
      </c>
      <c r="E287" s="93" t="s">
        <v>1009</v>
      </c>
      <c r="F287" s="93" t="s">
        <v>772</v>
      </c>
      <c r="G287" s="94">
        <v>10</v>
      </c>
      <c r="H287" s="95"/>
      <c r="I287" s="96" t="s">
        <v>261</v>
      </c>
      <c r="J287" s="95"/>
      <c r="K287" s="96" t="s">
        <v>261</v>
      </c>
      <c r="L287" s="95"/>
      <c r="M287" s="96"/>
      <c r="N287" s="95"/>
      <c r="O287" s="96" t="s">
        <v>261</v>
      </c>
      <c r="P287" s="95"/>
      <c r="Q287" s="96"/>
      <c r="R287" s="95"/>
      <c r="S287" s="96" t="s">
        <v>261</v>
      </c>
      <c r="T287" s="13">
        <f>77000</f>
        <v>77000</v>
      </c>
      <c r="U287" s="97" t="str">
        <f t="shared" si="26"/>
        <v>－</v>
      </c>
      <c r="V287" s="97"/>
      <c r="W287" s="97"/>
      <c r="X287" s="97" t="str">
        <f t="shared" si="27"/>
        <v>－</v>
      </c>
      <c r="Y287" s="97"/>
      <c r="Z287" s="98"/>
      <c r="AA287" s="95"/>
      <c r="AB287" s="99" t="str">
        <f t="shared" si="28"/>
        <v>－</v>
      </c>
      <c r="AC287" s="99" t="str">
        <f t="shared" si="22"/>
        <v>－</v>
      </c>
      <c r="AD287" s="100" t="str">
        <f t="shared" si="22"/>
        <v>－</v>
      </c>
    </row>
    <row r="288" spans="1:30">
      <c r="A288" s="91" t="s">
        <v>46</v>
      </c>
      <c r="B288" s="92" t="s">
        <v>1594</v>
      </c>
      <c r="C288" s="92" t="s">
        <v>1595</v>
      </c>
      <c r="D288" s="92" t="s">
        <v>783</v>
      </c>
      <c r="E288" s="93" t="s">
        <v>177</v>
      </c>
      <c r="F288" s="93" t="s">
        <v>1107</v>
      </c>
      <c r="G288" s="94">
        <v>10</v>
      </c>
      <c r="H288" s="95"/>
      <c r="I288" s="96" t="s">
        <v>261</v>
      </c>
      <c r="J288" s="95"/>
      <c r="K288" s="96" t="s">
        <v>261</v>
      </c>
      <c r="L288" s="95"/>
      <c r="M288" s="96"/>
      <c r="N288" s="95"/>
      <c r="O288" s="96" t="s">
        <v>261</v>
      </c>
      <c r="P288" s="95"/>
      <c r="Q288" s="96"/>
      <c r="R288" s="95"/>
      <c r="S288" s="96" t="s">
        <v>261</v>
      </c>
      <c r="T288" s="13">
        <f>77000</f>
        <v>77000</v>
      </c>
      <c r="U288" s="97" t="str">
        <f t="shared" si="26"/>
        <v>－</v>
      </c>
      <c r="V288" s="97"/>
      <c r="W288" s="97"/>
      <c r="X288" s="97" t="str">
        <f t="shared" si="27"/>
        <v>－</v>
      </c>
      <c r="Y288" s="97"/>
      <c r="Z288" s="98"/>
      <c r="AA288" s="95"/>
      <c r="AB288" s="99" t="str">
        <f t="shared" si="28"/>
        <v>－</v>
      </c>
      <c r="AC288" s="99" t="str">
        <f t="shared" si="22"/>
        <v>－</v>
      </c>
      <c r="AD288" s="100" t="str">
        <f t="shared" si="22"/>
        <v>－</v>
      </c>
    </row>
  </sheetData>
  <mergeCells count="34">
    <mergeCell ref="E6:F6"/>
    <mergeCell ref="AA6:AB6"/>
    <mergeCell ref="O4:O5"/>
    <mergeCell ref="P4:Q4"/>
    <mergeCell ref="R4:R5"/>
    <mergeCell ref="S4:S5"/>
    <mergeCell ref="U4:U5"/>
    <mergeCell ref="V4:V5"/>
    <mergeCell ref="H4:H5"/>
    <mergeCell ref="I4:I5"/>
    <mergeCell ref="J4:J5"/>
    <mergeCell ref="K4:K5"/>
    <mergeCell ref="L4:M4"/>
    <mergeCell ref="N4:N5"/>
    <mergeCell ref="T3:T5"/>
    <mergeCell ref="U3:W3"/>
    <mergeCell ref="X3:Z3"/>
    <mergeCell ref="AA3:AB5"/>
    <mergeCell ref="AC3:AC5"/>
    <mergeCell ref="AD3:AD5"/>
    <mergeCell ref="W4:W5"/>
    <mergeCell ref="X4:X5"/>
    <mergeCell ref="Y4:Y5"/>
    <mergeCell ref="Z4:Z5"/>
    <mergeCell ref="A1:K1"/>
    <mergeCell ref="A2:C2"/>
    <mergeCell ref="AA2:AB2"/>
    <mergeCell ref="A3:A5"/>
    <mergeCell ref="B3:B6"/>
    <mergeCell ref="C3:C6"/>
    <mergeCell ref="D3:D5"/>
    <mergeCell ref="E3:F5"/>
    <mergeCell ref="G3:G5"/>
    <mergeCell ref="H3:S3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5" fitToHeight="0" orientation="landscape" useFirstPageNumber="1" r:id="rId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BO_DY0005</vt:lpstr>
      <vt:lpstr>BO_DY0007</vt:lpstr>
      <vt:lpstr>BO_DY0005!Print_Titles</vt:lpstr>
      <vt:lpstr>BO_DY0007!Print_Titles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T_情報サービス部1(RPA)</cp:lastModifiedBy>
  <cp:lastPrinted>2020-10-07T09:06:52Z</cp:lastPrinted>
  <dcterms:created xsi:type="dcterms:W3CDTF">2017-12-14T02:19:15Z</dcterms:created>
  <dcterms:modified xsi:type="dcterms:W3CDTF">2023-01-10T05:38:17Z</dcterms:modified>
</cp:coreProperties>
</file>