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mc="http://schemas.openxmlformats.org/markup-compatibility/2006" xmlns:r="http://schemas.openxmlformats.org/officeDocument/2006/relationships" xmlns:x15="http://schemas.microsoft.com/office/spreadsheetml/2010/11/main" xmlns:xr="http://schemas.microsoft.com/office/spreadsheetml/2014/revision" xmlns:xr10="http://schemas.microsoft.com/office/spreadsheetml/2016/revision10" xmlns:xr2="http://schemas.microsoft.com/office/spreadsheetml/2015/revision2" xmlns:xr6="http://schemas.microsoft.com/office/spreadsheetml/2016/revision6" mc:Ignorable="x15 xr xr6 xr10 xr2">
  <fileVersion appName="xl" lastEdited="7" lowestEdited="5" rupBuild="24026"/>
  <workbookPr defaultThemeVersion="124226"/>
  <mc:AlternateContent>
    <mc:Choice Requires="x15">
      <x15ac:absPath xmlns:x15ac="http://schemas.microsoft.com/office/spreadsheetml/2010/11/ac" url="C:\SVN2\dev003_J-GATE3\src\05_contents\04_xlsx\"/>
    </mc:Choice>
  </mc:AlternateContent>
  <xr:revisionPtr documentId="13_ncr:1_{0B83FD4A-3506-424D-94BB-998D79AF6C07}" revIDLastSave="0" xr10:uidLastSave="{00000000-0000-0000-0000-000000000000}" xr6:coauthVersionLast="47" xr6:coauthVersionMax="47"/>
  <bookViews>
    <workbookView windowHeight="11160" windowWidth="20730" xWindow="-120" xr2:uid="{00000000-000D-0000-FFFF-FFFF00000000}" yWindow="-120"/>
  </bookViews>
  <sheets>
    <sheet name="BO_DY0003" r:id="rId1" sheetId="8"/>
  </sheets>
  <definedNames>
    <definedName localSheetId="0" name="_xlnm.Print_Titles">BO_DY0003!$1:$6</definedName>
  </definedNames>
  <calcPr calcId="191029"/>
</workbook>
</file>

<file path=xl/sharedStrings.xml><?xml version="1.0" encoding="utf-8"?>
<sst xmlns="http://schemas.openxmlformats.org/spreadsheetml/2006/main" count="7497" uniqueCount="1293">
  <si>
    <t>限月取引</t>
  </si>
  <si>
    <t>取引高（単位）</t>
  </si>
  <si>
    <t>値付日数</t>
  </si>
  <si>
    <t>始　値（円）</t>
  </si>
  <si>
    <t xml:space="preserve"> </t>
  </si>
  <si>
    <t>　</t>
  </si>
  <si>
    <t>Contract Month</t>
  </si>
  <si>
    <t>High(￥)</t>
  </si>
  <si>
    <t>J-NET(￥)</t>
  </si>
  <si>
    <t>Low(￥)</t>
  </si>
  <si>
    <t>Close(￥)</t>
  </si>
  <si>
    <t>J-NET(unit)</t>
    <phoneticPr fontId="5"/>
  </si>
  <si>
    <t>権利行使価格（円）</t>
    <phoneticPr fontId="5"/>
  </si>
  <si>
    <t>権利行使数量
（単位）</t>
    <phoneticPr fontId="5"/>
  </si>
  <si>
    <t>J-NET(￥)</t>
    <phoneticPr fontId="5"/>
  </si>
  <si>
    <t>取引金額（円）</t>
    <phoneticPr fontId="5"/>
  </si>
  <si>
    <t>Securities Options Quotations</t>
    <phoneticPr fontId="5"/>
  </si>
  <si>
    <t>有価証券オプション相場表</t>
    <rPh eb="2" sb="0">
      <t>ユウカ</t>
    </rPh>
    <rPh eb="4" sb="2">
      <t>ショウケン</t>
    </rPh>
    <phoneticPr fontId="5"/>
  </si>
  <si>
    <t>取　引
開始日</t>
    <phoneticPr fontId="5"/>
  </si>
  <si>
    <t>First
Trading
Day</t>
    <phoneticPr fontId="5"/>
  </si>
  <si>
    <t>Code</t>
  </si>
  <si>
    <t>銘柄
コード</t>
    <rPh eb="2" sb="0">
      <t>メイガラ</t>
    </rPh>
    <phoneticPr fontId="5"/>
  </si>
  <si>
    <t>うちJ-NET取引
（単位）</t>
    <phoneticPr fontId="5"/>
  </si>
  <si>
    <t>うちJ-NET取引
（円）</t>
    <phoneticPr fontId="5"/>
  </si>
  <si>
    <t>Trading 
Value(￥)</t>
    <phoneticPr fontId="5"/>
  </si>
  <si>
    <t>建玉現在高
（単位）</t>
    <phoneticPr fontId="5"/>
  </si>
  <si>
    <t>Open 
Interest
(unit)</t>
    <phoneticPr fontId="5"/>
  </si>
  <si>
    <t>Contracts
Exercised
(unit)</t>
    <phoneticPr fontId="5"/>
  </si>
  <si>
    <t>Trading Volume
(unit)</t>
    <phoneticPr fontId="5"/>
  </si>
  <si>
    <t>年</t>
    <phoneticPr fontId="5"/>
  </si>
  <si>
    <t>Year</t>
    <phoneticPr fontId="5"/>
  </si>
  <si>
    <t>日</t>
    <rPh eb="1" sb="0">
      <t>ヒ</t>
    </rPh>
    <phoneticPr fontId="5"/>
  </si>
  <si>
    <t>Open(￥)</t>
    <phoneticPr fontId="5"/>
  </si>
  <si>
    <t>高　値（円）</t>
    <phoneticPr fontId="5"/>
  </si>
  <si>
    <t>日</t>
    <phoneticPr fontId="5"/>
  </si>
  <si>
    <t>うちJ-NET
取引（円）</t>
    <phoneticPr fontId="5"/>
  </si>
  <si>
    <t>安　値（円）</t>
    <phoneticPr fontId="5"/>
  </si>
  <si>
    <t>終　値（円）</t>
    <phoneticPr fontId="5"/>
  </si>
  <si>
    <t>Days
Traded</t>
    <phoneticPr fontId="5"/>
  </si>
  <si>
    <t>銘柄名称</t>
    <phoneticPr fontId="5"/>
  </si>
  <si>
    <t>Issues</t>
    <phoneticPr fontId="5"/>
  </si>
  <si>
    <t>プットコール
区分</t>
    <rPh eb="9" sb="7">
      <t>クブン</t>
    </rPh>
    <phoneticPr fontId="5"/>
  </si>
  <si>
    <t>株  価  Price</t>
    <rPh eb="1" sb="0">
      <t>カブ</t>
    </rPh>
    <rPh eb="4" sb="3">
      <t>カ</t>
    </rPh>
    <phoneticPr fontId="5"/>
  </si>
  <si>
    <t>Put/Call
Type</t>
    <phoneticPr fontId="5"/>
  </si>
  <si>
    <t>Date</t>
    <phoneticPr fontId="5"/>
  </si>
  <si>
    <t>終値平均（円）</t>
    <phoneticPr fontId="5"/>
  </si>
  <si>
    <t>Average
Closing Price
(￥)</t>
    <phoneticPr fontId="5"/>
  </si>
  <si>
    <t>Exercise
Price(￥)</t>
    <phoneticPr fontId="5"/>
  </si>
  <si>
    <t>フレックス
決済区分</t>
    <phoneticPr fontId="5"/>
  </si>
  <si>
    <t>FLEX
Settlement
Type</t>
    <phoneticPr fontId="5"/>
  </si>
  <si>
    <t>2022</t>
  </si>
  <si>
    <t>1306</t>
  </si>
  <si>
    <t>ＮＥＸＴ　ＦＵＮＤＳ　ＴＯＰＩＸ連動型上場投信</t>
  </si>
  <si>
    <t>NEXT FUNDS TOPIX Exchange Traded Fund</t>
  </si>
  <si>
    <t>P</t>
  </si>
  <si>
    <t>2022/01</t>
  </si>
  <si>
    <t>2021/11/12</t>
  </si>
  <si>
    <t>－</t>
  </si>
  <si>
    <t>*</t>
  </si>
  <si>
    <t>2022/02</t>
  </si>
  <si>
    <t>2021/12/10</t>
  </si>
  <si>
    <t>2/4</t>
  </si>
  <si>
    <t>15.90</t>
  </si>
  <si>
    <t>2022/03</t>
  </si>
  <si>
    <t>2021/07/09</t>
  </si>
  <si>
    <t>1/18</t>
  </si>
  <si>
    <t>25.80</t>
  </si>
  <si>
    <t>2022/04</t>
  </si>
  <si>
    <t>2022/02/25</t>
  </si>
  <si>
    <t>3/15</t>
  </si>
  <si>
    <t>6.00</t>
  </si>
  <si>
    <t>10.00</t>
  </si>
  <si>
    <t>2022/02/10</t>
  </si>
  <si>
    <t>16.90</t>
  </si>
  <si>
    <t>3/17</t>
  </si>
  <si>
    <t>7.60</t>
  </si>
  <si>
    <t>2/16</t>
  </si>
  <si>
    <t>49.20</t>
  </si>
  <si>
    <t>4/7</t>
  </si>
  <si>
    <t>7.00</t>
  </si>
  <si>
    <t>2022/08</t>
  </si>
  <si>
    <t>2022/06/10</t>
  </si>
  <si>
    <t>6/15</t>
  </si>
  <si>
    <t>55.00</t>
  </si>
  <si>
    <t>2022/09</t>
  </si>
  <si>
    <t>2022/01/14</t>
  </si>
  <si>
    <t>7/20</t>
  </si>
  <si>
    <t>19.60</t>
  </si>
  <si>
    <t>2022/10</t>
  </si>
  <si>
    <t>2022/08/12</t>
  </si>
  <si>
    <t>8/25</t>
  </si>
  <si>
    <t>9.00</t>
  </si>
  <si>
    <t>8/12</t>
  </si>
  <si>
    <t>35.50</t>
  </si>
  <si>
    <t>9/9</t>
  </si>
  <si>
    <t>20.00</t>
  </si>
  <si>
    <t>2022/11</t>
  </si>
  <si>
    <t>2022/09/09</t>
  </si>
  <si>
    <t>9/14</t>
  </si>
  <si>
    <t>45.00</t>
  </si>
  <si>
    <t>2023/01</t>
  </si>
  <si>
    <t>2022/11/11</t>
  </si>
  <si>
    <t>11/16</t>
  </si>
  <si>
    <t>35.00</t>
  </si>
  <si>
    <t>C</t>
  </si>
  <si>
    <t>1/20</t>
  </si>
  <si>
    <t>66.50</t>
  </si>
  <si>
    <t>2/25</t>
  </si>
  <si>
    <t>16.60</t>
  </si>
  <si>
    <t>72.00</t>
  </si>
  <si>
    <t>12.20</t>
  </si>
  <si>
    <t>4.50</t>
  </si>
  <si>
    <t>2022/05</t>
  </si>
  <si>
    <t>2022/03/11</t>
  </si>
  <si>
    <t>4/21</t>
  </si>
  <si>
    <t>50.00</t>
  </si>
  <si>
    <t>2022/06</t>
  </si>
  <si>
    <t>2021/10/08</t>
  </si>
  <si>
    <t>5/17</t>
  </si>
  <si>
    <t>82.50</t>
  </si>
  <si>
    <t>5/6</t>
  </si>
  <si>
    <t>65.50</t>
  </si>
  <si>
    <t>2.90</t>
  </si>
  <si>
    <t>7/8</t>
  </si>
  <si>
    <t>36.00</t>
  </si>
  <si>
    <t>65.00</t>
  </si>
  <si>
    <t>56.00</t>
  </si>
  <si>
    <t>2022/12</t>
  </si>
  <si>
    <t>2022/04/08</t>
  </si>
  <si>
    <t>11/1</t>
  </si>
  <si>
    <t>67.50</t>
  </si>
  <si>
    <t>1321</t>
  </si>
  <si>
    <t>ＮＥＸＴ　ＦＵＮＤＳ　日経２２５連動型上場投信</t>
  </si>
  <si>
    <t>NEXT FUNDS Nikkei 225 Exchange Traded Fund</t>
  </si>
  <si>
    <t>2021/12/03</t>
  </si>
  <si>
    <t>2021/11/30</t>
  </si>
  <si>
    <t>2021/11/29</t>
  </si>
  <si>
    <t>1/12</t>
  </si>
  <si>
    <t>13.00</t>
  </si>
  <si>
    <t>1/6</t>
  </si>
  <si>
    <t>134.00</t>
  </si>
  <si>
    <t>136.00</t>
  </si>
  <si>
    <t>1/7</t>
  </si>
  <si>
    <t>304.00</t>
  </si>
  <si>
    <t>2022/01/26</t>
  </si>
  <si>
    <t>1/27</t>
  </si>
  <si>
    <t>450.00</t>
  </si>
  <si>
    <t>2/2</t>
  </si>
  <si>
    <t>57.00</t>
  </si>
  <si>
    <t>2022/01/20</t>
  </si>
  <si>
    <t>1/21</t>
  </si>
  <si>
    <t>420.00</t>
  </si>
  <si>
    <t>75.00</t>
  </si>
  <si>
    <t>2021/12/21</t>
  </si>
  <si>
    <t>1/14</t>
  </si>
  <si>
    <t>245.00</t>
  </si>
  <si>
    <t>1/19</t>
  </si>
  <si>
    <t>400.00</t>
  </si>
  <si>
    <t>2/9</t>
  </si>
  <si>
    <t>29.00</t>
  </si>
  <si>
    <t>316.00</t>
  </si>
  <si>
    <t>396.00</t>
  </si>
  <si>
    <t>1/5</t>
  </si>
  <si>
    <t>231.00</t>
  </si>
  <si>
    <t>459.00</t>
  </si>
  <si>
    <t>1/17</t>
  </si>
  <si>
    <t>622.00</t>
  </si>
  <si>
    <t>2022/01/28</t>
  </si>
  <si>
    <t>2/14</t>
  </si>
  <si>
    <t>350.00</t>
  </si>
  <si>
    <t>2/24</t>
  </si>
  <si>
    <t>430.00</t>
  </si>
  <si>
    <t>3/8</t>
  </si>
  <si>
    <t>397.00</t>
  </si>
  <si>
    <t>2021/08/23</t>
  </si>
  <si>
    <t>600.00</t>
  </si>
  <si>
    <t>801.00</t>
  </si>
  <si>
    <t>3/2</t>
  </si>
  <si>
    <t>190.00</t>
  </si>
  <si>
    <t>2021/07/21</t>
  </si>
  <si>
    <t>1/25</t>
  </si>
  <si>
    <t>501.00</t>
  </si>
  <si>
    <t>566.00</t>
  </si>
  <si>
    <t>250.00</t>
  </si>
  <si>
    <t>385.00</t>
  </si>
  <si>
    <t>2021/07/12</t>
  </si>
  <si>
    <t>552.00</t>
  </si>
  <si>
    <t>650.00</t>
  </si>
  <si>
    <t>2/10</t>
  </si>
  <si>
    <t>233.00</t>
  </si>
  <si>
    <t>2/17</t>
  </si>
  <si>
    <t>324.00</t>
  </si>
  <si>
    <t>489.00</t>
  </si>
  <si>
    <t>1,045.00</t>
  </si>
  <si>
    <t>637.00</t>
  </si>
  <si>
    <t>2/8</t>
  </si>
  <si>
    <t>776.00</t>
  </si>
  <si>
    <t>2022/03/08</t>
  </si>
  <si>
    <t>578.00</t>
  </si>
  <si>
    <t>3/9</t>
  </si>
  <si>
    <t>699.00</t>
  </si>
  <si>
    <t>4/4</t>
  </si>
  <si>
    <t>5.00</t>
  </si>
  <si>
    <t>3/11</t>
  </si>
  <si>
    <t>660.00</t>
  </si>
  <si>
    <t>4/6</t>
  </si>
  <si>
    <t>3.00</t>
  </si>
  <si>
    <t>434.00</t>
  </si>
  <si>
    <t>3/7</t>
  </si>
  <si>
    <t>922.00</t>
  </si>
  <si>
    <t>3/16</t>
  </si>
  <si>
    <t>530.00</t>
  </si>
  <si>
    <t>2022/02/16</t>
  </si>
  <si>
    <t>2/22</t>
  </si>
  <si>
    <t>641.00</t>
  </si>
  <si>
    <t>540.00</t>
  </si>
  <si>
    <t>2022/02/15</t>
  </si>
  <si>
    <t>790.00</t>
  </si>
  <si>
    <t>1,043.00</t>
  </si>
  <si>
    <t>3/23</t>
  </si>
  <si>
    <t>174.00</t>
  </si>
  <si>
    <t>3/24</t>
  </si>
  <si>
    <t>200.00</t>
  </si>
  <si>
    <t>3/22</t>
  </si>
  <si>
    <t>521.00</t>
  </si>
  <si>
    <t>4/1</t>
  </si>
  <si>
    <t>80.00</t>
  </si>
  <si>
    <t>112.00</t>
  </si>
  <si>
    <t>3/25</t>
  </si>
  <si>
    <t>329.00</t>
  </si>
  <si>
    <t>3/28</t>
  </si>
  <si>
    <t>347.00</t>
  </si>
  <si>
    <t>3/31</t>
  </si>
  <si>
    <t>321.00</t>
  </si>
  <si>
    <t>4/5</t>
  </si>
  <si>
    <t>222.00</t>
  </si>
  <si>
    <t>2022/03/14</t>
  </si>
  <si>
    <t>685.00</t>
  </si>
  <si>
    <t>3/14</t>
  </si>
  <si>
    <t>786.00</t>
  </si>
  <si>
    <t>837.00</t>
  </si>
  <si>
    <t>1,056.00</t>
  </si>
  <si>
    <t>5/12</t>
  </si>
  <si>
    <t>8.00</t>
  </si>
  <si>
    <t>614.00</t>
  </si>
  <si>
    <t>17.00</t>
  </si>
  <si>
    <t>4/12</t>
  </si>
  <si>
    <t>460.00</t>
  </si>
  <si>
    <t>99.00</t>
  </si>
  <si>
    <t>272.00</t>
  </si>
  <si>
    <t>4/27</t>
  </si>
  <si>
    <t>613.00</t>
  </si>
  <si>
    <t>204.00</t>
  </si>
  <si>
    <t>483.00</t>
  </si>
  <si>
    <t>2022/03/18</t>
  </si>
  <si>
    <t>561.00</t>
  </si>
  <si>
    <t>1,167.00</t>
  </si>
  <si>
    <t>4/20</t>
  </si>
  <si>
    <t>374.00</t>
  </si>
  <si>
    <t>980.00</t>
  </si>
  <si>
    <t>4/25</t>
  </si>
  <si>
    <t>1,018.00</t>
  </si>
  <si>
    <t>470.00</t>
  </si>
  <si>
    <t>794.00</t>
  </si>
  <si>
    <t>2022/03/23</t>
  </si>
  <si>
    <t>743.00</t>
  </si>
  <si>
    <t>4/14</t>
  </si>
  <si>
    <t>979.00</t>
  </si>
  <si>
    <t>2022/03/09</t>
  </si>
  <si>
    <t>5/9</t>
  </si>
  <si>
    <t>122.00</t>
  </si>
  <si>
    <t>4/13</t>
  </si>
  <si>
    <t>405.00</t>
  </si>
  <si>
    <t>484.00</t>
  </si>
  <si>
    <t>5/25</t>
  </si>
  <si>
    <t>102.00</t>
  </si>
  <si>
    <t>4/8</t>
  </si>
  <si>
    <t>452.00</t>
  </si>
  <si>
    <t>5/10</t>
  </si>
  <si>
    <t>720.00</t>
  </si>
  <si>
    <t>5/26</t>
  </si>
  <si>
    <t>110.00</t>
  </si>
  <si>
    <t>4/11</t>
  </si>
  <si>
    <t>609.00</t>
  </si>
  <si>
    <t>777.00</t>
  </si>
  <si>
    <t>6/9</t>
  </si>
  <si>
    <t>1,009.00</t>
  </si>
  <si>
    <t>5/23</t>
  </si>
  <si>
    <t>307.00</t>
  </si>
  <si>
    <t>5/24</t>
  </si>
  <si>
    <t>357.00</t>
  </si>
  <si>
    <t>5/18</t>
  </si>
  <si>
    <t>5/19</t>
  </si>
  <si>
    <t>1,014.00</t>
  </si>
  <si>
    <t>2022/07</t>
  </si>
  <si>
    <t>2022/05/13</t>
  </si>
  <si>
    <t>542.00</t>
  </si>
  <si>
    <t>6/17</t>
  </si>
  <si>
    <t>597.00</t>
  </si>
  <si>
    <t>6/21</t>
  </si>
  <si>
    <t>290.00</t>
  </si>
  <si>
    <t>826.00</t>
  </si>
  <si>
    <t>6/28</t>
  </si>
  <si>
    <t>95.00</t>
  </si>
  <si>
    <t>706.00</t>
  </si>
  <si>
    <t>7/7</t>
  </si>
  <si>
    <t>934.00</t>
  </si>
  <si>
    <t>6/7</t>
  </si>
  <si>
    <t>266.00</t>
  </si>
  <si>
    <t>7/5</t>
  </si>
  <si>
    <t>544.00</t>
  </si>
  <si>
    <t>2022/05/16</t>
  </si>
  <si>
    <t>526.00</t>
  </si>
  <si>
    <t>2022/06/20</t>
  </si>
  <si>
    <t>6/29</t>
  </si>
  <si>
    <t>335.00</t>
  </si>
  <si>
    <t>7/1</t>
  </si>
  <si>
    <t>601.00</t>
  </si>
  <si>
    <t>7/21</t>
  </si>
  <si>
    <t>60.00</t>
  </si>
  <si>
    <t>2022/06/16</t>
  </si>
  <si>
    <t>6/16</t>
  </si>
  <si>
    <t>593.00</t>
  </si>
  <si>
    <t>6/20</t>
  </si>
  <si>
    <t>1,075.00</t>
  </si>
  <si>
    <t>7/12</t>
  </si>
  <si>
    <t>446.00</t>
  </si>
  <si>
    <t>490.00</t>
  </si>
  <si>
    <t>2022/06/14</t>
  </si>
  <si>
    <t>634.00</t>
  </si>
  <si>
    <t>7/6</t>
  </si>
  <si>
    <t>852.00</t>
  </si>
  <si>
    <t>7/27</t>
  </si>
  <si>
    <t>7/22</t>
  </si>
  <si>
    <t>145.00</t>
  </si>
  <si>
    <t>7/25</t>
  </si>
  <si>
    <t>179.00</t>
  </si>
  <si>
    <t>7/28</t>
  </si>
  <si>
    <t>8/2</t>
  </si>
  <si>
    <t>108.00</t>
  </si>
  <si>
    <t>2022/06/13</t>
  </si>
  <si>
    <t>7/26</t>
  </si>
  <si>
    <t>282.00</t>
  </si>
  <si>
    <t>284.00</t>
  </si>
  <si>
    <t>7/29</t>
  </si>
  <si>
    <t>170.00</t>
  </si>
  <si>
    <t>361.00</t>
  </si>
  <si>
    <t>8/5</t>
  </si>
  <si>
    <t>123.00</t>
  </si>
  <si>
    <t>426.00</t>
  </si>
  <si>
    <t>557.00</t>
  </si>
  <si>
    <t>7/14</t>
  </si>
  <si>
    <t>454.00</t>
  </si>
  <si>
    <t>571.00</t>
  </si>
  <si>
    <t>700.00</t>
  </si>
  <si>
    <t>283.00</t>
  </si>
  <si>
    <t>391.00</t>
  </si>
  <si>
    <t>9/2</t>
  </si>
  <si>
    <t>2022/01/17</t>
  </si>
  <si>
    <t>8/4</t>
  </si>
  <si>
    <t>402.00</t>
  </si>
  <si>
    <t>8/30</t>
  </si>
  <si>
    <t>104.00</t>
  </si>
  <si>
    <t>9/7</t>
  </si>
  <si>
    <t>160.00</t>
  </si>
  <si>
    <t>8/1</t>
  </si>
  <si>
    <t>612.00</t>
  </si>
  <si>
    <t>8/26</t>
  </si>
  <si>
    <t>89.00</t>
  </si>
  <si>
    <t>360.00</t>
  </si>
  <si>
    <t>8/16</t>
  </si>
  <si>
    <t>273.00</t>
  </si>
  <si>
    <t>8/24</t>
  </si>
  <si>
    <t>184.00</t>
  </si>
  <si>
    <t>8/15</t>
  </si>
  <si>
    <t>504.00</t>
  </si>
  <si>
    <t>8/29</t>
  </si>
  <si>
    <t>1,066.00</t>
  </si>
  <si>
    <t>336.00</t>
  </si>
  <si>
    <t>871.00</t>
  </si>
  <si>
    <t>2022/09/08</t>
  </si>
  <si>
    <t>9/26</t>
  </si>
  <si>
    <t>475.00</t>
  </si>
  <si>
    <t>10/13</t>
  </si>
  <si>
    <t>41.00</t>
  </si>
  <si>
    <t>305.00</t>
  </si>
  <si>
    <t>480.00</t>
  </si>
  <si>
    <t>214.00</t>
  </si>
  <si>
    <t>10/11</t>
  </si>
  <si>
    <t>340.00</t>
  </si>
  <si>
    <t>9/22</t>
  </si>
  <si>
    <t>451.00</t>
  </si>
  <si>
    <t>9/1</t>
  </si>
  <si>
    <t>806.00</t>
  </si>
  <si>
    <t>9/13</t>
  </si>
  <si>
    <t>580.00</t>
  </si>
  <si>
    <t>9/12</t>
  </si>
  <si>
    <t>482.00</t>
  </si>
  <si>
    <t>2022/09/22</t>
  </si>
  <si>
    <t>10/25</t>
  </si>
  <si>
    <t>192.00</t>
  </si>
  <si>
    <t>9/29</t>
  </si>
  <si>
    <t>930.00</t>
  </si>
  <si>
    <t>11/4</t>
  </si>
  <si>
    <t>100.00</t>
  </si>
  <si>
    <t>528.00</t>
  </si>
  <si>
    <t>10/20</t>
  </si>
  <si>
    <t>1,535.00</t>
  </si>
  <si>
    <t>11/10</t>
  </si>
  <si>
    <t>10/27</t>
  </si>
  <si>
    <t>358.00</t>
  </si>
  <si>
    <t>10/28</t>
  </si>
  <si>
    <t>422.00</t>
  </si>
  <si>
    <t>11/8</t>
  </si>
  <si>
    <t>132.00</t>
  </si>
  <si>
    <t>10/24</t>
  </si>
  <si>
    <t>620.00</t>
  </si>
  <si>
    <t>11/30</t>
  </si>
  <si>
    <t>31.00</t>
  </si>
  <si>
    <t>633.00</t>
  </si>
  <si>
    <t>12/5</t>
  </si>
  <si>
    <t>30.00</t>
  </si>
  <si>
    <t>11/18</t>
  </si>
  <si>
    <t>11/25</t>
  </si>
  <si>
    <t>92.00</t>
  </si>
  <si>
    <t>212.00</t>
  </si>
  <si>
    <t>11/28</t>
  </si>
  <si>
    <t>279.00</t>
  </si>
  <si>
    <t>2022/04/15</t>
  </si>
  <si>
    <t>11/11</t>
  </si>
  <si>
    <t>705.00</t>
  </si>
  <si>
    <t>12/2</t>
  </si>
  <si>
    <t>854.00</t>
  </si>
  <si>
    <t>2022/12/26</t>
  </si>
  <si>
    <t>12/29</t>
  </si>
  <si>
    <t>84.00</t>
  </si>
  <si>
    <t>2022/12/21</t>
  </si>
  <si>
    <t>12/23</t>
  </si>
  <si>
    <t>260.00</t>
  </si>
  <si>
    <t>275.00</t>
  </si>
  <si>
    <t>12/30</t>
  </si>
  <si>
    <t>171.00</t>
  </si>
  <si>
    <t>2022/12/20</t>
  </si>
  <si>
    <t>465.00</t>
  </si>
  <si>
    <t>12/28</t>
  </si>
  <si>
    <t>300.00</t>
  </si>
  <si>
    <t>310.00</t>
  </si>
  <si>
    <t>12/21</t>
  </si>
  <si>
    <t>670.00</t>
  </si>
  <si>
    <t>12/12</t>
  </si>
  <si>
    <t>197.00</t>
  </si>
  <si>
    <t>474.00</t>
  </si>
  <si>
    <t>12/15</t>
  </si>
  <si>
    <t>12/16</t>
  </si>
  <si>
    <t>444.00</t>
  </si>
  <si>
    <t>533.00</t>
  </si>
  <si>
    <t>277.00</t>
  </si>
  <si>
    <t>2023/02</t>
  </si>
  <si>
    <t>331.00</t>
  </si>
  <si>
    <t>560.00</t>
  </si>
  <si>
    <t>12/26</t>
  </si>
  <si>
    <t>440.00</t>
  </si>
  <si>
    <t>445.00</t>
  </si>
  <si>
    <t>713.00</t>
  </si>
  <si>
    <t>606.00</t>
  </si>
  <si>
    <t>2022/12/09</t>
  </si>
  <si>
    <t>12/9</t>
  </si>
  <si>
    <t>390.00</t>
  </si>
  <si>
    <t>1,000.00</t>
  </si>
  <si>
    <t>12/19</t>
  </si>
  <si>
    <t>681.00</t>
  </si>
  <si>
    <t>239.00</t>
  </si>
  <si>
    <t>319.00</t>
  </si>
  <si>
    <t>1/13</t>
  </si>
  <si>
    <t>1/4</t>
  </si>
  <si>
    <t>410.00</t>
  </si>
  <si>
    <t>137.00</t>
  </si>
  <si>
    <t>311.00</t>
  </si>
  <si>
    <t>1/26</t>
  </si>
  <si>
    <t>70.00</t>
  </si>
  <si>
    <t>2/7</t>
  </si>
  <si>
    <t>18.00</t>
  </si>
  <si>
    <t>1/11</t>
  </si>
  <si>
    <t>62.00</t>
  </si>
  <si>
    <t>463.00</t>
  </si>
  <si>
    <t>3/10</t>
  </si>
  <si>
    <t>1,010.00</t>
  </si>
  <si>
    <t>354.00</t>
  </si>
  <si>
    <t>3/4</t>
  </si>
  <si>
    <t>441.00</t>
  </si>
  <si>
    <t>37.00</t>
  </si>
  <si>
    <t>2/28</t>
  </si>
  <si>
    <t>412.00</t>
  </si>
  <si>
    <t>259.00</t>
  </si>
  <si>
    <t>640.00</t>
  </si>
  <si>
    <t>2/15</t>
  </si>
  <si>
    <t>323.00</t>
  </si>
  <si>
    <t>3/1</t>
  </si>
  <si>
    <t>157.00</t>
  </si>
  <si>
    <t>2/3</t>
  </si>
  <si>
    <t>371.00</t>
  </si>
  <si>
    <t>884.00</t>
  </si>
  <si>
    <t>1,047.00</t>
  </si>
  <si>
    <t>1,490.00</t>
  </si>
  <si>
    <t>481.00</t>
  </si>
  <si>
    <t>318.00</t>
  </si>
  <si>
    <t>926.00</t>
  </si>
  <si>
    <t>209.00</t>
  </si>
  <si>
    <t>210.00</t>
  </si>
  <si>
    <t>524.00</t>
  </si>
  <si>
    <t>3/18</t>
  </si>
  <si>
    <t>94.00</t>
  </si>
  <si>
    <t>128.00</t>
  </si>
  <si>
    <t>2022/03/24</t>
  </si>
  <si>
    <t>1,082.00</t>
  </si>
  <si>
    <t>149.00</t>
  </si>
  <si>
    <t>730.00</t>
  </si>
  <si>
    <t>5/11</t>
  </si>
  <si>
    <t>46.00</t>
  </si>
  <si>
    <t>567.00</t>
  </si>
  <si>
    <t>940.00</t>
  </si>
  <si>
    <t>135.00</t>
  </si>
  <si>
    <t>821.00</t>
  </si>
  <si>
    <t>87.00</t>
  </si>
  <si>
    <t>172.00</t>
  </si>
  <si>
    <t>365.00</t>
  </si>
  <si>
    <t>5/13</t>
  </si>
  <si>
    <t>1,035.00</t>
  </si>
  <si>
    <t>1,920.00</t>
  </si>
  <si>
    <t>554.00</t>
  </si>
  <si>
    <t>404.00</t>
  </si>
  <si>
    <t>1,475.00</t>
  </si>
  <si>
    <t>1,420.00</t>
  </si>
  <si>
    <t>401.00</t>
  </si>
  <si>
    <t>4/28</t>
  </si>
  <si>
    <t>409.00</t>
  </si>
  <si>
    <t>5/20</t>
  </si>
  <si>
    <t>207.00</t>
  </si>
  <si>
    <t>6/6</t>
  </si>
  <si>
    <t>407.00</t>
  </si>
  <si>
    <t>479.00</t>
  </si>
  <si>
    <t>51.00</t>
  </si>
  <si>
    <t>6/8</t>
  </si>
  <si>
    <t>364.00</t>
  </si>
  <si>
    <t>6/27</t>
  </si>
  <si>
    <t>570.00</t>
  </si>
  <si>
    <t>6/23</t>
  </si>
  <si>
    <t>5/27</t>
  </si>
  <si>
    <t>624.00</t>
  </si>
  <si>
    <t>1,360.00</t>
  </si>
  <si>
    <t>5/31</t>
  </si>
  <si>
    <t>585.00</t>
  </si>
  <si>
    <t>63.00</t>
  </si>
  <si>
    <t>315.00</t>
  </si>
  <si>
    <t>649.00</t>
  </si>
  <si>
    <t>6/22</t>
  </si>
  <si>
    <t>38.00</t>
  </si>
  <si>
    <t>2022/05/18</t>
  </si>
  <si>
    <t>6/3</t>
  </si>
  <si>
    <t>53.00</t>
  </si>
  <si>
    <t>2022/05/31</t>
  </si>
  <si>
    <t>180.00</t>
  </si>
  <si>
    <t>271.00</t>
  </si>
  <si>
    <t>6/13</t>
  </si>
  <si>
    <t>67.00</t>
  </si>
  <si>
    <t>752.00</t>
  </si>
  <si>
    <t>990.00</t>
  </si>
  <si>
    <t>619.00</t>
  </si>
  <si>
    <t>8/9</t>
  </si>
  <si>
    <t>1,690.00</t>
  </si>
  <si>
    <t>8/10</t>
  </si>
  <si>
    <t>1,550.00</t>
  </si>
  <si>
    <t>575.00</t>
  </si>
  <si>
    <t>1,190.00</t>
  </si>
  <si>
    <t>380.00</t>
  </si>
  <si>
    <t>1,050.00</t>
  </si>
  <si>
    <t>345.00</t>
  </si>
  <si>
    <t>862.00</t>
  </si>
  <si>
    <t>201.00</t>
  </si>
  <si>
    <t>835.00</t>
  </si>
  <si>
    <t>386.00</t>
  </si>
  <si>
    <t>120.00</t>
  </si>
  <si>
    <t>175.00</t>
  </si>
  <si>
    <t>398.00</t>
  </si>
  <si>
    <t>7/19</t>
  </si>
  <si>
    <t>221.00</t>
  </si>
  <si>
    <t>652.00</t>
  </si>
  <si>
    <t>235.00</t>
  </si>
  <si>
    <t>270.00</t>
  </si>
  <si>
    <t>255.00</t>
  </si>
  <si>
    <t>8/23</t>
  </si>
  <si>
    <t>117.00</t>
  </si>
  <si>
    <t>9/30</t>
  </si>
  <si>
    <t>288.00</t>
  </si>
  <si>
    <t>9/5</t>
  </si>
  <si>
    <t>850.00</t>
  </si>
  <si>
    <t>962.00</t>
  </si>
  <si>
    <t>77.00</t>
  </si>
  <si>
    <t>627.00</t>
  </si>
  <si>
    <t>1,110.00</t>
  </si>
  <si>
    <t>9/27</t>
  </si>
  <si>
    <t>78.00</t>
  </si>
  <si>
    <t>9/28</t>
  </si>
  <si>
    <t>82.00</t>
  </si>
  <si>
    <t>545.00</t>
  </si>
  <si>
    <t>610.00</t>
  </si>
  <si>
    <t>9/16</t>
  </si>
  <si>
    <t>268.00</t>
  </si>
  <si>
    <t>9/20</t>
  </si>
  <si>
    <t>276.00</t>
  </si>
  <si>
    <t>8/17</t>
  </si>
  <si>
    <t>963.00</t>
  </si>
  <si>
    <t>9/21</t>
  </si>
  <si>
    <t>2022/08/15</t>
  </si>
  <si>
    <t>584.00</t>
  </si>
  <si>
    <t>265.00</t>
  </si>
  <si>
    <t>1,366.00</t>
  </si>
  <si>
    <t>704.00</t>
  </si>
  <si>
    <t>1,221.00</t>
  </si>
  <si>
    <t>556.00</t>
  </si>
  <si>
    <t>11/9</t>
  </si>
  <si>
    <t>847.00</t>
  </si>
  <si>
    <t>370.00</t>
  </si>
  <si>
    <t>269.00</t>
  </si>
  <si>
    <t>10/19</t>
  </si>
  <si>
    <t>10/5</t>
  </si>
  <si>
    <t>42.00</t>
  </si>
  <si>
    <t>675.00</t>
  </si>
  <si>
    <t>12/1</t>
  </si>
  <si>
    <t>1,279.00</t>
  </si>
  <si>
    <t>536.00</t>
  </si>
  <si>
    <t>11/24</t>
  </si>
  <si>
    <t>1,017.00</t>
  </si>
  <si>
    <t>12/8</t>
  </si>
  <si>
    <t>467.00</t>
  </si>
  <si>
    <t>655.00</t>
  </si>
  <si>
    <t>68.00</t>
  </si>
  <si>
    <t>421.00</t>
  </si>
  <si>
    <t>32.00</t>
  </si>
  <si>
    <t>2022/06/06</t>
  </si>
  <si>
    <t>194.00</t>
  </si>
  <si>
    <t>236.00</t>
  </si>
  <si>
    <t>353.00</t>
  </si>
  <si>
    <t>12/22</t>
  </si>
  <si>
    <t>406.00</t>
  </si>
  <si>
    <t>165.00</t>
  </si>
  <si>
    <t>573.00</t>
  </si>
  <si>
    <t>12/20</t>
  </si>
  <si>
    <t>587.00</t>
  </si>
  <si>
    <t>12/6</t>
  </si>
  <si>
    <t>724.00</t>
  </si>
  <si>
    <t>12/13</t>
  </si>
  <si>
    <t>810.00</t>
  </si>
  <si>
    <t>34.00</t>
  </si>
  <si>
    <t>11/29</t>
  </si>
  <si>
    <t>654.00</t>
  </si>
  <si>
    <t>152.00</t>
  </si>
  <si>
    <t>302.00</t>
  </si>
  <si>
    <t>337.00</t>
  </si>
  <si>
    <t>131.00</t>
  </si>
  <si>
    <t>2022/11/14</t>
  </si>
  <si>
    <t>11/22</t>
  </si>
  <si>
    <t>625.00</t>
  </si>
  <si>
    <t>515.00</t>
  </si>
  <si>
    <t>455.00</t>
  </si>
  <si>
    <t>349.00</t>
  </si>
  <si>
    <t>254.00</t>
  </si>
  <si>
    <t>291.00</t>
  </si>
  <si>
    <t>502.00</t>
  </si>
  <si>
    <t>2022/12/12</t>
  </si>
  <si>
    <t>12/14</t>
  </si>
  <si>
    <t>1330</t>
  </si>
  <si>
    <t>上場インデックスファンド２２５</t>
  </si>
  <si>
    <t>Nikko Exchange Traded Index Fund 225</t>
  </si>
  <si>
    <t>1,268.00</t>
  </si>
  <si>
    <t>150.50</t>
  </si>
  <si>
    <t>1343</t>
  </si>
  <si>
    <t>ＮＥＸＴ　ＦＵＮＤＳ　東証ＲＥＩＴ指数連動型上場投信</t>
  </si>
  <si>
    <t>NEXT FUNDS REIT INDEX ETF</t>
  </si>
  <si>
    <t>2023/03</t>
  </si>
  <si>
    <t>2022/07/11</t>
  </si>
  <si>
    <t>10/14</t>
  </si>
  <si>
    <t>1605</t>
  </si>
  <si>
    <t>ＩＮＰＥＸ</t>
  </si>
  <si>
    <t>INPEX CORPORATION</t>
  </si>
  <si>
    <t>1671</t>
  </si>
  <si>
    <t>ＷＴＩ原油価格連動型上場投信</t>
  </si>
  <si>
    <t>Simplex WTI ETF</t>
  </si>
  <si>
    <t>22.00</t>
  </si>
  <si>
    <t>52.00</t>
  </si>
  <si>
    <t>47.00</t>
  </si>
  <si>
    <t>2021/12/29</t>
  </si>
  <si>
    <t>103.00</t>
  </si>
  <si>
    <t>2021/10/11</t>
  </si>
  <si>
    <t>2021/10/19</t>
  </si>
  <si>
    <t>79.00</t>
  </si>
  <si>
    <t>1.00</t>
  </si>
  <si>
    <t>2022/02/08</t>
  </si>
  <si>
    <t>3/3</t>
  </si>
  <si>
    <t>2.00</t>
  </si>
  <si>
    <t>64.00</t>
  </si>
  <si>
    <t>27.00</t>
  </si>
  <si>
    <t>2022/03/03</t>
  </si>
  <si>
    <t>220.00</t>
  </si>
  <si>
    <t>90.00</t>
  </si>
  <si>
    <t>4/15</t>
  </si>
  <si>
    <t>2022/03/04</t>
  </si>
  <si>
    <t>139.00</t>
  </si>
  <si>
    <t>274.00</t>
  </si>
  <si>
    <t>5/30</t>
  </si>
  <si>
    <t>196.00</t>
  </si>
  <si>
    <t>6/14</t>
  </si>
  <si>
    <t>54.00</t>
  </si>
  <si>
    <t>73.00</t>
  </si>
  <si>
    <t>59.00</t>
  </si>
  <si>
    <t>240.00</t>
  </si>
  <si>
    <t>58.00</t>
  </si>
  <si>
    <t>674.00</t>
  </si>
  <si>
    <t>147.00</t>
  </si>
  <si>
    <t>262.00</t>
  </si>
  <si>
    <t>5/2</t>
  </si>
  <si>
    <t>130.00</t>
  </si>
  <si>
    <t>161.00</t>
  </si>
  <si>
    <t>1803</t>
  </si>
  <si>
    <t>清水建設</t>
  </si>
  <si>
    <t>SHIMIZU CORPORATION</t>
  </si>
  <si>
    <t>26.20</t>
  </si>
  <si>
    <t>11.80</t>
  </si>
  <si>
    <t>30.40</t>
  </si>
  <si>
    <t>2502</t>
  </si>
  <si>
    <t>アサヒグループホールディングス</t>
  </si>
  <si>
    <t>Asahi Group Holdings,Ltd.</t>
  </si>
  <si>
    <t>2021/11/18</t>
  </si>
  <si>
    <t>2021/08/04</t>
  </si>
  <si>
    <t>72.2</t>
  </si>
  <si>
    <t>72.1</t>
  </si>
  <si>
    <t>70.1</t>
  </si>
  <si>
    <t>66.3</t>
  </si>
  <si>
    <t>2022/05/17</t>
  </si>
  <si>
    <t>148.6</t>
  </si>
  <si>
    <t>148.5</t>
  </si>
  <si>
    <t>93.4</t>
  </si>
  <si>
    <t>70.4</t>
  </si>
  <si>
    <t>72.0</t>
  </si>
  <si>
    <t>115.4</t>
  </si>
  <si>
    <t>115.3</t>
  </si>
  <si>
    <t>90.0</t>
  </si>
  <si>
    <t>2651</t>
  </si>
  <si>
    <t>ローソン</t>
  </si>
  <si>
    <t>Lawson,Inc.</t>
  </si>
  <si>
    <t>2022/05/23</t>
  </si>
  <si>
    <t>139.50</t>
  </si>
  <si>
    <t>10/4</t>
  </si>
  <si>
    <t>15.00</t>
  </si>
  <si>
    <t>2802</t>
  </si>
  <si>
    <t>味の素</t>
  </si>
  <si>
    <t>Ajinomoto Co.,Inc.</t>
  </si>
  <si>
    <t>2021/07/14</t>
  </si>
  <si>
    <t>2022/05/10</t>
  </si>
  <si>
    <t>1,896.2</t>
  </si>
  <si>
    <t>1,195.0</t>
  </si>
  <si>
    <t>2914</t>
  </si>
  <si>
    <t>日本たばこ産業</t>
  </si>
  <si>
    <t>JAPAN TOBACCO INC.</t>
  </si>
  <si>
    <t>7/13</t>
  </si>
  <si>
    <t>150.00</t>
  </si>
  <si>
    <t>3092</t>
  </si>
  <si>
    <t>ＺＯＺＯ</t>
  </si>
  <si>
    <t>ZOZO,Inc.</t>
  </si>
  <si>
    <t>9/6</t>
  </si>
  <si>
    <t>162.50</t>
  </si>
  <si>
    <t>3402</t>
  </si>
  <si>
    <t>東レ</t>
  </si>
  <si>
    <t>TORAY INDUSTRIES,INC.</t>
  </si>
  <si>
    <t>188.6</t>
  </si>
  <si>
    <t>173.0</t>
  </si>
  <si>
    <t>5.70</t>
  </si>
  <si>
    <t>3405</t>
  </si>
  <si>
    <t>クラレ</t>
  </si>
  <si>
    <t>KURARAY CO.,LTD.</t>
  </si>
  <si>
    <t>2022/06/09</t>
  </si>
  <si>
    <t>353.9</t>
  </si>
  <si>
    <t>334.0</t>
  </si>
  <si>
    <t>3407</t>
  </si>
  <si>
    <t>旭化成</t>
  </si>
  <si>
    <t>ASAHI KASEI CORPORATION</t>
  </si>
  <si>
    <t>3436</t>
  </si>
  <si>
    <t>ＳＵＭＣＯ</t>
  </si>
  <si>
    <t>SUMCO CORPORATION</t>
  </si>
  <si>
    <t>3863</t>
  </si>
  <si>
    <t>日本製紙</t>
  </si>
  <si>
    <t>Nippon Paper Industries Co.,Ltd.</t>
  </si>
  <si>
    <t>31.90</t>
  </si>
  <si>
    <t>26.90</t>
  </si>
  <si>
    <t>9/8</t>
  </si>
  <si>
    <t>12.00</t>
  </si>
  <si>
    <t>19.40</t>
  </si>
  <si>
    <t>4062</t>
  </si>
  <si>
    <t>イビデン</t>
  </si>
  <si>
    <t>IBIDEN CO.,LTD.</t>
  </si>
  <si>
    <t>2021/09/13</t>
  </si>
  <si>
    <t>2,490.0</t>
  </si>
  <si>
    <t>2,149.2</t>
  </si>
  <si>
    <t>2021/10/29</t>
  </si>
  <si>
    <t>2,513.3</t>
  </si>
  <si>
    <t>3/29</t>
  </si>
  <si>
    <t>1,902.1</t>
  </si>
  <si>
    <t>8/19</t>
  </si>
  <si>
    <t>3,259.6</t>
  </si>
  <si>
    <t>3,234.9</t>
  </si>
  <si>
    <t>4063</t>
  </si>
  <si>
    <t>信越化学工業</t>
  </si>
  <si>
    <t>Shin-Etsu Chemical Co.,Ltd.</t>
  </si>
  <si>
    <t>344.3</t>
  </si>
  <si>
    <t>4452</t>
  </si>
  <si>
    <t>花王</t>
  </si>
  <si>
    <t>Kao Corporation</t>
  </si>
  <si>
    <t>60.50</t>
  </si>
  <si>
    <t>4502</t>
  </si>
  <si>
    <t>武田薬品工業</t>
  </si>
  <si>
    <t>Takeda Pharmaceutical Company Limited</t>
  </si>
  <si>
    <t>105.00</t>
  </si>
  <si>
    <t>2022/04/12</t>
  </si>
  <si>
    <t>88.0</t>
  </si>
  <si>
    <t>4519</t>
  </si>
  <si>
    <t>中外製薬</t>
  </si>
  <si>
    <t>CHUGAI PHARMACEUTICAL CO.,LTD.</t>
  </si>
  <si>
    <t>2023/06</t>
  </si>
  <si>
    <t>2022/10/17</t>
  </si>
  <si>
    <t>815.00</t>
  </si>
  <si>
    <t>4543</t>
  </si>
  <si>
    <t>テルモ</t>
  </si>
  <si>
    <t>TERUMO CORPORATION</t>
  </si>
  <si>
    <t>2021/12/24</t>
  </si>
  <si>
    <t>1,815.1</t>
  </si>
  <si>
    <t>1,494.0</t>
  </si>
  <si>
    <t>2,272.0</t>
  </si>
  <si>
    <t>1,830.4</t>
  </si>
  <si>
    <t>172.50</t>
  </si>
  <si>
    <t>10/26</t>
  </si>
  <si>
    <t>50.50</t>
  </si>
  <si>
    <t>2022/08/18</t>
  </si>
  <si>
    <t>1,504.9</t>
  </si>
  <si>
    <t>4568</t>
  </si>
  <si>
    <t>第一三共</t>
  </si>
  <si>
    <t>DAIICHI SANKYO COMPANY,LIMITED</t>
  </si>
  <si>
    <t>1,827.8</t>
  </si>
  <si>
    <t>1,726.7</t>
  </si>
  <si>
    <t>4689</t>
  </si>
  <si>
    <t>Ｚホールディングス</t>
  </si>
  <si>
    <t>Z Holdings Corporation</t>
  </si>
  <si>
    <t>2021/11/22</t>
  </si>
  <si>
    <t>325.3</t>
  </si>
  <si>
    <t>265.1</t>
  </si>
  <si>
    <t>225.2</t>
  </si>
  <si>
    <t>2022/04/20</t>
  </si>
  <si>
    <t>286.3</t>
  </si>
  <si>
    <t>213.5</t>
  </si>
  <si>
    <t>2022/08/04</t>
  </si>
  <si>
    <t>236.0</t>
  </si>
  <si>
    <t>4704</t>
  </si>
  <si>
    <t>トレンドマイクロ</t>
  </si>
  <si>
    <t>Trend Micro Incorporated</t>
  </si>
  <si>
    <t>2022/06/15</t>
  </si>
  <si>
    <t>3,275.7</t>
  </si>
  <si>
    <t>2,827.0</t>
  </si>
  <si>
    <t>4716</t>
  </si>
  <si>
    <t>日本オラクル</t>
  </si>
  <si>
    <t>ORACLE CORPORATION JAPAN</t>
  </si>
  <si>
    <t>79.9</t>
  </si>
  <si>
    <t>79.8</t>
  </si>
  <si>
    <t>4755</t>
  </si>
  <si>
    <t>楽天グループ</t>
  </si>
  <si>
    <t>Rakuten Group,Inc.</t>
  </si>
  <si>
    <t>2022/05/09</t>
  </si>
  <si>
    <t>144.50</t>
  </si>
  <si>
    <t>4911</t>
  </si>
  <si>
    <t>資生堂</t>
  </si>
  <si>
    <t>Shiseido Company,Limited</t>
  </si>
  <si>
    <t>2022/02/21</t>
  </si>
  <si>
    <t>2,905.7</t>
  </si>
  <si>
    <t>2,393.7</t>
  </si>
  <si>
    <t>5108</t>
  </si>
  <si>
    <t>ブリヂストン</t>
  </si>
  <si>
    <t>BRIDGESTONE CORPORATION</t>
  </si>
  <si>
    <t>25.00</t>
  </si>
  <si>
    <t>6/1</t>
  </si>
  <si>
    <t>16.00</t>
  </si>
  <si>
    <t>40.00</t>
  </si>
  <si>
    <t>11/7</t>
  </si>
  <si>
    <t>2022/04/21</t>
  </si>
  <si>
    <t>5802</t>
  </si>
  <si>
    <t>住友電気工業</t>
  </si>
  <si>
    <t>Sumitomo Electric Industries,Ltd.</t>
  </si>
  <si>
    <t>4/26</t>
  </si>
  <si>
    <t>5901</t>
  </si>
  <si>
    <t>東洋製罐グループホールディングス</t>
  </si>
  <si>
    <t>Toyo Seikan Group Holdings,Ltd.</t>
  </si>
  <si>
    <t>74.50</t>
  </si>
  <si>
    <t>6098</t>
  </si>
  <si>
    <t>リクルートホールディングス</t>
  </si>
  <si>
    <t>Recruit Holdings Co.,Ltd.</t>
  </si>
  <si>
    <t>2,633.0</t>
  </si>
  <si>
    <t>2,542.0</t>
  </si>
  <si>
    <t>2,132.3</t>
  </si>
  <si>
    <t>2021/11/04</t>
  </si>
  <si>
    <t>4,144.0</t>
  </si>
  <si>
    <t>3,041.1</t>
  </si>
  <si>
    <t>4,435.0</t>
  </si>
  <si>
    <t>4,152.1</t>
  </si>
  <si>
    <t>2022/08/01</t>
  </si>
  <si>
    <t>1,689.4</t>
  </si>
  <si>
    <t>6178</t>
  </si>
  <si>
    <t>日本郵政</t>
  </si>
  <si>
    <t>JAPAN POST HOLDINGS Co.,Ltd.</t>
  </si>
  <si>
    <t>6301</t>
  </si>
  <si>
    <t>小松製作所</t>
  </si>
  <si>
    <t>KOMATSU LTD.</t>
  </si>
  <si>
    <t>43.00</t>
  </si>
  <si>
    <t>6326</t>
  </si>
  <si>
    <t>クボタ</t>
  </si>
  <si>
    <t>KUBOTA CORPORATION</t>
  </si>
  <si>
    <t>2022/07/12</t>
  </si>
  <si>
    <t>633.4</t>
  </si>
  <si>
    <t>6472</t>
  </si>
  <si>
    <t>ＮＴＮ</t>
  </si>
  <si>
    <t>NTN CORPORATION</t>
  </si>
  <si>
    <t>6479</t>
  </si>
  <si>
    <t>ミネベアミツミ</t>
  </si>
  <si>
    <t>MINEBEA MITSUMI Inc.</t>
  </si>
  <si>
    <t>1,123.7</t>
  </si>
  <si>
    <t>1,035.8</t>
  </si>
  <si>
    <t>10/21</t>
  </si>
  <si>
    <t>6501</t>
  </si>
  <si>
    <t>日立製作所</t>
  </si>
  <si>
    <t>Hitachi,Ltd.</t>
  </si>
  <si>
    <t>2021/11/15</t>
  </si>
  <si>
    <t>1,719.0</t>
  </si>
  <si>
    <t>2,588.0</t>
  </si>
  <si>
    <t>2,363.3</t>
  </si>
  <si>
    <t>6502</t>
  </si>
  <si>
    <t>東芝</t>
  </si>
  <si>
    <t>TOSHIBA CORPORATION</t>
  </si>
  <si>
    <t>8.0</t>
  </si>
  <si>
    <t>7.9</t>
  </si>
  <si>
    <t>30.3</t>
  </si>
  <si>
    <t>27.4</t>
  </si>
  <si>
    <t>38.4</t>
  </si>
  <si>
    <t>32.0</t>
  </si>
  <si>
    <t>127.1</t>
  </si>
  <si>
    <t>127.0</t>
  </si>
  <si>
    <t>6503</t>
  </si>
  <si>
    <t>三菱電機</t>
  </si>
  <si>
    <t>Mitsubishi Electric Corporation</t>
  </si>
  <si>
    <t>25.3</t>
  </si>
  <si>
    <t>25.2</t>
  </si>
  <si>
    <t>16.2</t>
  </si>
  <si>
    <t>16.1</t>
  </si>
  <si>
    <t>34.4</t>
  </si>
  <si>
    <t>34.3</t>
  </si>
  <si>
    <t>30.4</t>
  </si>
  <si>
    <t>50.0</t>
  </si>
  <si>
    <t>69.5</t>
  </si>
  <si>
    <t>69.4</t>
  </si>
  <si>
    <t>2022/07/08</t>
  </si>
  <si>
    <t>38.9</t>
  </si>
  <si>
    <t>6594</t>
  </si>
  <si>
    <t>日本電産</t>
  </si>
  <si>
    <t>NIDEC CORPORATION</t>
  </si>
  <si>
    <t>4,761.8</t>
  </si>
  <si>
    <t>3,590.0</t>
  </si>
  <si>
    <t>188.5</t>
  </si>
  <si>
    <t>6701</t>
  </si>
  <si>
    <t>日本電気</t>
  </si>
  <si>
    <t>NEC Corporation</t>
  </si>
  <si>
    <t>2021/10/18</t>
  </si>
  <si>
    <t>2,536.6</t>
  </si>
  <si>
    <t>2,259.8</t>
  </si>
  <si>
    <t>2022/05/06</t>
  </si>
  <si>
    <t>1,755.0</t>
  </si>
  <si>
    <t>1,662.0</t>
  </si>
  <si>
    <t>6723</t>
  </si>
  <si>
    <t>ルネサスエレクトロニクス</t>
  </si>
  <si>
    <t>Renesas Electronics Corporation</t>
  </si>
  <si>
    <t>362.0</t>
  </si>
  <si>
    <t>6724</t>
  </si>
  <si>
    <t>セイコーエプソン</t>
  </si>
  <si>
    <t>SEIKO EPSON CORPORATION</t>
  </si>
  <si>
    <t>10.0</t>
  </si>
  <si>
    <t>9.9</t>
  </si>
  <si>
    <t>6752</t>
  </si>
  <si>
    <t>パナソニック　ホールディングス</t>
  </si>
  <si>
    <t>Panasonic Holdings Corporation</t>
  </si>
  <si>
    <t>2021/07/30</t>
  </si>
  <si>
    <t>6758</t>
  </si>
  <si>
    <t>ソニーグループ</t>
  </si>
  <si>
    <t>SONY GROUP CORPORATION</t>
  </si>
  <si>
    <t>2022/01/06</t>
  </si>
  <si>
    <t>4,700.0</t>
  </si>
  <si>
    <t>3,979.0</t>
  </si>
  <si>
    <t>4,738.6</t>
  </si>
  <si>
    <t>4,324.7</t>
  </si>
  <si>
    <t>424.50</t>
  </si>
  <si>
    <t>6762</t>
  </si>
  <si>
    <t>ＴＤＫ</t>
  </si>
  <si>
    <t>TDK Corporation</t>
  </si>
  <si>
    <t>6770</t>
  </si>
  <si>
    <t>アルプスアルパイン</t>
  </si>
  <si>
    <t>ALPS ALPINE CO.,LTD.</t>
  </si>
  <si>
    <t>6857</t>
  </si>
  <si>
    <t>アドバンテスト</t>
  </si>
  <si>
    <t>ADVANTEST CORPORATION</t>
  </si>
  <si>
    <t>6861</t>
  </si>
  <si>
    <t>キーエンス</t>
  </si>
  <si>
    <t>KEYENCE CORPORATION</t>
  </si>
  <si>
    <t>2021/12/17</t>
  </si>
  <si>
    <t>17,392.6</t>
  </si>
  <si>
    <t>14,604.7</t>
  </si>
  <si>
    <t>25,574.7</t>
  </si>
  <si>
    <t>25,519.8</t>
  </si>
  <si>
    <t>2021/11/05</t>
  </si>
  <si>
    <t>28,728.8</t>
  </si>
  <si>
    <t>25,612.9</t>
  </si>
  <si>
    <t>6902</t>
  </si>
  <si>
    <t>デンソー</t>
  </si>
  <si>
    <t>DENSO CORPORATION</t>
  </si>
  <si>
    <t>3,444.8</t>
  </si>
  <si>
    <t>3,190.4</t>
  </si>
  <si>
    <t>6954</t>
  </si>
  <si>
    <t>ファナック</t>
  </si>
  <si>
    <t>FANUC CORPORATION</t>
  </si>
  <si>
    <t>170.50</t>
  </si>
  <si>
    <t>1,200.00</t>
  </si>
  <si>
    <t>6971</t>
  </si>
  <si>
    <t>京セラ</t>
  </si>
  <si>
    <t>KYOCERA CORPORATION</t>
  </si>
  <si>
    <t>6976</t>
  </si>
  <si>
    <t>太陽誘電</t>
  </si>
  <si>
    <t>TAIYO YUDEN CO.,LTD.</t>
  </si>
  <si>
    <t>2022/01/05</t>
  </si>
  <si>
    <t>2,379.5</t>
  </si>
  <si>
    <t>2,219.9</t>
  </si>
  <si>
    <t>3,605.0</t>
  </si>
  <si>
    <t>3,129.2</t>
  </si>
  <si>
    <t>3,142.0</t>
  </si>
  <si>
    <t>2,730.5</t>
  </si>
  <si>
    <t>2022/06/08</t>
  </si>
  <si>
    <t>2,842.7</t>
  </si>
  <si>
    <t>2,710.0</t>
  </si>
  <si>
    <t>6988</t>
  </si>
  <si>
    <t>日東電工</t>
  </si>
  <si>
    <t>NITTO DENKO CORPORATION</t>
  </si>
  <si>
    <t>459.50</t>
  </si>
  <si>
    <t>7182</t>
  </si>
  <si>
    <t>ゆうちょ銀行</t>
  </si>
  <si>
    <t>JAPAN POST BANK Co.,Ltd.</t>
  </si>
  <si>
    <t>11/2</t>
  </si>
  <si>
    <t>7201</t>
  </si>
  <si>
    <t>日産自動車</t>
  </si>
  <si>
    <t>NISSAN MOTOR CO.,LTD.</t>
  </si>
  <si>
    <t>2021/11/11</t>
  </si>
  <si>
    <t>7/11</t>
  </si>
  <si>
    <t>7203</t>
  </si>
  <si>
    <t>トヨタ自動車</t>
  </si>
  <si>
    <t>TOYOTA MOTOR CORPORATION</t>
  </si>
  <si>
    <t>7270</t>
  </si>
  <si>
    <t>ＳＵＢＡＲＵ</t>
  </si>
  <si>
    <t>SUBARU CORPORATION</t>
  </si>
  <si>
    <t>2022/05/02</t>
  </si>
  <si>
    <t>7272</t>
  </si>
  <si>
    <t>ヤマハ発動機</t>
  </si>
  <si>
    <t>Yamaha Motor Co.,Ltd.</t>
  </si>
  <si>
    <t>2022/11/04</t>
  </si>
  <si>
    <t>7733</t>
  </si>
  <si>
    <t>オリンパス</t>
  </si>
  <si>
    <t>OLYMPUS CORPORATION</t>
  </si>
  <si>
    <t>22.1</t>
  </si>
  <si>
    <t>482.4</t>
  </si>
  <si>
    <t>402.7</t>
  </si>
  <si>
    <t>7741</t>
  </si>
  <si>
    <t>ＨＯＹＡ</t>
  </si>
  <si>
    <t>HOYA CORPORATION</t>
  </si>
  <si>
    <t>61.8</t>
  </si>
  <si>
    <t>61.7</t>
  </si>
  <si>
    <t>7751</t>
  </si>
  <si>
    <t>キヤノン</t>
  </si>
  <si>
    <t>CANON INC.</t>
  </si>
  <si>
    <t>19.3</t>
  </si>
  <si>
    <t>19.2</t>
  </si>
  <si>
    <t>7752</t>
  </si>
  <si>
    <t>リコー</t>
  </si>
  <si>
    <t>RICOH COMPANY,LTD.</t>
  </si>
  <si>
    <t>8.5</t>
  </si>
  <si>
    <t>8.4</t>
  </si>
  <si>
    <t>46.80</t>
  </si>
  <si>
    <t>6/2</t>
  </si>
  <si>
    <t>39.80</t>
  </si>
  <si>
    <t>7974</t>
  </si>
  <si>
    <t>任天堂</t>
  </si>
  <si>
    <t>Nintendo Co.,Ltd.</t>
  </si>
  <si>
    <t>8001</t>
  </si>
  <si>
    <t>伊藤忠商事</t>
  </si>
  <si>
    <t>ITOCHU Corporation</t>
  </si>
  <si>
    <t>47.40</t>
  </si>
  <si>
    <t>80.50</t>
  </si>
  <si>
    <t>8002</t>
  </si>
  <si>
    <t>丸紅</t>
  </si>
  <si>
    <t>Marubeni Corporation</t>
  </si>
  <si>
    <t>4.00</t>
  </si>
  <si>
    <t>11.00</t>
  </si>
  <si>
    <t>2021/11/25</t>
  </si>
  <si>
    <t>15.70</t>
  </si>
  <si>
    <t>19.90</t>
  </si>
  <si>
    <t>8031</t>
  </si>
  <si>
    <t>三井物産</t>
  </si>
  <si>
    <t>MITSUI &amp; CO.,LTD.</t>
  </si>
  <si>
    <t>66.00</t>
  </si>
  <si>
    <t>138.50</t>
  </si>
  <si>
    <t>88.00</t>
  </si>
  <si>
    <t>8035</t>
  </si>
  <si>
    <t>東京エレクトロン</t>
  </si>
  <si>
    <t>Tokyo Electron Limited</t>
  </si>
  <si>
    <t>800.3</t>
  </si>
  <si>
    <t>800.2</t>
  </si>
  <si>
    <t>2,710.00</t>
  </si>
  <si>
    <t>8053</t>
  </si>
  <si>
    <t>住友商事</t>
  </si>
  <si>
    <t>SUMITOMO CORPORATION (SUMITOMO SHOJI KAISHA,LTD.)</t>
  </si>
  <si>
    <t>10.50</t>
  </si>
  <si>
    <t>19.00</t>
  </si>
  <si>
    <t>14.00</t>
  </si>
  <si>
    <t>71.50</t>
  </si>
  <si>
    <t>8058</t>
  </si>
  <si>
    <t>三菱商事</t>
  </si>
  <si>
    <t>Mitsubishi Corporation</t>
  </si>
  <si>
    <t>42.50</t>
  </si>
  <si>
    <t>57.50</t>
  </si>
  <si>
    <t>86.00</t>
  </si>
  <si>
    <t>8/8</t>
  </si>
  <si>
    <t>162.00</t>
  </si>
  <si>
    <t>8113</t>
  </si>
  <si>
    <t>ユニ・チャーム</t>
  </si>
  <si>
    <t>UNICHARM CORPORATION</t>
  </si>
  <si>
    <t>188.50</t>
  </si>
  <si>
    <t>29.50</t>
  </si>
  <si>
    <t>8252</t>
  </si>
  <si>
    <t>丸井グループ</t>
  </si>
  <si>
    <t>MARUI GROUP CO.,LTD.</t>
  </si>
  <si>
    <t>563.0</t>
  </si>
  <si>
    <t>8267</t>
  </si>
  <si>
    <t>イオン</t>
  </si>
  <si>
    <t>AEON CO.,LTD.</t>
  </si>
  <si>
    <t>3.60</t>
  </si>
  <si>
    <t>59.50</t>
  </si>
  <si>
    <t>11/17</t>
  </si>
  <si>
    <t>32.70</t>
  </si>
  <si>
    <t>8306</t>
  </si>
  <si>
    <t>三菱ＵＦＪフィナンシャル・グループ</t>
  </si>
  <si>
    <t>Mitsubishi UFJ Financial Group,Inc.</t>
  </si>
  <si>
    <t>2/1</t>
  </si>
  <si>
    <t>33.00</t>
  </si>
  <si>
    <t>26.00</t>
  </si>
  <si>
    <t>12/7</t>
  </si>
  <si>
    <t>12/27</t>
  </si>
  <si>
    <t>8308</t>
  </si>
  <si>
    <t>りそなホールディングス</t>
  </si>
  <si>
    <t>Resona Holdings, Inc.</t>
  </si>
  <si>
    <t>8309</t>
  </si>
  <si>
    <t>三井住友トラスト・ホールディングス</t>
  </si>
  <si>
    <t>Sumitomo Mitsui Trust Holdings,Inc.</t>
  </si>
  <si>
    <t>56.0</t>
  </si>
  <si>
    <t>2021/08/12</t>
  </si>
  <si>
    <t>171.4</t>
  </si>
  <si>
    <t>171.3</t>
  </si>
  <si>
    <t>8316</t>
  </si>
  <si>
    <t>三井住友フィナンシャルグループ</t>
  </si>
  <si>
    <t>Sumitomo Mitsui Financial Group,Inc.</t>
  </si>
  <si>
    <t>79.50</t>
  </si>
  <si>
    <t>8410</t>
  </si>
  <si>
    <t>セブン銀行</t>
  </si>
  <si>
    <t>Seven Bank,Ltd.</t>
  </si>
  <si>
    <t>0.70</t>
  </si>
  <si>
    <t>2.40</t>
  </si>
  <si>
    <t>8411</t>
  </si>
  <si>
    <t>みずほフィナンシャルグループ</t>
  </si>
  <si>
    <t>Mizuho Financial Group,Inc.</t>
  </si>
  <si>
    <t>33.60</t>
  </si>
  <si>
    <t>27.50</t>
  </si>
  <si>
    <t>14.90</t>
  </si>
  <si>
    <t>24.00</t>
  </si>
  <si>
    <t>5.30</t>
  </si>
  <si>
    <t>8604</t>
  </si>
  <si>
    <t>野村ホールディングス</t>
  </si>
  <si>
    <t>Nomura Holdings, Inc.</t>
  </si>
  <si>
    <t>11/14</t>
  </si>
  <si>
    <t>8795</t>
  </si>
  <si>
    <t>Ｔ＆Ｄホールディングス</t>
  </si>
  <si>
    <t>T&amp;D Holdings, Inc.</t>
  </si>
  <si>
    <t>2022/10/14</t>
  </si>
  <si>
    <t>477.1</t>
  </si>
  <si>
    <t>8802</t>
  </si>
  <si>
    <t>三菱地所</t>
  </si>
  <si>
    <t>Mitsubishi Estate Company,Limited</t>
  </si>
  <si>
    <t>2022/01/25</t>
  </si>
  <si>
    <t>8/31</t>
  </si>
  <si>
    <t>22.70</t>
  </si>
  <si>
    <t>13.20</t>
  </si>
  <si>
    <t>9.80</t>
  </si>
  <si>
    <t>9101</t>
  </si>
  <si>
    <t>日本郵船</t>
  </si>
  <si>
    <t>Nippon Yusen Kabushiki Kaisha</t>
  </si>
  <si>
    <t>214.7</t>
  </si>
  <si>
    <t>2022/01/11</t>
  </si>
  <si>
    <t>210.9</t>
  </si>
  <si>
    <t>202.2</t>
  </si>
  <si>
    <t>2022/05/25</t>
  </si>
  <si>
    <t>200.0</t>
  </si>
  <si>
    <t>225.4</t>
  </si>
  <si>
    <t>84.6</t>
  </si>
  <si>
    <t>9104</t>
  </si>
  <si>
    <t>商船三井</t>
  </si>
  <si>
    <t>Mitsui O.S.K.Lines,Ltd.</t>
  </si>
  <si>
    <t>2022/03/25</t>
  </si>
  <si>
    <t>88.50</t>
  </si>
  <si>
    <t>391.0</t>
  </si>
  <si>
    <t>9142</t>
  </si>
  <si>
    <t>九州旅客鉄道</t>
  </si>
  <si>
    <t>Kyushu Railway Company</t>
  </si>
  <si>
    <t>33.20</t>
  </si>
  <si>
    <t>37.10</t>
  </si>
  <si>
    <t>2022/04/14</t>
  </si>
  <si>
    <t>9432</t>
  </si>
  <si>
    <t>日本電信電話</t>
  </si>
  <si>
    <t>NIPPON TELEGRAPH AND TELEPHONE CORPORATION</t>
  </si>
  <si>
    <t>2/21</t>
  </si>
  <si>
    <t>103.1</t>
  </si>
  <si>
    <t>84.0</t>
  </si>
  <si>
    <t>2022/01/07</t>
  </si>
  <si>
    <t>126.4</t>
  </si>
  <si>
    <t>20.0</t>
  </si>
  <si>
    <t>81.3</t>
  </si>
  <si>
    <t>6/24</t>
  </si>
  <si>
    <t>53.4</t>
  </si>
  <si>
    <t>2022/02/02</t>
  </si>
  <si>
    <t>72.6</t>
  </si>
  <si>
    <t>72.5</t>
  </si>
  <si>
    <t>74.2</t>
  </si>
  <si>
    <t>73.0</t>
  </si>
  <si>
    <t>66.5</t>
  </si>
  <si>
    <t>66.4</t>
  </si>
  <si>
    <t>152.1</t>
  </si>
  <si>
    <t>149.2</t>
  </si>
  <si>
    <t>124.3</t>
  </si>
  <si>
    <t>9433</t>
  </si>
  <si>
    <t>ＫＤＤＩ</t>
  </si>
  <si>
    <t>KDDI CORPORATION</t>
  </si>
  <si>
    <t>14.40</t>
  </si>
  <si>
    <t>2022/03/15</t>
  </si>
  <si>
    <t>78.50</t>
  </si>
  <si>
    <t>28.50</t>
  </si>
  <si>
    <t>9504</t>
  </si>
  <si>
    <t>中国電力</t>
  </si>
  <si>
    <t>The Chugoku Electric Power Company,Incorporated</t>
  </si>
  <si>
    <t>25.20</t>
  </si>
  <si>
    <t>9513</t>
  </si>
  <si>
    <t>電源開発</t>
  </si>
  <si>
    <t>Electric Power Development Co.,Ltd.</t>
  </si>
  <si>
    <t>2022/02/04</t>
  </si>
  <si>
    <t>9735</t>
  </si>
  <si>
    <t>セコム</t>
  </si>
  <si>
    <t>SECOM CO.,LTD.</t>
  </si>
  <si>
    <t>4/22</t>
  </si>
  <si>
    <t>251.4</t>
  </si>
  <si>
    <t>203.2</t>
  </si>
  <si>
    <t>274.9</t>
  </si>
  <si>
    <t>274.8</t>
  </si>
  <si>
    <t>163.2</t>
  </si>
  <si>
    <t>163.1</t>
  </si>
  <si>
    <t>369.50</t>
  </si>
  <si>
    <t>275.0</t>
  </si>
  <si>
    <t>164.0</t>
  </si>
  <si>
    <t>201.8</t>
  </si>
  <si>
    <t>169.2</t>
  </si>
  <si>
    <t>110.3</t>
  </si>
  <si>
    <t>372.8</t>
  </si>
  <si>
    <t>350.0</t>
  </si>
  <si>
    <t>9984</t>
  </si>
  <si>
    <t>ソフトバンクグループ</t>
  </si>
  <si>
    <t>SoftBank Group Corp.</t>
  </si>
  <si>
    <t>186.00</t>
  </si>
  <si>
    <t>733.50</t>
  </si>
  <si>
    <t>3/30</t>
  </si>
  <si>
    <t>332.00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</si>
</sst>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6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name val="明朝"/>
      <family val="3"/>
      <charset val="128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8"/>
      <name val="ＭＳ ゴシック"/>
      <family val="3"/>
      <charset val="128"/>
    </font>
    <font>
      <sz val="11"/>
      <name val="ＭＳ Ｐゴシック"/>
      <family val="2"/>
      <scheme val="minor"/>
    </font>
    <font>
      <sz val="5"/>
      <name val="ＭＳ 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hair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</borders>
  <cellStyleXfs count="1947">
    <xf borderId="0" fillId="0" fontId="0" numFmtId="0"/>
    <xf applyAlignment="0" applyBorder="0" applyFill="0" applyFont="0" applyProtection="0" borderId="0" fillId="0" fontId="4" numFmtId="38"/>
    <xf applyAlignment="0" applyBorder="0" applyFill="0" borderId="0" fillId="0" fontId="7" numFmtId="176"/>
    <xf applyAlignment="0" applyNumberFormat="0" applyProtection="0" borderId="1" fillId="0" fontId="8" numFmtId="0">
      <alignment horizontal="left" vertical="center"/>
    </xf>
    <xf borderId="2" fillId="0" fontId="8" numFmtId="0">
      <alignment horizontal="left" vertical="center"/>
    </xf>
    <xf borderId="0" fillId="0" fontId="9" numFmtId="177"/>
    <xf borderId="0" fillId="0" fontId="10" numFmtId="0"/>
    <xf borderId="0" fillId="0" fontId="11" numFmtId="0"/>
    <xf applyBorder="0" applyFill="0" applyNumberFormat="0" applyProtection="0" borderId="3" fillId="2" fontId="12" numFmtId="49"/>
    <xf borderId="0" fillId="0" fontId="6" numFmtId="0">
      <alignment vertical="center"/>
    </xf>
    <xf borderId="0" fillId="0" fontId="13" numFmtId="0"/>
    <xf borderId="0" fillId="0" fontId="13" numFmtId="0">
      <alignment vertical="center"/>
    </xf>
    <xf borderId="0" fillId="0" fontId="15" numFmtId="178"/>
    <xf borderId="0" fillId="0" fontId="4" numFmtId="0"/>
    <xf borderId="0" fillId="0" fontId="4" numFmtId="0"/>
    <xf borderId="0" fillId="0" fontId="1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18" numFmtId="9"/>
    <xf borderId="0" fillId="0" fontId="19" numFmtId="0"/>
    <xf borderId="0" fillId="0" fontId="4" numFmtId="0"/>
    <xf applyAlignment="0" applyBorder="0" applyNumberFormat="0" applyProtection="0" borderId="0" fillId="3" fontId="7" numFmtId="0"/>
    <xf applyAlignment="0" applyBorder="0" applyNumberFormat="0" applyProtection="0" borderId="0" fillId="4" fontId="7" numFmtId="0"/>
    <xf applyAlignment="0" applyBorder="0" applyNumberFormat="0" applyProtection="0" borderId="0" fillId="5" fontId="7" numFmtId="0"/>
    <xf applyAlignment="0" applyBorder="0" applyNumberFormat="0" applyProtection="0" borderId="0" fillId="6" fontId="7" numFmtId="0"/>
    <xf applyAlignment="0" applyBorder="0" applyNumberFormat="0" applyProtection="0" borderId="0" fillId="7" fontId="7" numFmtId="0"/>
    <xf applyAlignment="0" applyBorder="0" applyNumberFormat="0" applyProtection="0" borderId="0" fillId="8" fontId="7" numFmtId="0"/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9" fontId="7" numFmtId="0"/>
    <xf applyAlignment="0" applyBorder="0" applyNumberFormat="0" applyProtection="0" borderId="0" fillId="10" fontId="7" numFmtId="0"/>
    <xf applyAlignment="0" applyBorder="0" applyNumberFormat="0" applyProtection="0" borderId="0" fillId="11" fontId="7" numFmtId="0"/>
    <xf applyAlignment="0" applyBorder="0" applyNumberFormat="0" applyProtection="0" borderId="0" fillId="6" fontId="7" numFmtId="0"/>
    <xf applyAlignment="0" applyBorder="0" applyNumberFormat="0" applyProtection="0" borderId="0" fillId="9" fontId="7" numFmtId="0"/>
    <xf applyAlignment="0" applyBorder="0" applyNumberFormat="0" applyProtection="0" borderId="0" fillId="12" fontId="7" numFmtId="0"/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3" fontId="21" numFmtId="0"/>
    <xf applyAlignment="0" applyBorder="0" applyNumberFormat="0" applyProtection="0" borderId="0" fillId="10" fontId="21" numFmtId="0"/>
    <xf applyAlignment="0" applyBorder="0" applyNumberFormat="0" applyProtection="0" borderId="0" fillId="11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16" fontId="21" numFmtId="0"/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7" fontId="21" numFmtId="0"/>
    <xf applyAlignment="0" applyBorder="0" applyNumberFormat="0" applyProtection="0" borderId="0" fillId="18" fontId="21" numFmtId="0"/>
    <xf applyAlignment="0" applyBorder="0" applyNumberFormat="0" applyProtection="0" borderId="0" fillId="19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20" fontId="21" numFmtId="0"/>
    <xf borderId="0" fillId="0" fontId="23" numFmtId="0">
      <alignment horizontal="center" wrapText="1"/>
      <protection locked="0"/>
    </xf>
    <xf borderId="0" fillId="0" fontId="24" numFmtId="0"/>
    <xf applyAlignment="0" applyBorder="0" applyNumberFormat="0" applyProtection="0" borderId="0" fillId="4" fontId="25" numFmtId="0"/>
    <xf applyAlignment="0" applyBorder="0" applyFill="0" applyNumberFormat="0" applyProtection="0" borderId="0" fillId="0" fontId="26" numFmtId="0"/>
    <xf applyAlignment="0" applyBorder="0" applyFill="0" borderId="0" fillId="0" fontId="6" numFmtId="179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1" fillId="22" fontId="28" numFmtId="0"/>
    <xf borderId="0" fillId="0" fontId="29" numFmtId="0">
      <alignment vertical="top" wrapText="1"/>
    </xf>
    <xf applyAlignment="0" applyBorder="0" applyFill="0" applyFont="0" applyProtection="0" borderId="0" fillId="0" fontId="10" numFmtId="41"/>
    <xf applyAlignment="0" applyBorder="0" applyFill="0" applyFont="0" applyProtection="0" borderId="0" fillId="0" fontId="10" numFmtId="43"/>
    <xf applyAlignment="0" applyBorder="0" applyFill="0" applyFont="0" applyProtection="0" borderId="0" fillId="0" fontId="10" numFmtId="180"/>
    <xf applyAlignment="0" applyBorder="0" applyFill="0" applyFont="0" applyProtection="0" borderId="0" fillId="0" fontId="10" numFmtId="181"/>
    <xf borderId="0" fillId="0" fontId="30" numFmtId="0">
      <alignment horizontal="left"/>
    </xf>
    <xf applyAlignment="0" applyBorder="0" applyFill="0" applyNumberFormat="0" applyProtection="0" borderId="0" fillId="0" fontId="31" numFmtId="0"/>
    <xf applyAlignment="0" applyBorder="0" applyNumberFormat="0" applyProtection="0" borderId="0" fillId="5" fontId="32" numFmtId="0"/>
    <xf applyAlignment="0" applyBorder="0" applyNumberFormat="0" applyProtection="0" borderId="0" fillId="23" fontId="33" numFmtId="38"/>
    <xf borderId="0" fillId="24" fontId="34" numFmtId="0"/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applyAlignment="0" applyFill="0" applyNumberFormat="0" applyProtection="0" borderId="12" fillId="0" fontId="35" numFmtId="0"/>
    <xf applyAlignment="0" applyFill="0" applyNumberFormat="0" applyProtection="0" borderId="13" fillId="0" fontId="36" numFmtId="0"/>
    <xf applyAlignment="0" applyFill="0" applyNumberFormat="0" applyProtection="0" borderId="14" fillId="0" fontId="37" numFmtId="0"/>
    <xf applyAlignment="0" applyBorder="0" applyFill="0" applyNumberFormat="0" applyProtection="0" borderId="0" fillId="0" fontId="37" numFmtId="0"/>
    <xf applyBorder="0" borderId="0" fillId="0" fontId="6" numFmtId="0"/>
    <xf applyAlignment="0" applyNumberFormat="0" applyProtection="0" borderId="10" fillId="8" fontId="38" numFmtId="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borderId="0" fillId="0" fontId="6" numFmtId="0"/>
    <xf applyAlignment="0" applyFill="0" applyNumberFormat="0" applyProtection="0" borderId="15" fillId="0" fontId="39" numFmtId="0"/>
    <xf applyAlignment="0" applyBorder="0" applyFill="0" applyFont="0" applyProtection="0" borderId="0" fillId="0" fontId="40" numFmtId="38"/>
    <xf applyAlignment="0" applyBorder="0" applyFill="0" applyFont="0" applyProtection="0" borderId="0" fillId="0" fontId="40" numFmtId="40"/>
    <xf applyAlignment="0" applyBorder="0" applyFill="0" applyFont="0" applyProtection="0" borderId="0" fillId="0" fontId="40" numFmtId="182"/>
    <xf applyAlignment="0" applyBorder="0" applyFill="0" applyFont="0" applyProtection="0" borderId="0" fillId="0" fontId="40" numFmtId="183"/>
    <xf applyAlignment="0" applyBorder="0" applyNumberFormat="0" applyProtection="0" borderId="0" fillId="26" fontId="41" numFmtId="0"/>
    <xf borderId="0" fillId="0" fontId="42" numFmtId="37"/>
    <xf borderId="0" fillId="0" fontId="6" numFmtId="184"/>
    <xf borderId="0" fillId="0" fontId="6" numFmtId="184"/>
    <xf borderId="0" fillId="0" fontId="9" numFmtId="177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borderId="0" fillId="0" fontId="23" numFmtId="14">
      <alignment horizontal="center" wrapText="1"/>
      <protection locked="0"/>
    </xf>
    <xf applyAlignment="0" applyBorder="0" applyFill="0" applyFont="0" applyProtection="0" borderId="0" fillId="0" fontId="10" numFmtId="10"/>
    <xf borderId="0" fillId="0" fontId="30" numFmtId="4">
      <alignment horizontal="right"/>
    </xf>
    <xf applyAlignment="0" applyBorder="0" applyFill="0" applyFont="0" applyNumberFormat="0" applyProtection="0" borderId="0" fillId="0" fontId="44" numFmtId="0">
      <alignment horizontal="left"/>
    </xf>
    <xf borderId="18" fillId="0" fontId="45" numFmtId="0">
      <alignment horizontal="center"/>
    </xf>
    <xf applyAlignment="0" applyBorder="0" applyFill="0" applyFont="0" applyNumberFormat="0" borderId="0" fillId="0" fontId="46" numFmtId="0"/>
    <xf borderId="0" fillId="0" fontId="47" numFmtId="4">
      <alignment horizontal="right"/>
    </xf>
    <xf borderId="0" fillId="0" fontId="48" numFmtId="0">
      <alignment horizontal="left"/>
    </xf>
    <xf borderId="0" fillId="0" fontId="49" numFmtId="0"/>
    <xf borderId="0" fillId="0" fontId="50" numFmtId="0">
      <alignment horizontal="center"/>
    </xf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Border="0" applyFill="0" applyNumberFormat="0" applyProtection="0" borderId="0" fillId="0" fontId="52" numFmtId="0"/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borderId="0" fillId="0" fontId="53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borderId="0" fillId="0" fontId="56" numFmtId="0"/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Fill="0" applyFont="0" applyProtection="0" borderId="0" fillId="0" fontId="4" numFmtId="9"/>
    <xf applyAlignment="0" applyBorder="0" applyFill="0" applyFont="0" applyProtection="0" borderId="0" fillId="0" fontId="4" numFmtId="9">
      <alignment vertical="center"/>
    </xf>
    <xf applyAlignment="0" applyBorder="0" applyFill="0" applyFont="0" applyProtection="0" borderId="0" fillId="0" fontId="4" numFmtId="9"/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60" numFmtId="0">
      <alignment vertical="top"/>
      <protection locked="0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Font="0" applyProtection="0" borderId="0" fillId="0" fontId="10" numFmtId="43"/>
    <xf applyAlignment="0" applyBorder="0" applyFill="0" applyFont="0" applyProtection="0" borderId="0" fillId="0" fontId="65" numFmtId="38"/>
    <xf applyAlignment="0" applyBorder="0" applyFill="0" applyFont="0" applyProtection="0" borderId="0" fillId="0" fontId="16" numFmtId="38">
      <alignment vertical="center"/>
    </xf>
    <xf applyAlignment="0" applyBorder="0" applyFill="0" applyFont="0" applyProtection="0" borderId="0" fillId="0" fontId="66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66" numFmtId="38"/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0" numFmtId="185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borderId="0" fillId="0" fontId="11" numFmtId="186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10" numFmtId="187"/>
    <xf applyAlignment="0" applyBorder="0" applyFill="0" applyFont="0" applyProtection="0" borderId="0" fillId="0" fontId="10" numFmtId="18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4" numFmtId="6"/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4" numFmtId="6"/>
    <xf applyAlignment="0" applyBorder="0" applyFill="0" applyFont="0" applyProtection="0" borderId="0" fillId="0" fontId="6" numFmtId="6">
      <alignment vertical="center"/>
    </xf>
    <xf applyAlignment="0" applyBorder="0" applyFill="0" applyFont="0" applyProtection="0" borderId="0" fillId="0" fontId="4" numFmtId="6"/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6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8" numFmtId="0"/>
    <xf borderId="0" fillId="0" fontId="16" numFmtId="0">
      <alignment vertical="center"/>
    </xf>
    <xf borderId="0" fillId="0" fontId="18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77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/>
    <xf borderId="0" fillId="0" fontId="17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/>
    <xf borderId="0" fillId="0" fontId="13" numFmtId="0"/>
    <xf borderId="0" fillId="0" fontId="13" numFmtId="0">
      <alignment vertical="center"/>
    </xf>
    <xf borderId="0" fillId="0" fontId="78" numFmtId="0">
      <alignment vertical="center"/>
    </xf>
    <xf borderId="0" fillId="0" fontId="13" numFmtId="0"/>
    <xf borderId="0" fillId="0" fontId="78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/>
    <xf borderId="0" fillId="0" fontId="79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8" numFmtId="0"/>
    <xf borderId="0" fillId="0" fontId="13" numFmtId="0">
      <alignment vertical="center"/>
    </xf>
    <xf borderId="0" fillId="0" fontId="13" numFmtId="0">
      <alignment vertical="center"/>
    </xf>
    <xf borderId="0" fillId="0" fontId="18" numFmtId="0"/>
    <xf borderId="0" fillId="0" fontId="16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80" numFmtId="0"/>
    <xf borderId="0" fillId="0" fontId="13" numFmtId="0"/>
    <xf borderId="0" fillId="0" fontId="6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1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8" numFmtId="0"/>
    <xf borderId="0" fillId="0" fontId="77" numFmtId="0">
      <alignment vertical="center"/>
    </xf>
    <xf borderId="0" fillId="0" fontId="18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/>
    <xf borderId="0" fillId="0" fontId="4" numFmtId="0"/>
    <xf borderId="0" fillId="0" fontId="20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>
      <alignment vertical="center"/>
    </xf>
    <xf borderId="0" fillId="0" fontId="16" numFmtId="0">
      <alignment vertical="center"/>
    </xf>
    <xf borderId="0" fillId="0" fontId="80" numFmtId="0"/>
    <xf borderId="0" fillId="0" fontId="16" numFmtId="0">
      <alignment vertical="center"/>
    </xf>
    <xf borderId="0" fillId="0" fontId="4" numFmtId="0"/>
    <xf borderId="0" fillId="0" fontId="4" numFmtId="0">
      <alignment vertical="center"/>
    </xf>
    <xf borderId="0" fillId="0" fontId="80" numFmtId="0"/>
    <xf borderId="0" fillId="0" fontId="4" numFmtId="0"/>
    <xf borderId="0" fillId="0" fontId="4" numFmtId="0"/>
    <xf borderId="0" fillId="0" fontId="80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0" numFmtId="0"/>
    <xf borderId="0" fillId="0" fontId="80" numFmtId="0"/>
    <xf borderId="0" fillId="0" fontId="4" numFmtId="0"/>
    <xf borderId="0" fillId="0" fontId="80" numFmtId="0"/>
    <xf borderId="0" fillId="0" fontId="20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1" numFmtId="0">
      <alignment vertical="center"/>
    </xf>
    <xf borderId="0" fillId="0" fontId="4" numFmtId="0"/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/>
    <xf borderId="0" fillId="0" fontId="6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6" numFmtId="0"/>
    <xf borderId="0" fillId="0" fontId="4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82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8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79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79" numFmtId="0">
      <alignment vertical="center"/>
    </xf>
    <xf borderId="0" fillId="0" fontId="4" numFmtId="0"/>
    <xf borderId="0" fillId="0" fontId="4" numFmtId="0">
      <alignment vertical="center"/>
    </xf>
    <xf borderId="0" fillId="0" fontId="79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84" numFmtId="0">
      <alignment vertical="center"/>
    </xf>
    <xf borderId="0" fillId="0" fontId="84" numFmtId="0">
      <alignment vertical="center"/>
    </xf>
    <xf borderId="0" fillId="0" fontId="4" numFmtId="0">
      <alignment vertical="center"/>
    </xf>
    <xf borderId="0" fillId="0" fontId="8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8" numFmtId="0"/>
    <xf borderId="0" fillId="0" fontId="84" numFmtId="0">
      <alignment vertical="center"/>
    </xf>
    <xf borderId="0" fillId="0" fontId="18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5" numFmtId="0"/>
    <xf borderId="0" fillId="0" fontId="86" numFmtId="0"/>
    <xf borderId="0" fillId="0" fontId="56" numFmtId="0"/>
    <xf applyBorder="0" applyFill="0" borderId="0" fillId="0" fontId="14" numFmtId="49"/>
    <xf borderId="0" fillId="0" fontId="87" numFmtId="0"/>
    <xf borderId="0" fillId="0" fontId="88" numFmtId="0"/>
    <xf borderId="0" fillId="0" fontId="87" numFmtId="0"/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borderId="0" fillId="0" fontId="4" numFmtId="0"/>
    <xf borderId="0" fillId="0" fontId="2" numFmtId="0">
      <alignment vertical="center"/>
    </xf>
    <xf borderId="0" fillId="0" fontId="90" numFmtId="0"/>
    <xf borderId="0" fillId="0" fontId="90" numFmtId="0"/>
    <xf borderId="0" fillId="0" fontId="90" numFmtId="186"/>
    <xf borderId="0" fillId="0" fontId="90" numFmtId="186"/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91" numFmtId="0">
      <alignment vertical="center"/>
    </xf>
  </cellStyleXfs>
  <cellXfs count="44">
    <xf borderId="0" fillId="0" fontId="0" numFmtId="0" xfId="0"/>
    <xf applyAlignment="1" applyBorder="1" applyFill="1" applyFont="1" applyNumberFormat="1" borderId="34" fillId="0" fontId="6" numFmtId="0" xfId="1946">
      <alignment horizontal="center" vertical="center" wrapText="1"/>
    </xf>
    <xf applyAlignment="1" applyBorder="1" applyFill="1" applyFont="1" applyNumberFormat="1" borderId="35" fillId="0" fontId="6" numFmtId="0" xfId="1946">
      <alignment horizontal="center" vertical="center" wrapText="1"/>
    </xf>
    <xf applyAlignment="1" applyBorder="1" applyFill="1" applyFont="1" applyNumberFormat="1" borderId="21" fillId="0" fontId="6" numFmtId="49" xfId="1946">
      <alignment horizontal="left" vertical="center" wrapText="1"/>
    </xf>
    <xf applyAlignment="1" applyBorder="1" applyFill="1" applyFont="1" applyNumberFormat="1" borderId="22" fillId="0" fontId="6" numFmtId="49" xfId="1946">
      <alignment horizontal="left" vertical="center" wrapText="1"/>
    </xf>
    <xf applyAlignment="1" applyBorder="1" applyFill="1" applyFont="1" applyNumberFormat="1" borderId="22" fillId="0" fontId="6" numFmtId="3" xfId="1946">
      <alignment horizontal="right" vertical="center" wrapText="1"/>
    </xf>
    <xf applyAlignment="1" applyBorder="1" applyFill="1" applyFont="1" applyNumberFormat="1" borderId="22" fillId="0" fontId="6" numFmtId="49" xfId="1946">
      <alignment horizontal="right" vertical="center" wrapText="1"/>
    </xf>
    <xf applyAlignment="1" applyBorder="1" applyFill="1" applyFont="1" applyNumberFormat="1" borderId="23" fillId="0" fontId="6" numFmtId="49" xfId="1946">
      <alignment horizontal="right" vertical="center" wrapText="1"/>
    </xf>
    <xf applyAlignment="1" applyBorder="1" applyFill="1" applyFont="1" applyNumberFormat="1" borderId="21" fillId="0" fontId="6" numFmtId="4" xfId="1946">
      <alignment horizontal="right" vertical="center" wrapText="1"/>
    </xf>
    <xf applyAlignment="1" applyBorder="1" applyFill="1" applyFont="1" applyNumberFormat="1" borderId="21" fillId="0" fontId="6" numFmtId="3" xfId="1946">
      <alignment horizontal="right" vertical="center" wrapText="1"/>
    </xf>
    <xf applyAlignment="1" applyBorder="1" applyFill="1" applyFont="1" applyNumberFormat="1" borderId="23" fillId="0" fontId="6" numFmtId="3" xfId="1946">
      <alignment horizontal="right" vertical="center" wrapText="1"/>
    </xf>
    <xf applyAlignment="1" applyBorder="1" applyFill="1" applyFont="1" applyNumberFormat="1" borderId="21" fillId="0" fontId="6" numFmtId="0" xfId="1946">
      <alignment horizontal="center" vertical="center" wrapText="1"/>
    </xf>
    <xf applyAlignment="1" applyBorder="1" applyFill="1" applyFont="1" applyNumberFormat="1" borderId="22" fillId="0" fontId="6" numFmtId="0" xfId="1946">
      <alignment horizontal="center" vertical="center" wrapText="1"/>
    </xf>
    <xf applyBorder="1" applyFill="1" applyFont="1" borderId="9" fillId="0" fontId="18" numFmtId="0" xfId="1946">
      <alignment vertical="center"/>
    </xf>
    <xf applyAlignment="1" applyBorder="1" applyFill="1" applyFont="1" borderId="9" fillId="0" fontId="93" numFmtId="0" xfId="1946">
      <alignment vertical="center" wrapText="1"/>
    </xf>
    <xf applyAlignment="1" applyBorder="1" applyFill="1" applyFont="1" borderId="6" fillId="0" fontId="93" numFmtId="0" xfId="1946">
      <alignment vertical="center" wrapText="1"/>
    </xf>
    <xf applyFill="1" applyFont="1" borderId="0" fillId="0" fontId="94" numFmtId="0" xfId="1946">
      <alignment vertical="center"/>
    </xf>
    <xf applyBorder="1" applyFill="1" applyFont="1" borderId="20" fillId="0" fontId="18" numFmtId="0" xfId="1946">
      <alignment vertical="center"/>
    </xf>
    <xf applyBorder="1" applyFill="1" applyFont="1" borderId="8" fillId="0" fontId="18" numFmtId="0" xfId="1946">
      <alignment vertical="center"/>
    </xf>
    <xf applyAlignment="1" applyBorder="1" applyFill="1" applyFont="1" borderId="21" fillId="0" fontId="6" numFmtId="0" xfId="1946">
      <alignment horizontal="center" vertical="center" wrapText="1"/>
    </xf>
    <xf applyAlignment="1" applyBorder="1" applyFill="1" applyFont="1" applyNumberFormat="1" borderId="22" fillId="0" fontId="6" numFmtId="0" xfId="1946">
      <alignment horizontal="center" vertical="center" wrapText="1"/>
    </xf>
    <xf applyAlignment="1" applyBorder="1" applyFill="1" applyFont="1" applyNumberFormat="1" borderId="23" fillId="0" fontId="6" numFmtId="0" xfId="1946">
      <alignment horizontal="center" vertical="center" wrapText="1"/>
    </xf>
    <xf applyAlignment="1" applyBorder="1" applyFill="1" applyFont="1" applyNumberFormat="1" borderId="36" fillId="0" fontId="6" numFmtId="0" xfId="1946">
      <alignment horizontal="center" vertical="center" wrapText="1"/>
    </xf>
    <xf applyAlignment="1" applyBorder="1" applyFill="1" applyFont="1" applyNumberFormat="1" borderId="27" fillId="0" fontId="6" numFmtId="0" xfId="1946">
      <alignment horizontal="center" vertical="center" wrapText="1"/>
    </xf>
    <xf applyAlignment="1" applyBorder="1" applyFill="1" applyFont="1" applyNumberFormat="1" borderId="24" fillId="0" fontId="6" numFmtId="0" xfId="1946">
      <alignment horizontal="center" vertical="center" wrapText="1"/>
    </xf>
    <xf applyAlignment="1" applyBorder="1" applyFill="1" applyFont="1" applyNumberFormat="1" borderId="25" fillId="0" fontId="6" numFmtId="0" xfId="1946">
      <alignment horizontal="center" vertical="center" wrapText="1"/>
    </xf>
    <xf applyAlignment="1" applyBorder="1" applyFill="1" applyFont="1" applyNumberFormat="1" borderId="26" fillId="0" fontId="6" numFmtId="0" xfId="1946">
      <alignment horizontal="center" vertical="center" wrapText="1"/>
    </xf>
    <xf applyAlignment="1" applyBorder="1" applyFill="1" applyFont="1" applyNumberFormat="1" borderId="21" fillId="0" fontId="6" numFmtId="0" xfId="1946">
      <alignment horizontal="center" vertical="center" wrapText="1"/>
    </xf>
    <xf applyAlignment="1" applyBorder="1" applyFill="1" applyFont="1" applyNumberFormat="1" borderId="28" fillId="0" fontId="6" numFmtId="0" xfId="1946">
      <alignment horizontal="center" vertical="center" wrapText="1"/>
    </xf>
    <xf applyAlignment="1" applyBorder="1" applyFill="1" applyFont="1" applyNumberFormat="1" borderId="29" fillId="0" fontId="6" numFmtId="0" xfId="1946">
      <alignment horizontal="center" vertical="center" wrapText="1"/>
    </xf>
    <xf applyAlignment="1" applyBorder="1" applyFill="1" applyFont="1" applyNumberFormat="1" borderId="31" fillId="0" fontId="6" numFmtId="0" xfId="1946">
      <alignment horizontal="center" vertical="center" wrapText="1"/>
    </xf>
    <xf applyAlignment="1" applyBorder="1" applyFill="1" applyFont="1" applyNumberFormat="1" borderId="33" fillId="0" fontId="6" numFmtId="0" xfId="1946">
      <alignment horizontal="center" vertical="center" wrapText="1"/>
    </xf>
    <xf applyAlignment="1" applyBorder="1" applyFill="1" applyFont="1" applyNumberFormat="1" borderId="23" fillId="0" fontId="95" numFmtId="0" xfId="1946">
      <alignment horizontal="center" vertical="center" wrapText="1"/>
    </xf>
    <xf applyAlignment="1" applyBorder="1" applyFill="1" applyFont="1" applyNumberFormat="1" borderId="30" fillId="0" fontId="6" numFmtId="0" xfId="1946">
      <alignment horizontal="center" vertical="center" wrapText="1"/>
    </xf>
    <xf applyAlignment="1" applyBorder="1" applyFill="1" applyFont="1" applyNumberFormat="1" borderId="32" fillId="0" fontId="6" numFmtId="0" xfId="1946">
      <alignment horizontal="center" vertical="center" wrapText="1"/>
    </xf>
    <xf applyAlignment="1" applyBorder="1" applyFill="1" applyFont="1" applyNumberFormat="1" borderId="24" fillId="0" fontId="6" numFmtId="0" xfId="1946">
      <alignment horizontal="center" vertical="top" wrapText="1"/>
    </xf>
    <xf applyAlignment="1" applyBorder="1" applyFill="1" applyFont="1" applyNumberFormat="1" borderId="27" fillId="0" fontId="6" numFmtId="0" xfId="1946">
      <alignment horizontal="center" vertical="top" wrapText="1"/>
    </xf>
    <xf applyAlignment="1" applyBorder="1" applyFill="1" applyFont="1" borderId="24" fillId="0" fontId="6" numFmtId="0" xfId="1946">
      <alignment horizontal="center" vertical="center" wrapText="1"/>
    </xf>
    <xf applyAlignment="1" applyBorder="1" applyFill="1" applyFont="1" borderId="21" fillId="0" fontId="6" numFmtId="0" xfId="1946">
      <alignment horizontal="center" vertical="center" wrapText="1"/>
    </xf>
    <xf applyAlignment="1" applyBorder="1" applyFill="1" applyFont="1" borderId="5" fillId="0" fontId="92" numFmtId="0" xfId="1946">
      <alignment vertical="center" wrapText="1"/>
    </xf>
    <xf applyAlignment="1" applyBorder="1" applyFill="1" applyFont="1" borderId="9" fillId="0" fontId="92" numFmtId="0" xfId="1946">
      <alignment vertical="center" wrapText="1"/>
    </xf>
    <xf applyAlignment="1" applyBorder="1" applyFill="1" applyFont="1" borderId="7" fillId="0" fontId="92" numFmtId="0" xfId="1946">
      <alignment vertical="center" wrapText="1"/>
    </xf>
    <xf applyAlignment="1" applyBorder="1" applyFill="1" applyFont="1" borderId="20" fillId="0" fontId="92" numFmtId="0" xfId="1946">
      <alignment vertical="center" wrapText="1"/>
    </xf>
    <xf applyAlignment="1" applyBorder="1" applyFill="1" applyFont="1" applyNumberFormat="1" borderId="21" fillId="0" fontId="6" numFmtId="49" xfId="1946">
      <alignment horizontal="left" vertical="center"/>
    </xf>
  </cellXfs>
  <cellStyles count="194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39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38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45" xr:uid="{00000000-0005-0000-0000-000047030000}"/>
    <cellStyle name="見出し 1 2" xfId="847" xr:uid="{00000000-0005-0000-0000-000048030000}"/>
    <cellStyle name="見出し 1 3" xfId="848" xr:uid="{00000000-0005-0000-0000-000049030000}"/>
    <cellStyle name="見出し 1 4" xfId="849" xr:uid="{00000000-0005-0000-0000-00004A030000}"/>
    <cellStyle name="見出し 1 5" xfId="850" xr:uid="{00000000-0005-0000-0000-00004B030000}"/>
    <cellStyle name="見出し 1 6" xfId="851" xr:uid="{00000000-0005-0000-0000-00004C030000}"/>
    <cellStyle name="見出し 1 7" xfId="852" xr:uid="{00000000-0005-0000-0000-00004D030000}"/>
    <cellStyle name="見出し 1 8" xfId="853" xr:uid="{00000000-0005-0000-0000-00004E030000}"/>
    <cellStyle name="見出し 1 9" xfId="854" xr:uid="{00000000-0005-0000-0000-00004F030000}"/>
    <cellStyle name="見出し 2 2" xfId="855" xr:uid="{00000000-0005-0000-0000-000050030000}"/>
    <cellStyle name="見出し 2 3" xfId="856" xr:uid="{00000000-0005-0000-0000-000051030000}"/>
    <cellStyle name="見出し 2 4" xfId="857" xr:uid="{00000000-0005-0000-0000-000052030000}"/>
    <cellStyle name="見出し 2 5" xfId="858" xr:uid="{00000000-0005-0000-0000-000053030000}"/>
    <cellStyle name="見出し 2 6" xfId="859" xr:uid="{00000000-0005-0000-0000-000054030000}"/>
    <cellStyle name="見出し 2 7" xfId="860" xr:uid="{00000000-0005-0000-0000-000055030000}"/>
    <cellStyle name="見出し 2 8" xfId="861" xr:uid="{00000000-0005-0000-0000-000056030000}"/>
    <cellStyle name="見出し 2 9" xfId="862" xr:uid="{00000000-0005-0000-0000-000057030000}"/>
    <cellStyle name="見出し 3 2" xfId="863" xr:uid="{00000000-0005-0000-0000-000058030000}"/>
    <cellStyle name="見出し 3 3" xfId="864" xr:uid="{00000000-0005-0000-0000-000059030000}"/>
    <cellStyle name="見出し 3 4" xfId="865" xr:uid="{00000000-0005-0000-0000-00005A030000}"/>
    <cellStyle name="見出し 3 5" xfId="866" xr:uid="{00000000-0005-0000-0000-00005B030000}"/>
    <cellStyle name="見出し 3 6" xfId="867" xr:uid="{00000000-0005-0000-0000-00005C030000}"/>
    <cellStyle name="見出し 3 7" xfId="868" xr:uid="{00000000-0005-0000-0000-00005D030000}"/>
    <cellStyle name="見出し 3 8" xfId="869" xr:uid="{00000000-0005-0000-0000-00005E030000}"/>
    <cellStyle name="見出し 3 9" xfId="870" xr:uid="{00000000-0005-0000-0000-00005F030000}"/>
    <cellStyle name="見出し 4 2" xfId="871" xr:uid="{00000000-0005-0000-0000-000060030000}"/>
    <cellStyle name="見出し 4 3" xfId="872" xr:uid="{00000000-0005-0000-0000-000061030000}"/>
    <cellStyle name="見出し 4 4" xfId="873" xr:uid="{00000000-0005-0000-0000-000062030000}"/>
    <cellStyle name="見出し 4 5" xfId="874" xr:uid="{00000000-0005-0000-0000-000063030000}"/>
    <cellStyle name="見出し 4 6" xfId="875" xr:uid="{00000000-0005-0000-0000-000064030000}"/>
    <cellStyle name="見出し 4 7" xfId="876" xr:uid="{00000000-0005-0000-0000-000065030000}"/>
    <cellStyle name="見出し 4 8" xfId="877" xr:uid="{00000000-0005-0000-0000-000066030000}"/>
    <cellStyle name="見出し 4 9" xfId="878" xr:uid="{00000000-0005-0000-0000-000067030000}"/>
    <cellStyle name="構成図作成用" xfId="879" xr:uid="{00000000-0005-0000-0000-000068030000}"/>
    <cellStyle name="取り消し" xfId="8" xr:uid="{00000000-0005-0000-0000-000069030000}"/>
    <cellStyle name="集計 2" xfId="880" xr:uid="{00000000-0005-0000-0000-00006A030000}"/>
    <cellStyle name="集計 2 2" xfId="881" xr:uid="{00000000-0005-0000-0000-00006B030000}"/>
    <cellStyle name="集計 2 2 2" xfId="882" xr:uid="{00000000-0005-0000-0000-00006C030000}"/>
    <cellStyle name="集計 2 2 2 2" xfId="883" xr:uid="{00000000-0005-0000-0000-00006D030000}"/>
    <cellStyle name="集計 2 2 2 2 2" xfId="884" xr:uid="{00000000-0005-0000-0000-00006E030000}"/>
    <cellStyle name="集計 2 2 2 3" xfId="885" xr:uid="{00000000-0005-0000-0000-00006F030000}"/>
    <cellStyle name="集計 2 2 2 3 2" xfId="886" xr:uid="{00000000-0005-0000-0000-000070030000}"/>
    <cellStyle name="集計 2 2 2 4" xfId="887" xr:uid="{00000000-0005-0000-0000-000071030000}"/>
    <cellStyle name="集計 2 2 2 4 2" xfId="888" xr:uid="{00000000-0005-0000-0000-000072030000}"/>
    <cellStyle name="集計 2 2 2 5" xfId="889" xr:uid="{00000000-0005-0000-0000-000073030000}"/>
    <cellStyle name="集計 2 2 2 5 2" xfId="890" xr:uid="{00000000-0005-0000-0000-000074030000}"/>
    <cellStyle name="集計 2 2 2 6" xfId="891" xr:uid="{00000000-0005-0000-0000-000075030000}"/>
    <cellStyle name="集計 2 2 2 6 2" xfId="892" xr:uid="{00000000-0005-0000-0000-000076030000}"/>
    <cellStyle name="集計 2 2 2 7" xfId="893" xr:uid="{00000000-0005-0000-0000-000077030000}"/>
    <cellStyle name="集計 2 2 3" xfId="894" xr:uid="{00000000-0005-0000-0000-000078030000}"/>
    <cellStyle name="集計 2 2 3 2" xfId="895" xr:uid="{00000000-0005-0000-0000-000079030000}"/>
    <cellStyle name="集計 2 3" xfId="896" xr:uid="{00000000-0005-0000-0000-00007A030000}"/>
    <cellStyle name="集計 2 3 2" xfId="897" xr:uid="{00000000-0005-0000-0000-00007B030000}"/>
    <cellStyle name="集計 2 3 2 2" xfId="898" xr:uid="{00000000-0005-0000-0000-00007C030000}"/>
    <cellStyle name="集計 2 3 3" xfId="899" xr:uid="{00000000-0005-0000-0000-00007D030000}"/>
    <cellStyle name="集計 2 3 3 2" xfId="900" xr:uid="{00000000-0005-0000-0000-00007E030000}"/>
    <cellStyle name="集計 2 3 4" xfId="901" xr:uid="{00000000-0005-0000-0000-00007F030000}"/>
    <cellStyle name="集計 2 3 4 2" xfId="902" xr:uid="{00000000-0005-0000-0000-000080030000}"/>
    <cellStyle name="集計 2 3 5" xfId="903" xr:uid="{00000000-0005-0000-0000-000081030000}"/>
    <cellStyle name="集計 2 3 5 2" xfId="904" xr:uid="{00000000-0005-0000-0000-000082030000}"/>
    <cellStyle name="集計 2 3 6" xfId="905" xr:uid="{00000000-0005-0000-0000-000083030000}"/>
    <cellStyle name="集計 2 3 6 2" xfId="906" xr:uid="{00000000-0005-0000-0000-000084030000}"/>
    <cellStyle name="集計 2 3 7" xfId="907" xr:uid="{00000000-0005-0000-0000-000085030000}"/>
    <cellStyle name="集計 2 4" xfId="908" xr:uid="{00000000-0005-0000-0000-000086030000}"/>
    <cellStyle name="集計 2 4 2" xfId="909" xr:uid="{00000000-0005-0000-0000-000087030000}"/>
    <cellStyle name="集計 3" xfId="910" xr:uid="{00000000-0005-0000-0000-000088030000}"/>
    <cellStyle name="集計 3 2" xfId="911" xr:uid="{00000000-0005-0000-0000-000089030000}"/>
    <cellStyle name="集計 3 2 2" xfId="912" xr:uid="{00000000-0005-0000-0000-00008A030000}"/>
    <cellStyle name="集計 3 2 2 2" xfId="913" xr:uid="{00000000-0005-0000-0000-00008B030000}"/>
    <cellStyle name="集計 3 2 3" xfId="914" xr:uid="{00000000-0005-0000-0000-00008C030000}"/>
    <cellStyle name="集計 3 2 3 2" xfId="915" xr:uid="{00000000-0005-0000-0000-00008D030000}"/>
    <cellStyle name="集計 3 2 4" xfId="916" xr:uid="{00000000-0005-0000-0000-00008E030000}"/>
    <cellStyle name="集計 3 2 4 2" xfId="917" xr:uid="{00000000-0005-0000-0000-00008F030000}"/>
    <cellStyle name="集計 3 2 5" xfId="918" xr:uid="{00000000-0005-0000-0000-000090030000}"/>
    <cellStyle name="集計 3 2 5 2" xfId="919" xr:uid="{00000000-0005-0000-0000-000091030000}"/>
    <cellStyle name="集計 3 2 6" xfId="920" xr:uid="{00000000-0005-0000-0000-000092030000}"/>
    <cellStyle name="集計 3 2 6 2" xfId="921" xr:uid="{00000000-0005-0000-0000-000093030000}"/>
    <cellStyle name="集計 3 2 7" xfId="922" xr:uid="{00000000-0005-0000-0000-000094030000}"/>
    <cellStyle name="集計 3 3" xfId="923" xr:uid="{00000000-0005-0000-0000-000095030000}"/>
    <cellStyle name="集計 3 3 2" xfId="924" xr:uid="{00000000-0005-0000-0000-000096030000}"/>
    <cellStyle name="集計 3 4" xfId="925" xr:uid="{00000000-0005-0000-0000-000097030000}"/>
    <cellStyle name="集計 4" xfId="926" xr:uid="{00000000-0005-0000-0000-000098030000}"/>
    <cellStyle name="集計 4 2" xfId="927" xr:uid="{00000000-0005-0000-0000-000099030000}"/>
    <cellStyle name="集計 4 2 2" xfId="928" xr:uid="{00000000-0005-0000-0000-00009A030000}"/>
    <cellStyle name="集計 4 3" xfId="929" xr:uid="{00000000-0005-0000-0000-00009B030000}"/>
    <cellStyle name="集計 4 3 2" xfId="930" xr:uid="{00000000-0005-0000-0000-00009C030000}"/>
    <cellStyle name="集計 4 4" xfId="931" xr:uid="{00000000-0005-0000-0000-00009D030000}"/>
    <cellStyle name="集計 4 4 2" xfId="932" xr:uid="{00000000-0005-0000-0000-00009E030000}"/>
    <cellStyle name="集計 4 5" xfId="933" xr:uid="{00000000-0005-0000-0000-00009F030000}"/>
    <cellStyle name="集計 4 5 2" xfId="934" xr:uid="{00000000-0005-0000-0000-0000A0030000}"/>
    <cellStyle name="集計 4 6" xfId="935" xr:uid="{00000000-0005-0000-0000-0000A1030000}"/>
    <cellStyle name="集計 4 6 2" xfId="936" xr:uid="{00000000-0005-0000-0000-0000A2030000}"/>
    <cellStyle name="集計 4 7" xfId="937" xr:uid="{00000000-0005-0000-0000-0000A3030000}"/>
    <cellStyle name="集計 5" xfId="938" xr:uid="{00000000-0005-0000-0000-0000A4030000}"/>
    <cellStyle name="集計 6" xfId="939" xr:uid="{00000000-0005-0000-0000-0000A5030000}"/>
    <cellStyle name="集計 7" xfId="940" xr:uid="{00000000-0005-0000-0000-0000A6030000}"/>
    <cellStyle name="集計 8" xfId="941" xr:uid="{00000000-0005-0000-0000-0000A7030000}"/>
    <cellStyle name="集計 9" xfId="942" xr:uid="{00000000-0005-0000-0000-0000A8030000}"/>
    <cellStyle name="出力 2" xfId="943" xr:uid="{00000000-0005-0000-0000-0000A9030000}"/>
    <cellStyle name="出力 2 2" xfId="944" xr:uid="{00000000-0005-0000-0000-0000AA030000}"/>
    <cellStyle name="出力 2 2 2" xfId="945" xr:uid="{00000000-0005-0000-0000-0000AB030000}"/>
    <cellStyle name="出力 2 2 2 2" xfId="946" xr:uid="{00000000-0005-0000-0000-0000AC030000}"/>
    <cellStyle name="出力 2 2 2 2 2" xfId="947" xr:uid="{00000000-0005-0000-0000-0000AD030000}"/>
    <cellStyle name="出力 2 2 2 3" xfId="948" xr:uid="{00000000-0005-0000-0000-0000AE030000}"/>
    <cellStyle name="出力 2 2 2 3 2" xfId="949" xr:uid="{00000000-0005-0000-0000-0000AF030000}"/>
    <cellStyle name="出力 2 2 2 4" xfId="950" xr:uid="{00000000-0005-0000-0000-0000B0030000}"/>
    <cellStyle name="出力 2 2 2 4 2" xfId="951" xr:uid="{00000000-0005-0000-0000-0000B1030000}"/>
    <cellStyle name="出力 2 2 2 5" xfId="952" xr:uid="{00000000-0005-0000-0000-0000B2030000}"/>
    <cellStyle name="出力 2 2 2 5 2" xfId="953" xr:uid="{00000000-0005-0000-0000-0000B3030000}"/>
    <cellStyle name="出力 2 2 2 6" xfId="954" xr:uid="{00000000-0005-0000-0000-0000B4030000}"/>
    <cellStyle name="出力 2 2 2 6 2" xfId="955" xr:uid="{00000000-0005-0000-0000-0000B5030000}"/>
    <cellStyle name="出力 2 2 2 7" xfId="956" xr:uid="{00000000-0005-0000-0000-0000B6030000}"/>
    <cellStyle name="出力 2 2 3" xfId="957" xr:uid="{00000000-0005-0000-0000-0000B7030000}"/>
    <cellStyle name="出力 2 2 3 2" xfId="958" xr:uid="{00000000-0005-0000-0000-0000B8030000}"/>
    <cellStyle name="出力 2 3" xfId="959" xr:uid="{00000000-0005-0000-0000-0000B9030000}"/>
    <cellStyle name="出力 2 3 2" xfId="960" xr:uid="{00000000-0005-0000-0000-0000BA030000}"/>
    <cellStyle name="出力 2 3 2 2" xfId="961" xr:uid="{00000000-0005-0000-0000-0000BB030000}"/>
    <cellStyle name="出力 2 3 3" xfId="962" xr:uid="{00000000-0005-0000-0000-0000BC030000}"/>
    <cellStyle name="出力 2 3 3 2" xfId="963" xr:uid="{00000000-0005-0000-0000-0000BD030000}"/>
    <cellStyle name="出力 2 3 4" xfId="964" xr:uid="{00000000-0005-0000-0000-0000BE030000}"/>
    <cellStyle name="出力 2 3 4 2" xfId="965" xr:uid="{00000000-0005-0000-0000-0000BF030000}"/>
    <cellStyle name="出力 2 3 5" xfId="966" xr:uid="{00000000-0005-0000-0000-0000C0030000}"/>
    <cellStyle name="出力 2 3 5 2" xfId="967" xr:uid="{00000000-0005-0000-0000-0000C1030000}"/>
    <cellStyle name="出力 2 3 6" xfId="968" xr:uid="{00000000-0005-0000-0000-0000C2030000}"/>
    <cellStyle name="出力 2 3 6 2" xfId="969" xr:uid="{00000000-0005-0000-0000-0000C3030000}"/>
    <cellStyle name="出力 2 3 7" xfId="970" xr:uid="{00000000-0005-0000-0000-0000C4030000}"/>
    <cellStyle name="出力 2 4" xfId="971" xr:uid="{00000000-0005-0000-0000-0000C5030000}"/>
    <cellStyle name="出力 2 4 2" xfId="972" xr:uid="{00000000-0005-0000-0000-0000C6030000}"/>
    <cellStyle name="出力 3" xfId="973" xr:uid="{00000000-0005-0000-0000-0000C7030000}"/>
    <cellStyle name="出力 3 2" xfId="974" xr:uid="{00000000-0005-0000-0000-0000C8030000}"/>
    <cellStyle name="出力 3 2 2" xfId="975" xr:uid="{00000000-0005-0000-0000-0000C9030000}"/>
    <cellStyle name="出力 3 2 2 2" xfId="976" xr:uid="{00000000-0005-0000-0000-0000CA030000}"/>
    <cellStyle name="出力 3 2 3" xfId="977" xr:uid="{00000000-0005-0000-0000-0000CB030000}"/>
    <cellStyle name="出力 3 2 3 2" xfId="978" xr:uid="{00000000-0005-0000-0000-0000CC030000}"/>
    <cellStyle name="出力 3 2 4" xfId="979" xr:uid="{00000000-0005-0000-0000-0000CD030000}"/>
    <cellStyle name="出力 3 2 4 2" xfId="980" xr:uid="{00000000-0005-0000-0000-0000CE030000}"/>
    <cellStyle name="出力 3 2 5" xfId="981" xr:uid="{00000000-0005-0000-0000-0000CF030000}"/>
    <cellStyle name="出力 3 2 5 2" xfId="982" xr:uid="{00000000-0005-0000-0000-0000D0030000}"/>
    <cellStyle name="出力 3 2 6" xfId="983" xr:uid="{00000000-0005-0000-0000-0000D1030000}"/>
    <cellStyle name="出力 3 2 6 2" xfId="984" xr:uid="{00000000-0005-0000-0000-0000D2030000}"/>
    <cellStyle name="出力 3 2 7" xfId="985" xr:uid="{00000000-0005-0000-0000-0000D3030000}"/>
    <cellStyle name="出力 3 3" xfId="986" xr:uid="{00000000-0005-0000-0000-0000D4030000}"/>
    <cellStyle name="出力 3 3 2" xfId="987" xr:uid="{00000000-0005-0000-0000-0000D5030000}"/>
    <cellStyle name="出力 3 4" xfId="988" xr:uid="{00000000-0005-0000-0000-0000D6030000}"/>
    <cellStyle name="出力 4" xfId="989" xr:uid="{00000000-0005-0000-0000-0000D7030000}"/>
    <cellStyle name="出力 4 2" xfId="990" xr:uid="{00000000-0005-0000-0000-0000D8030000}"/>
    <cellStyle name="出力 4 2 2" xfId="991" xr:uid="{00000000-0005-0000-0000-0000D9030000}"/>
    <cellStyle name="出力 4 3" xfId="992" xr:uid="{00000000-0005-0000-0000-0000DA030000}"/>
    <cellStyle name="出力 4 3 2" xfId="993" xr:uid="{00000000-0005-0000-0000-0000DB030000}"/>
    <cellStyle name="出力 4 4" xfId="994" xr:uid="{00000000-0005-0000-0000-0000DC030000}"/>
    <cellStyle name="出力 4 4 2" xfId="995" xr:uid="{00000000-0005-0000-0000-0000DD030000}"/>
    <cellStyle name="出力 4 5" xfId="996" xr:uid="{00000000-0005-0000-0000-0000DE030000}"/>
    <cellStyle name="出力 4 5 2" xfId="997" xr:uid="{00000000-0005-0000-0000-0000DF030000}"/>
    <cellStyle name="出力 4 6" xfId="998" xr:uid="{00000000-0005-0000-0000-0000E0030000}"/>
    <cellStyle name="出力 4 6 2" xfId="999" xr:uid="{00000000-0005-0000-0000-0000E1030000}"/>
    <cellStyle name="出力 4 7" xfId="1000" xr:uid="{00000000-0005-0000-0000-0000E2030000}"/>
    <cellStyle name="出力 5" xfId="1001" xr:uid="{00000000-0005-0000-0000-0000E3030000}"/>
    <cellStyle name="出力 6" xfId="1002" xr:uid="{00000000-0005-0000-0000-0000E4030000}"/>
    <cellStyle name="出力 7" xfId="1003" xr:uid="{00000000-0005-0000-0000-0000E5030000}"/>
    <cellStyle name="出力 8" xfId="1004" xr:uid="{00000000-0005-0000-0000-0000E6030000}"/>
    <cellStyle name="出力 9" xfId="1005" xr:uid="{00000000-0005-0000-0000-0000E7030000}"/>
    <cellStyle name="人月" xfId="1006" xr:uid="{00000000-0005-0000-0000-0000E8030000}"/>
    <cellStyle name="人月 2" xfId="1941" xr:uid="{00000000-0005-0000-0000-0000E9030000}"/>
    <cellStyle name="人月 3" xfId="1940" xr:uid="{00000000-0005-0000-0000-0000EA030000}"/>
    <cellStyle name="説明文 2" xfId="1007" xr:uid="{00000000-0005-0000-0000-0000EB030000}"/>
    <cellStyle name="説明文 3" xfId="1008" xr:uid="{00000000-0005-0000-0000-0000EC030000}"/>
    <cellStyle name="説明文 4" xfId="1009" xr:uid="{00000000-0005-0000-0000-0000ED030000}"/>
    <cellStyle name="説明文 5" xfId="1010" xr:uid="{00000000-0005-0000-0000-0000EE030000}"/>
    <cellStyle name="説明文 6" xfId="1011" xr:uid="{00000000-0005-0000-0000-0000EF030000}"/>
    <cellStyle name="説明文 7" xfId="1012" xr:uid="{00000000-0005-0000-0000-0000F0030000}"/>
    <cellStyle name="説明文 8" xfId="1013" xr:uid="{00000000-0005-0000-0000-0000F1030000}"/>
    <cellStyle name="説明文 9" xfId="1014" xr:uid="{00000000-0005-0000-0000-0000F2030000}"/>
    <cellStyle name="脱浦 [0.00]_laroux" xfId="1015" xr:uid="{00000000-0005-0000-0000-0000F3030000}"/>
    <cellStyle name="脱浦_laroux" xfId="1016" xr:uid="{00000000-0005-0000-0000-0000F4030000}"/>
    <cellStyle name="通貨 [0.00" xfId="1017" xr:uid="{00000000-0005-0000-0000-0000F5030000}"/>
    <cellStyle name="通貨 [0.00 2" xfId="1018" xr:uid="{00000000-0005-0000-0000-0000F6030000}"/>
    <cellStyle name="通貨 [0.00 3" xfId="1019" xr:uid="{00000000-0005-0000-0000-0000F7030000}"/>
    <cellStyle name="通貨 [0.00 4" xfId="1020" xr:uid="{00000000-0005-0000-0000-0000F8030000}"/>
    <cellStyle name="通貨 [0.00 5" xfId="1021" xr:uid="{00000000-0005-0000-0000-0000F9030000}"/>
    <cellStyle name="通貨 [0.00 6" xfId="1022" xr:uid="{00000000-0005-0000-0000-0000FA030000}"/>
    <cellStyle name="通貨 2" xfId="1023" xr:uid="{00000000-0005-0000-0000-0000FB030000}"/>
    <cellStyle name="通貨 2 2" xfId="1024" xr:uid="{00000000-0005-0000-0000-0000FC030000}"/>
    <cellStyle name="通貨 2 2 2" xfId="1025" xr:uid="{00000000-0005-0000-0000-0000FD030000}"/>
    <cellStyle name="通貨 2 2 3" xfId="1026" xr:uid="{00000000-0005-0000-0000-0000FE030000}"/>
    <cellStyle name="通貨 2 3" xfId="1027" xr:uid="{00000000-0005-0000-0000-0000FF030000}"/>
    <cellStyle name="通貨 2 4" xfId="1028" xr:uid="{00000000-0005-0000-0000-000000040000}"/>
    <cellStyle name="通貨 2 5" xfId="1029" xr:uid="{00000000-0005-0000-0000-000001040000}"/>
    <cellStyle name="通貨 3" xfId="1030" xr:uid="{00000000-0005-0000-0000-000002040000}"/>
    <cellStyle name="入力 2" xfId="1031" xr:uid="{00000000-0005-0000-0000-000003040000}"/>
    <cellStyle name="入力 2 2" xfId="1032" xr:uid="{00000000-0005-0000-0000-000004040000}"/>
    <cellStyle name="入力 2 2 2" xfId="1033" xr:uid="{00000000-0005-0000-0000-000005040000}"/>
    <cellStyle name="入力 2 2 2 2" xfId="1034" xr:uid="{00000000-0005-0000-0000-000006040000}"/>
    <cellStyle name="入力 2 2 2 2 2" xfId="1035" xr:uid="{00000000-0005-0000-0000-000007040000}"/>
    <cellStyle name="入力 2 2 2 3" xfId="1036" xr:uid="{00000000-0005-0000-0000-000008040000}"/>
    <cellStyle name="入力 2 2 2 3 2" xfId="1037" xr:uid="{00000000-0005-0000-0000-000009040000}"/>
    <cellStyle name="入力 2 2 2 4" xfId="1038" xr:uid="{00000000-0005-0000-0000-00000A040000}"/>
    <cellStyle name="入力 2 2 2 4 2" xfId="1039" xr:uid="{00000000-0005-0000-0000-00000B040000}"/>
    <cellStyle name="入力 2 2 2 5" xfId="1040" xr:uid="{00000000-0005-0000-0000-00000C040000}"/>
    <cellStyle name="入力 2 2 2 5 2" xfId="1041" xr:uid="{00000000-0005-0000-0000-00000D040000}"/>
    <cellStyle name="入力 2 2 2 6" xfId="1042" xr:uid="{00000000-0005-0000-0000-00000E040000}"/>
    <cellStyle name="入力 2 2 2 6 2" xfId="1043" xr:uid="{00000000-0005-0000-0000-00000F040000}"/>
    <cellStyle name="入力 2 2 2 7" xfId="1044" xr:uid="{00000000-0005-0000-0000-000010040000}"/>
    <cellStyle name="入力 2 2 3" xfId="1045" xr:uid="{00000000-0005-0000-0000-000011040000}"/>
    <cellStyle name="入力 2 2 3 2" xfId="1046" xr:uid="{00000000-0005-0000-0000-000012040000}"/>
    <cellStyle name="入力 2 2 4" xfId="1047" xr:uid="{00000000-0005-0000-0000-000013040000}"/>
    <cellStyle name="入力 2 3" xfId="1048" xr:uid="{00000000-0005-0000-0000-000014040000}"/>
    <cellStyle name="入力 2 3 2" xfId="1049" xr:uid="{00000000-0005-0000-0000-000015040000}"/>
    <cellStyle name="入力 2 3 2 2" xfId="1050" xr:uid="{00000000-0005-0000-0000-000016040000}"/>
    <cellStyle name="入力 2 3 3" xfId="1051" xr:uid="{00000000-0005-0000-0000-000017040000}"/>
    <cellStyle name="入力 2 3 3 2" xfId="1052" xr:uid="{00000000-0005-0000-0000-000018040000}"/>
    <cellStyle name="入力 2 3 4" xfId="1053" xr:uid="{00000000-0005-0000-0000-000019040000}"/>
    <cellStyle name="入力 2 3 4 2" xfId="1054" xr:uid="{00000000-0005-0000-0000-00001A040000}"/>
    <cellStyle name="入力 2 3 5" xfId="1055" xr:uid="{00000000-0005-0000-0000-00001B040000}"/>
    <cellStyle name="入力 2 3 5 2" xfId="1056" xr:uid="{00000000-0005-0000-0000-00001C040000}"/>
    <cellStyle name="入力 2 3 6" xfId="1057" xr:uid="{00000000-0005-0000-0000-00001D040000}"/>
    <cellStyle name="入力 2 3 6 2" xfId="1058" xr:uid="{00000000-0005-0000-0000-00001E040000}"/>
    <cellStyle name="入力 2 3 7" xfId="1059" xr:uid="{00000000-0005-0000-0000-00001F040000}"/>
    <cellStyle name="入力 2 4" xfId="1060" xr:uid="{00000000-0005-0000-0000-000020040000}"/>
    <cellStyle name="入力 2 4 2" xfId="1061" xr:uid="{00000000-0005-0000-0000-000021040000}"/>
    <cellStyle name="入力 2 5" xfId="1062" xr:uid="{00000000-0005-0000-0000-000022040000}"/>
    <cellStyle name="入力 3" xfId="1063" xr:uid="{00000000-0005-0000-0000-000023040000}"/>
    <cellStyle name="入力 3 2" xfId="1064" xr:uid="{00000000-0005-0000-0000-000024040000}"/>
    <cellStyle name="入力 3 2 2" xfId="1065" xr:uid="{00000000-0005-0000-0000-000025040000}"/>
    <cellStyle name="入力 3 2 2 2" xfId="1066" xr:uid="{00000000-0005-0000-0000-000026040000}"/>
    <cellStyle name="入力 3 2 3" xfId="1067" xr:uid="{00000000-0005-0000-0000-000027040000}"/>
    <cellStyle name="入力 3 2 3 2" xfId="1068" xr:uid="{00000000-0005-0000-0000-000028040000}"/>
    <cellStyle name="入力 3 2 4" xfId="1069" xr:uid="{00000000-0005-0000-0000-000029040000}"/>
    <cellStyle name="入力 3 2 4 2" xfId="1070" xr:uid="{00000000-0005-0000-0000-00002A040000}"/>
    <cellStyle name="入力 3 2 5" xfId="1071" xr:uid="{00000000-0005-0000-0000-00002B040000}"/>
    <cellStyle name="入力 3 2 5 2" xfId="1072" xr:uid="{00000000-0005-0000-0000-00002C040000}"/>
    <cellStyle name="入力 3 2 6" xfId="1073" xr:uid="{00000000-0005-0000-0000-00002D040000}"/>
    <cellStyle name="入力 3 2 6 2" xfId="1074" xr:uid="{00000000-0005-0000-0000-00002E040000}"/>
    <cellStyle name="入力 3 2 7" xfId="1075" xr:uid="{00000000-0005-0000-0000-00002F040000}"/>
    <cellStyle name="入力 3 3" xfId="1076" xr:uid="{00000000-0005-0000-0000-000030040000}"/>
    <cellStyle name="入力 3 3 2" xfId="1077" xr:uid="{00000000-0005-0000-0000-000031040000}"/>
    <cellStyle name="入力 3 4" xfId="1078" xr:uid="{00000000-0005-0000-0000-000032040000}"/>
    <cellStyle name="入力 4" xfId="1079" xr:uid="{00000000-0005-0000-0000-000033040000}"/>
    <cellStyle name="入力 4 2" xfId="1080" xr:uid="{00000000-0005-0000-0000-000034040000}"/>
    <cellStyle name="入力 4 2 2" xfId="1081" xr:uid="{00000000-0005-0000-0000-000035040000}"/>
    <cellStyle name="入力 4 3" xfId="1082" xr:uid="{00000000-0005-0000-0000-000036040000}"/>
    <cellStyle name="入力 4 3 2" xfId="1083" xr:uid="{00000000-0005-0000-0000-000037040000}"/>
    <cellStyle name="入力 4 4" xfId="1084" xr:uid="{00000000-0005-0000-0000-000038040000}"/>
    <cellStyle name="入力 4 4 2" xfId="1085" xr:uid="{00000000-0005-0000-0000-000039040000}"/>
    <cellStyle name="入力 4 5" xfId="1086" xr:uid="{00000000-0005-0000-0000-00003A040000}"/>
    <cellStyle name="入力 4 5 2" xfId="1087" xr:uid="{00000000-0005-0000-0000-00003B040000}"/>
    <cellStyle name="入力 4 6" xfId="1088" xr:uid="{00000000-0005-0000-0000-00003C040000}"/>
    <cellStyle name="入力 4 6 2" xfId="1089" xr:uid="{00000000-0005-0000-0000-00003D040000}"/>
    <cellStyle name="入力 4 7" xfId="1090" xr:uid="{00000000-0005-0000-0000-00003E040000}"/>
    <cellStyle name="入力 5" xfId="1091" xr:uid="{00000000-0005-0000-0000-00003F040000}"/>
    <cellStyle name="入力 6" xfId="1092" xr:uid="{00000000-0005-0000-0000-000040040000}"/>
    <cellStyle name="入力 7" xfId="1093" xr:uid="{00000000-0005-0000-0000-000041040000}"/>
    <cellStyle name="入力 8" xfId="1094" xr:uid="{00000000-0005-0000-0000-000042040000}"/>
    <cellStyle name="入力 9" xfId="1095" xr:uid="{00000000-0005-0000-0000-000043040000}"/>
    <cellStyle builtinId="0" name="標準" xfId="0"/>
    <cellStyle name="標準 10" xfId="1096" xr:uid="{00000000-0005-0000-0000-000045040000}"/>
    <cellStyle name="標準 10 2" xfId="1097" xr:uid="{00000000-0005-0000-0000-000046040000}"/>
    <cellStyle name="標準 10 3" xfId="14" xr:uid="{00000000-0005-0000-0000-000047040000}"/>
    <cellStyle name="標準 10 4" xfId="1098" xr:uid="{00000000-0005-0000-0000-000048040000}"/>
    <cellStyle name="標準 10 5" xfId="1099" xr:uid="{00000000-0005-0000-0000-000049040000}"/>
    <cellStyle name="標準 100" xfId="1100" xr:uid="{00000000-0005-0000-0000-00004A040000}"/>
    <cellStyle name="標準 100 2" xfId="1101" xr:uid="{00000000-0005-0000-0000-00004B040000}"/>
    <cellStyle name="標準 100 2 2" xfId="1102" xr:uid="{00000000-0005-0000-0000-00004C040000}"/>
    <cellStyle name="標準 100 2 2 2" xfId="1103" xr:uid="{00000000-0005-0000-0000-00004D040000}"/>
    <cellStyle name="標準 100 2 2 3" xfId="1104" xr:uid="{00000000-0005-0000-0000-00004E040000}"/>
    <cellStyle name="標準 100 2 2 4" xfId="1105" xr:uid="{00000000-0005-0000-0000-00004F040000}"/>
    <cellStyle name="標準 100 2 3" xfId="1106" xr:uid="{00000000-0005-0000-0000-000050040000}"/>
    <cellStyle name="標準 100 2 4" xfId="1107" xr:uid="{00000000-0005-0000-0000-000051040000}"/>
    <cellStyle name="標準 100 2 5" xfId="1108" xr:uid="{00000000-0005-0000-0000-000052040000}"/>
    <cellStyle name="標準 100 3" xfId="1109" xr:uid="{00000000-0005-0000-0000-000053040000}"/>
    <cellStyle name="標準 100 3 2" xfId="1110" xr:uid="{00000000-0005-0000-0000-000054040000}"/>
    <cellStyle name="標準 100 3 3" xfId="1111" xr:uid="{00000000-0005-0000-0000-000055040000}"/>
    <cellStyle name="標準 100 3 4" xfId="1112" xr:uid="{00000000-0005-0000-0000-000056040000}"/>
    <cellStyle name="標準 100 4" xfId="1113" xr:uid="{00000000-0005-0000-0000-000057040000}"/>
    <cellStyle name="標準 100 5" xfId="1114" xr:uid="{00000000-0005-0000-0000-000058040000}"/>
    <cellStyle name="標準 100 6" xfId="1115" xr:uid="{00000000-0005-0000-0000-000059040000}"/>
    <cellStyle name="標準 101" xfId="1116" xr:uid="{00000000-0005-0000-0000-00005A040000}"/>
    <cellStyle name="標準 102" xfId="1117" xr:uid="{00000000-0005-0000-0000-00005B040000}"/>
    <cellStyle name="標準 102 2" xfId="1118" xr:uid="{00000000-0005-0000-0000-00005C040000}"/>
    <cellStyle name="標準 102 2 2" xfId="1119" xr:uid="{00000000-0005-0000-0000-00005D040000}"/>
    <cellStyle name="標準 102 2 3" xfId="1120" xr:uid="{00000000-0005-0000-0000-00005E040000}"/>
    <cellStyle name="標準 102 2 4" xfId="1121" xr:uid="{00000000-0005-0000-0000-00005F040000}"/>
    <cellStyle name="標準 102 3" xfId="1122" xr:uid="{00000000-0005-0000-0000-000060040000}"/>
    <cellStyle name="標準 102 4" xfId="1123" xr:uid="{00000000-0005-0000-0000-000061040000}"/>
    <cellStyle name="標準 102 5" xfId="1124" xr:uid="{00000000-0005-0000-0000-000062040000}"/>
    <cellStyle name="標準 103" xfId="1125" xr:uid="{00000000-0005-0000-0000-000063040000}"/>
    <cellStyle name="標準 104" xfId="1126" xr:uid="{00000000-0005-0000-0000-000064040000}"/>
    <cellStyle name="標準 104 2" xfId="1127" xr:uid="{00000000-0005-0000-0000-000065040000}"/>
    <cellStyle name="標準 104 3" xfId="1128" xr:uid="{00000000-0005-0000-0000-000066040000}"/>
    <cellStyle name="標準 104 4" xfId="1129" xr:uid="{00000000-0005-0000-0000-000067040000}"/>
    <cellStyle name="標準 105" xfId="1130" xr:uid="{00000000-0005-0000-0000-000068040000}"/>
    <cellStyle name="標準 106" xfId="1131" xr:uid="{00000000-0005-0000-0000-000069040000}"/>
    <cellStyle name="標準 107" xfId="1132" xr:uid="{00000000-0005-0000-0000-00006A040000}"/>
    <cellStyle name="標準 108" xfId="1133" xr:uid="{00000000-0005-0000-0000-00006B040000}"/>
    <cellStyle name="標準 109" xfId="1134" xr:uid="{00000000-0005-0000-0000-00006C040000}"/>
    <cellStyle name="標準 11" xfId="1135" xr:uid="{00000000-0005-0000-0000-00006D040000}"/>
    <cellStyle name="標準 11 2" xfId="1136" xr:uid="{00000000-0005-0000-0000-00006E040000}"/>
    <cellStyle name="標準 11 3" xfId="1137" xr:uid="{00000000-0005-0000-0000-00006F040000}"/>
    <cellStyle name="標準 110" xfId="1138" xr:uid="{00000000-0005-0000-0000-000070040000}"/>
    <cellStyle name="標準 111" xfId="1139" xr:uid="{00000000-0005-0000-0000-000071040000}"/>
    <cellStyle name="標準 112" xfId="1140" xr:uid="{00000000-0005-0000-0000-000072040000}"/>
    <cellStyle name="標準 113" xfId="1141" xr:uid="{00000000-0005-0000-0000-000073040000}"/>
    <cellStyle name="標準 114" xfId="1142" xr:uid="{00000000-0005-0000-0000-000074040000}"/>
    <cellStyle name="標準 115" xfId="1143" xr:uid="{00000000-0005-0000-0000-000075040000}"/>
    <cellStyle name="標準 116" xfId="1144" xr:uid="{00000000-0005-0000-0000-000076040000}"/>
    <cellStyle name="標準 117" xfId="1145" xr:uid="{00000000-0005-0000-0000-000077040000}"/>
    <cellStyle name="標準 118" xfId="1146" xr:uid="{00000000-0005-0000-0000-000078040000}"/>
    <cellStyle name="標準 119" xfId="1147" xr:uid="{00000000-0005-0000-0000-000079040000}"/>
    <cellStyle name="標準 12" xfId="1148" xr:uid="{00000000-0005-0000-0000-00007A040000}"/>
    <cellStyle name="標準 12 2" xfId="1149" xr:uid="{00000000-0005-0000-0000-00007B040000}"/>
    <cellStyle name="標準 12 2 2" xfId="1150" xr:uid="{00000000-0005-0000-0000-00007C040000}"/>
    <cellStyle name="標準 12 2 3" xfId="1151" xr:uid="{00000000-0005-0000-0000-00007D040000}"/>
    <cellStyle name="標準 12 3" xfId="1152" xr:uid="{00000000-0005-0000-0000-00007E040000}"/>
    <cellStyle name="標準 12 3 2" xfId="1153" xr:uid="{00000000-0005-0000-0000-00007F040000}"/>
    <cellStyle name="標準 12 3 3" xfId="1154" xr:uid="{00000000-0005-0000-0000-000080040000}"/>
    <cellStyle name="標準 120" xfId="1155" xr:uid="{00000000-0005-0000-0000-000081040000}"/>
    <cellStyle name="標準 121" xfId="1156" xr:uid="{00000000-0005-0000-0000-000082040000}"/>
    <cellStyle name="標準 122" xfId="1157" xr:uid="{00000000-0005-0000-0000-000083040000}"/>
    <cellStyle name="標準 123" xfId="1158" xr:uid="{00000000-0005-0000-0000-000084040000}"/>
    <cellStyle name="標準 124" xfId="1159" xr:uid="{00000000-0005-0000-0000-000085040000}"/>
    <cellStyle name="標準 125" xfId="1160" xr:uid="{00000000-0005-0000-0000-000086040000}"/>
    <cellStyle name="標準 126" xfId="1161" xr:uid="{00000000-0005-0000-0000-000087040000}"/>
    <cellStyle name="標準 127" xfId="1162" xr:uid="{00000000-0005-0000-0000-000088040000}"/>
    <cellStyle name="標準 128" xfId="1163" xr:uid="{00000000-0005-0000-0000-000089040000}"/>
    <cellStyle name="標準 129" xfId="1164" xr:uid="{00000000-0005-0000-0000-00008A040000}"/>
    <cellStyle name="標準 13" xfId="1165" xr:uid="{00000000-0005-0000-0000-00008B040000}"/>
    <cellStyle name="標準 13 2" xfId="1166" xr:uid="{00000000-0005-0000-0000-00008C040000}"/>
    <cellStyle name="標準 13 3" xfId="1167" xr:uid="{00000000-0005-0000-0000-00008D040000}"/>
    <cellStyle name="標準 13 4" xfId="1168" xr:uid="{00000000-0005-0000-0000-00008E040000}"/>
    <cellStyle name="標準 13 5" xfId="1169" xr:uid="{00000000-0005-0000-0000-00008F040000}"/>
    <cellStyle name="標準 130" xfId="1170" xr:uid="{00000000-0005-0000-0000-000090040000}"/>
    <cellStyle name="標準 131" xfId="1171" xr:uid="{00000000-0005-0000-0000-000091040000}"/>
    <cellStyle name="標準 132" xfId="1937" xr:uid="{00000000-0005-0000-0000-000092040000}"/>
    <cellStyle name="標準 132 2" xfId="1943" xr:uid="{00000000-0005-0000-0000-000093040000}"/>
    <cellStyle name="標準 133" xfId="1944" xr:uid="{00000000-0005-0000-0000-000094040000}"/>
    <cellStyle name="標準 134" xfId="1946" xr:uid="{00000000-0005-0000-0000-000095040000}"/>
    <cellStyle name="標準 136" xfId="1172" xr:uid="{00000000-0005-0000-0000-000096040000}"/>
    <cellStyle name="標準 14" xfId="1173" xr:uid="{00000000-0005-0000-0000-000097040000}"/>
    <cellStyle name="標準 14 2" xfId="1174" xr:uid="{00000000-0005-0000-0000-000098040000}"/>
    <cellStyle name="標準 14 2 2" xfId="1175" xr:uid="{00000000-0005-0000-0000-000099040000}"/>
    <cellStyle name="標準 14 2 3" xfId="1176" xr:uid="{00000000-0005-0000-0000-00009A040000}"/>
    <cellStyle name="標準 14 3" xfId="1177" xr:uid="{00000000-0005-0000-0000-00009B040000}"/>
    <cellStyle name="標準 14 4" xfId="1178" xr:uid="{00000000-0005-0000-0000-00009C040000}"/>
    <cellStyle name="標準 15" xfId="1179" xr:uid="{00000000-0005-0000-0000-00009D040000}"/>
    <cellStyle name="標準 15 2" xfId="1180" xr:uid="{00000000-0005-0000-0000-00009E040000}"/>
    <cellStyle name="標準 15 2 2" xfId="1181" xr:uid="{00000000-0005-0000-0000-00009F040000}"/>
    <cellStyle name="標準 15 2 3" xfId="1182" xr:uid="{00000000-0005-0000-0000-0000A0040000}"/>
    <cellStyle name="標準 15 3" xfId="1183" xr:uid="{00000000-0005-0000-0000-0000A1040000}"/>
    <cellStyle name="標準 15 4" xfId="1184" xr:uid="{00000000-0005-0000-0000-0000A2040000}"/>
    <cellStyle name="標準 15 5" xfId="1185" xr:uid="{00000000-0005-0000-0000-0000A3040000}"/>
    <cellStyle name="標準 15 6" xfId="1186" xr:uid="{00000000-0005-0000-0000-0000A4040000}"/>
    <cellStyle name="標準 16" xfId="1187" xr:uid="{00000000-0005-0000-0000-0000A5040000}"/>
    <cellStyle name="標準 16 2" xfId="1188" xr:uid="{00000000-0005-0000-0000-0000A6040000}"/>
    <cellStyle name="標準 16 2 2" xfId="1189" xr:uid="{00000000-0005-0000-0000-0000A7040000}"/>
    <cellStyle name="標準 16 2 3" xfId="1190" xr:uid="{00000000-0005-0000-0000-0000A8040000}"/>
    <cellStyle name="標準 16 3" xfId="1191" xr:uid="{00000000-0005-0000-0000-0000A9040000}"/>
    <cellStyle name="標準 16 4" xfId="1192" xr:uid="{00000000-0005-0000-0000-0000AA040000}"/>
    <cellStyle name="標準 16 5" xfId="1193" xr:uid="{00000000-0005-0000-0000-0000AB040000}"/>
    <cellStyle name="標準 17" xfId="1194" xr:uid="{00000000-0005-0000-0000-0000AC040000}"/>
    <cellStyle name="標準 17 2" xfId="1195" xr:uid="{00000000-0005-0000-0000-0000AD040000}"/>
    <cellStyle name="標準 17 2 2" xfId="1196" xr:uid="{00000000-0005-0000-0000-0000AE040000}"/>
    <cellStyle name="標準 17 2 3" xfId="1197" xr:uid="{00000000-0005-0000-0000-0000AF040000}"/>
    <cellStyle name="標準 17 3" xfId="1198" xr:uid="{00000000-0005-0000-0000-0000B0040000}"/>
    <cellStyle name="標準 17 4" xfId="1199" xr:uid="{00000000-0005-0000-0000-0000B1040000}"/>
    <cellStyle name="標準 17 5" xfId="1200" xr:uid="{00000000-0005-0000-0000-0000B2040000}"/>
    <cellStyle name="標準 18" xfId="1201" xr:uid="{00000000-0005-0000-0000-0000B3040000}"/>
    <cellStyle name="標準 18 2" xfId="1202" xr:uid="{00000000-0005-0000-0000-0000B4040000}"/>
    <cellStyle name="標準 18 2 2" xfId="1203" xr:uid="{00000000-0005-0000-0000-0000B5040000}"/>
    <cellStyle name="標準 18 2 3" xfId="1204" xr:uid="{00000000-0005-0000-0000-0000B6040000}"/>
    <cellStyle name="標準 18 2 4" xfId="1205" xr:uid="{00000000-0005-0000-0000-0000B7040000}"/>
    <cellStyle name="標準 18 3" xfId="1206" xr:uid="{00000000-0005-0000-0000-0000B8040000}"/>
    <cellStyle name="標準 18 4" xfId="1207" xr:uid="{00000000-0005-0000-0000-0000B9040000}"/>
    <cellStyle name="標準 18 5" xfId="1208" xr:uid="{00000000-0005-0000-0000-0000BA040000}"/>
    <cellStyle name="標準 18 6" xfId="1209" xr:uid="{00000000-0005-0000-0000-0000BB040000}"/>
    <cellStyle name="標準 19" xfId="1210" xr:uid="{00000000-0005-0000-0000-0000BC040000}"/>
    <cellStyle name="標準 19 2" xfId="1211" xr:uid="{00000000-0005-0000-0000-0000BD040000}"/>
    <cellStyle name="標準 19 3" xfId="1212" xr:uid="{00000000-0005-0000-0000-0000BE040000}"/>
    <cellStyle name="標準 2" xfId="9" xr:uid="{00000000-0005-0000-0000-0000BF040000}"/>
    <cellStyle name="標準 2 10" xfId="1213" xr:uid="{00000000-0005-0000-0000-0000C0040000}"/>
    <cellStyle name="標準 2 11" xfId="1214" xr:uid="{00000000-0005-0000-0000-0000C1040000}"/>
    <cellStyle name="標準 2 12" xfId="1215" xr:uid="{00000000-0005-0000-0000-0000C2040000}"/>
    <cellStyle name="標準 2 13" xfId="1216" xr:uid="{00000000-0005-0000-0000-0000C3040000}"/>
    <cellStyle name="標準 2 2" xfId="10" xr:uid="{00000000-0005-0000-0000-0000C4040000}"/>
    <cellStyle name="標準 2 2 2" xfId="1217" xr:uid="{00000000-0005-0000-0000-0000C5040000}"/>
    <cellStyle name="標準 2 2 2 2" xfId="1218" xr:uid="{00000000-0005-0000-0000-0000C6040000}"/>
    <cellStyle name="標準 2 2 2 2 2" xfId="1219" xr:uid="{00000000-0005-0000-0000-0000C7040000}"/>
    <cellStyle name="標準 2 2 2 2 3" xfId="1220" xr:uid="{00000000-0005-0000-0000-0000C8040000}"/>
    <cellStyle name="標準 2 2 2 3" xfId="1221" xr:uid="{00000000-0005-0000-0000-0000C9040000}"/>
    <cellStyle name="標準 2 2 3" xfId="1222" xr:uid="{00000000-0005-0000-0000-0000CA040000}"/>
    <cellStyle name="標準 2 2 3 2" xfId="1223" xr:uid="{00000000-0005-0000-0000-0000CB040000}"/>
    <cellStyle name="標準 2 2 3 3" xfId="1224" xr:uid="{00000000-0005-0000-0000-0000CC040000}"/>
    <cellStyle name="標準 2 2 4" xfId="1225" xr:uid="{00000000-0005-0000-0000-0000CD040000}"/>
    <cellStyle name="標準 2 2 4 2" xfId="1226" xr:uid="{00000000-0005-0000-0000-0000CE040000}"/>
    <cellStyle name="標準 2 2 4 3" xfId="1227" xr:uid="{00000000-0005-0000-0000-0000CF040000}"/>
    <cellStyle name="標準 2 2 5" xfId="1228" xr:uid="{00000000-0005-0000-0000-0000D0040000}"/>
    <cellStyle name="標準 2 2 5 2" xfId="1229" xr:uid="{00000000-0005-0000-0000-0000D1040000}"/>
    <cellStyle name="標準 2 2 5 3" xfId="1230" xr:uid="{00000000-0005-0000-0000-0000D2040000}"/>
    <cellStyle name="標準 2 2 6" xfId="1231" xr:uid="{00000000-0005-0000-0000-0000D3040000}"/>
    <cellStyle name="標準 2 2 6 2" xfId="1232" xr:uid="{00000000-0005-0000-0000-0000D4040000}"/>
    <cellStyle name="標準 2 2 6 3" xfId="1233" xr:uid="{00000000-0005-0000-0000-0000D5040000}"/>
    <cellStyle name="標準 2 2 7" xfId="1234" xr:uid="{00000000-0005-0000-0000-0000D6040000}"/>
    <cellStyle name="標準 2 2 8" xfId="1235" xr:uid="{00000000-0005-0000-0000-0000D7040000}"/>
    <cellStyle name="標準 2 2_(別紙1)参加者テスト仕様書(JPN)_ver1.81" xfId="1236" xr:uid="{00000000-0005-0000-0000-0000D8040000}"/>
    <cellStyle name="標準 2 3" xfId="13" xr:uid="{00000000-0005-0000-0000-0000D9040000}"/>
    <cellStyle name="標準 2 3 2" xfId="1237" xr:uid="{00000000-0005-0000-0000-0000DA040000}"/>
    <cellStyle name="標準 2 3 2 2" xfId="1238" xr:uid="{00000000-0005-0000-0000-0000DB040000}"/>
    <cellStyle name="標準 2 3 3" xfId="1239" xr:uid="{00000000-0005-0000-0000-0000DC040000}"/>
    <cellStyle name="標準 2 3 3 2" xfId="1240" xr:uid="{00000000-0005-0000-0000-0000DD040000}"/>
    <cellStyle name="標準 2 3 3 3" xfId="1241" xr:uid="{00000000-0005-0000-0000-0000DE040000}"/>
    <cellStyle name="標準 2 3 4" xfId="1242" xr:uid="{00000000-0005-0000-0000-0000DF040000}"/>
    <cellStyle name="標準 2 4" xfId="1243" xr:uid="{00000000-0005-0000-0000-0000E0040000}"/>
    <cellStyle name="標準 2 4 2" xfId="1244" xr:uid="{00000000-0005-0000-0000-0000E1040000}"/>
    <cellStyle name="標準 2 4 2 2" xfId="1245" xr:uid="{00000000-0005-0000-0000-0000E2040000}"/>
    <cellStyle name="標準 2 4 3" xfId="1246" xr:uid="{00000000-0005-0000-0000-0000E3040000}"/>
    <cellStyle name="標準 2 5" xfId="1247" xr:uid="{00000000-0005-0000-0000-0000E4040000}"/>
    <cellStyle name="標準 2 5 2" xfId="1248" xr:uid="{00000000-0005-0000-0000-0000E5040000}"/>
    <cellStyle name="標準 2 5 3" xfId="1249" xr:uid="{00000000-0005-0000-0000-0000E6040000}"/>
    <cellStyle name="標準 2 6" xfId="1250" xr:uid="{00000000-0005-0000-0000-0000E7040000}"/>
    <cellStyle name="標準 2 6 2" xfId="1251" xr:uid="{00000000-0005-0000-0000-0000E8040000}"/>
    <cellStyle name="標準 2 6 3" xfId="1252" xr:uid="{00000000-0005-0000-0000-0000E9040000}"/>
    <cellStyle name="標準 2 6 4" xfId="1253" xr:uid="{00000000-0005-0000-0000-0000EA040000}"/>
    <cellStyle name="標準 2 7" xfId="1254" xr:uid="{00000000-0005-0000-0000-0000EB040000}"/>
    <cellStyle name="標準 2 7 2" xfId="1255" xr:uid="{00000000-0005-0000-0000-0000EC040000}"/>
    <cellStyle name="標準 2 8" xfId="1256" xr:uid="{00000000-0005-0000-0000-0000ED040000}"/>
    <cellStyle name="標準 2 8 2" xfId="1257" xr:uid="{00000000-0005-0000-0000-0000EE040000}"/>
    <cellStyle name="標準 2 9" xfId="1258" xr:uid="{00000000-0005-0000-0000-0000EF040000}"/>
    <cellStyle name="標準 2_(別紙1)参加者テスト仕様書(JPN)_ver1.81" xfId="1259" xr:uid="{00000000-0005-0000-0000-0000F0040000}"/>
    <cellStyle name="標準 20" xfId="1260" xr:uid="{00000000-0005-0000-0000-0000F1040000}"/>
    <cellStyle name="標準 20 2" xfId="1261" xr:uid="{00000000-0005-0000-0000-0000F2040000}"/>
    <cellStyle name="標準 20 3" xfId="1262" xr:uid="{00000000-0005-0000-0000-0000F3040000}"/>
    <cellStyle name="標準 20 4" xfId="1263" xr:uid="{00000000-0005-0000-0000-0000F4040000}"/>
    <cellStyle name="標準 20 5" xfId="1264" xr:uid="{00000000-0005-0000-0000-0000F5040000}"/>
    <cellStyle name="標準 21" xfId="1265" xr:uid="{00000000-0005-0000-0000-0000F6040000}"/>
    <cellStyle name="標準 21 2" xfId="1266" xr:uid="{00000000-0005-0000-0000-0000F7040000}"/>
    <cellStyle name="標準 21 2 2" xfId="1267" xr:uid="{00000000-0005-0000-0000-0000F8040000}"/>
    <cellStyle name="標準 21 3" xfId="1268" xr:uid="{00000000-0005-0000-0000-0000F9040000}"/>
    <cellStyle name="標準 21 3 2" xfId="1269" xr:uid="{00000000-0005-0000-0000-0000FA040000}"/>
    <cellStyle name="標準 21 4" xfId="1270" xr:uid="{00000000-0005-0000-0000-0000FB040000}"/>
    <cellStyle name="標準 21 5" xfId="1271" xr:uid="{00000000-0005-0000-0000-0000FC040000}"/>
    <cellStyle name="標準 22" xfId="1272" xr:uid="{00000000-0005-0000-0000-0000FD040000}"/>
    <cellStyle name="標準 22 2" xfId="1273" xr:uid="{00000000-0005-0000-0000-0000FE040000}"/>
    <cellStyle name="標準 22 3" xfId="1274" xr:uid="{00000000-0005-0000-0000-0000FF040000}"/>
    <cellStyle name="標準 23" xfId="1275" xr:uid="{00000000-0005-0000-0000-000000050000}"/>
    <cellStyle name="標準 23 2" xfId="1276" xr:uid="{00000000-0005-0000-0000-000001050000}"/>
    <cellStyle name="標準 23 3" xfId="1277" xr:uid="{00000000-0005-0000-0000-000002050000}"/>
    <cellStyle name="標準 24" xfId="1278" xr:uid="{00000000-0005-0000-0000-000003050000}"/>
    <cellStyle name="標準 24 2" xfId="1279" xr:uid="{00000000-0005-0000-0000-000004050000}"/>
    <cellStyle name="標準 24 3" xfId="1280" xr:uid="{00000000-0005-0000-0000-000005050000}"/>
    <cellStyle name="標準 25" xfId="1281" xr:uid="{00000000-0005-0000-0000-000006050000}"/>
    <cellStyle name="標準 26" xfId="1282" xr:uid="{00000000-0005-0000-0000-000007050000}"/>
    <cellStyle name="標準 27" xfId="1283" xr:uid="{00000000-0005-0000-0000-000008050000}"/>
    <cellStyle name="標準 28" xfId="1284" xr:uid="{00000000-0005-0000-0000-000009050000}"/>
    <cellStyle name="標準 29" xfId="1285" xr:uid="{00000000-0005-0000-0000-00000A050000}"/>
    <cellStyle name="標準 3" xfId="11" xr:uid="{00000000-0005-0000-0000-00000B050000}"/>
    <cellStyle name="標準 3 10" xfId="1286" xr:uid="{00000000-0005-0000-0000-00000C050000}"/>
    <cellStyle name="標準 3 11" xfId="1287" xr:uid="{00000000-0005-0000-0000-00000D050000}"/>
    <cellStyle name="標準 3 2" xfId="1288" xr:uid="{00000000-0005-0000-0000-00000E050000}"/>
    <cellStyle name="標準 3 2 2" xfId="1289" xr:uid="{00000000-0005-0000-0000-00000F050000}"/>
    <cellStyle name="標準 3 2 2 2" xfId="1290" xr:uid="{00000000-0005-0000-0000-000010050000}"/>
    <cellStyle name="標準 3 2 2 3" xfId="1291" xr:uid="{00000000-0005-0000-0000-000011050000}"/>
    <cellStyle name="標準 3 2 3" xfId="1292" xr:uid="{00000000-0005-0000-0000-000012050000}"/>
    <cellStyle name="標準 3 2 3 2" xfId="1293" xr:uid="{00000000-0005-0000-0000-000013050000}"/>
    <cellStyle name="標準 3 2 3 3" xfId="1294" xr:uid="{00000000-0005-0000-0000-000014050000}"/>
    <cellStyle name="標準 3 2 4" xfId="1295" xr:uid="{00000000-0005-0000-0000-000015050000}"/>
    <cellStyle name="標準 3 2 5" xfId="1296" xr:uid="{00000000-0005-0000-0000-000016050000}"/>
    <cellStyle name="標準 3 3" xfId="1297" xr:uid="{00000000-0005-0000-0000-000017050000}"/>
    <cellStyle name="標準 3 4" xfId="1298" xr:uid="{00000000-0005-0000-0000-000018050000}"/>
    <cellStyle name="標準 3 4 2" xfId="1299" xr:uid="{00000000-0005-0000-0000-000019050000}"/>
    <cellStyle name="標準 3 4 3" xfId="1300" xr:uid="{00000000-0005-0000-0000-00001A050000}"/>
    <cellStyle name="標準 3 5" xfId="1301" xr:uid="{00000000-0005-0000-0000-00001B050000}"/>
    <cellStyle name="標準 3 5 2" xfId="1302" xr:uid="{00000000-0005-0000-0000-00001C050000}"/>
    <cellStyle name="標準 3 5 3" xfId="1303" xr:uid="{00000000-0005-0000-0000-00001D050000}"/>
    <cellStyle name="標準 3 6" xfId="1304" xr:uid="{00000000-0005-0000-0000-00001E050000}"/>
    <cellStyle name="標準 3 6 2" xfId="1305" xr:uid="{00000000-0005-0000-0000-00001F050000}"/>
    <cellStyle name="標準 3 7" xfId="1306" xr:uid="{00000000-0005-0000-0000-000020050000}"/>
    <cellStyle name="標準 3 8" xfId="1307" xr:uid="{00000000-0005-0000-0000-000021050000}"/>
    <cellStyle name="標準 3 9" xfId="1308" xr:uid="{00000000-0005-0000-0000-000022050000}"/>
    <cellStyle name="標準 3_【Quick取得データ配信ツール(仮)】課題管理表（EUC）_20121210" xfId="1309" xr:uid="{00000000-0005-0000-0000-000023050000}"/>
    <cellStyle name="標準 30" xfId="1310" xr:uid="{00000000-0005-0000-0000-000024050000}"/>
    <cellStyle name="標準 31" xfId="1311" xr:uid="{00000000-0005-0000-0000-000025050000}"/>
    <cellStyle name="標準 31 2" xfId="1312" xr:uid="{00000000-0005-0000-0000-000026050000}"/>
    <cellStyle name="標準 31 3" xfId="1313" xr:uid="{00000000-0005-0000-0000-000027050000}"/>
    <cellStyle name="標準 32" xfId="1314" xr:uid="{00000000-0005-0000-0000-000028050000}"/>
    <cellStyle name="標準 32 2" xfId="1315" xr:uid="{00000000-0005-0000-0000-000029050000}"/>
    <cellStyle name="標準 32 3" xfId="1316" xr:uid="{00000000-0005-0000-0000-00002A050000}"/>
    <cellStyle name="標準 33" xfId="1317" xr:uid="{00000000-0005-0000-0000-00002B050000}"/>
    <cellStyle name="標準 33 2" xfId="1318" xr:uid="{00000000-0005-0000-0000-00002C050000}"/>
    <cellStyle name="標準 33 3" xfId="1319" xr:uid="{00000000-0005-0000-0000-00002D050000}"/>
    <cellStyle name="標準 34" xfId="1320" xr:uid="{00000000-0005-0000-0000-00002E050000}"/>
    <cellStyle name="標準 34 2" xfId="1321" xr:uid="{00000000-0005-0000-0000-00002F050000}"/>
    <cellStyle name="標準 34 3" xfId="1322" xr:uid="{00000000-0005-0000-0000-000030050000}"/>
    <cellStyle name="標準 35" xfId="1323" xr:uid="{00000000-0005-0000-0000-000031050000}"/>
    <cellStyle name="標準 35 2" xfId="1324" xr:uid="{00000000-0005-0000-0000-000032050000}"/>
    <cellStyle name="標準 35 3" xfId="1325" xr:uid="{00000000-0005-0000-0000-000033050000}"/>
    <cellStyle name="標準 36" xfId="1326" xr:uid="{00000000-0005-0000-0000-000034050000}"/>
    <cellStyle name="標準 36 2" xfId="1327" xr:uid="{00000000-0005-0000-0000-000035050000}"/>
    <cellStyle name="標準 36 3" xfId="1328" xr:uid="{00000000-0005-0000-0000-000036050000}"/>
    <cellStyle name="標準 37" xfId="1329" xr:uid="{00000000-0005-0000-0000-000037050000}"/>
    <cellStyle name="標準 37 2" xfId="1330" xr:uid="{00000000-0005-0000-0000-000038050000}"/>
    <cellStyle name="標準 37 3" xfId="1331" xr:uid="{00000000-0005-0000-0000-000039050000}"/>
    <cellStyle name="標準 38" xfId="1332" xr:uid="{00000000-0005-0000-0000-00003A050000}"/>
    <cellStyle name="標準 39" xfId="1333" xr:uid="{00000000-0005-0000-0000-00003B050000}"/>
    <cellStyle name="標準 39 2" xfId="1334" xr:uid="{00000000-0005-0000-0000-00003C050000}"/>
    <cellStyle name="標準 39 3" xfId="1335" xr:uid="{00000000-0005-0000-0000-00003D050000}"/>
    <cellStyle name="標準 4" xfId="16" xr:uid="{00000000-0005-0000-0000-00003E050000}"/>
    <cellStyle name="標準 4 2" xfId="1336" xr:uid="{00000000-0005-0000-0000-00003F050000}"/>
    <cellStyle name="標準 4 2 2" xfId="1337" xr:uid="{00000000-0005-0000-0000-000040050000}"/>
    <cellStyle name="標準 4 2 2 2" xfId="1338" xr:uid="{00000000-0005-0000-0000-000041050000}"/>
    <cellStyle name="標準 4 2 2 3" xfId="1339" xr:uid="{00000000-0005-0000-0000-000042050000}"/>
    <cellStyle name="標準 4 2 3" xfId="1340" xr:uid="{00000000-0005-0000-0000-000043050000}"/>
    <cellStyle name="標準 4 3" xfId="1341" xr:uid="{00000000-0005-0000-0000-000044050000}"/>
    <cellStyle name="標準 4 3 2" xfId="1342" xr:uid="{00000000-0005-0000-0000-000045050000}"/>
    <cellStyle name="標準 4 3 3" xfId="1343" xr:uid="{00000000-0005-0000-0000-000046050000}"/>
    <cellStyle name="標準 4 4" xfId="1344" xr:uid="{00000000-0005-0000-0000-000047050000}"/>
    <cellStyle name="標準 4 4 2" xfId="1345" xr:uid="{00000000-0005-0000-0000-000048050000}"/>
    <cellStyle name="標準 4 4 3" xfId="1346" xr:uid="{00000000-0005-0000-0000-000049050000}"/>
    <cellStyle name="標準 4 5" xfId="1347" xr:uid="{00000000-0005-0000-0000-00004A050000}"/>
    <cellStyle name="標準 4 6" xfId="1348" xr:uid="{00000000-0005-0000-0000-00004B050000}"/>
    <cellStyle name="標準 4 7" xfId="1942" xr:uid="{00000000-0005-0000-0000-00004C050000}"/>
    <cellStyle name="標準 4_20121011__1_F⇒O_【証拠金１本化】課題管理（清算）" xfId="1349" xr:uid="{00000000-0005-0000-0000-00004D050000}"/>
    <cellStyle name="標準 40" xfId="1350" xr:uid="{00000000-0005-0000-0000-00004E050000}"/>
    <cellStyle name="標準 41" xfId="1351" xr:uid="{00000000-0005-0000-0000-00004F050000}"/>
    <cellStyle name="標準 42" xfId="1352" xr:uid="{00000000-0005-0000-0000-000050050000}"/>
    <cellStyle name="標準 43" xfId="1353" xr:uid="{00000000-0005-0000-0000-000051050000}"/>
    <cellStyle name="標準 44" xfId="1354" xr:uid="{00000000-0005-0000-0000-000052050000}"/>
    <cellStyle name="標準 45" xfId="1355" xr:uid="{00000000-0005-0000-0000-000053050000}"/>
    <cellStyle name="標準 46" xfId="1356" xr:uid="{00000000-0005-0000-0000-000054050000}"/>
    <cellStyle name="標準 47" xfId="1357" xr:uid="{00000000-0005-0000-0000-000055050000}"/>
    <cellStyle name="標準 48" xfId="1358" xr:uid="{00000000-0005-0000-0000-000056050000}"/>
    <cellStyle name="標準 49" xfId="1359" xr:uid="{00000000-0005-0000-0000-000057050000}"/>
    <cellStyle name="標準 5" xfId="1360" xr:uid="{00000000-0005-0000-0000-000058050000}"/>
    <cellStyle name="標準 5 2" xfId="1361" xr:uid="{00000000-0005-0000-0000-000059050000}"/>
    <cellStyle name="標準 5 2 2" xfId="1362" xr:uid="{00000000-0005-0000-0000-00005A050000}"/>
    <cellStyle name="標準 5 2 2 2" xfId="15" xr:uid="{00000000-0005-0000-0000-00005B050000}"/>
    <cellStyle name="標準 5 2 2 3" xfId="1363" xr:uid="{00000000-0005-0000-0000-00005C050000}"/>
    <cellStyle name="標準 5 2 3" xfId="1364" xr:uid="{00000000-0005-0000-0000-00005D050000}"/>
    <cellStyle name="標準 5 2 3 2" xfId="1365" xr:uid="{00000000-0005-0000-0000-00005E050000}"/>
    <cellStyle name="標準 5 2 3 3" xfId="1366" xr:uid="{00000000-0005-0000-0000-00005F050000}"/>
    <cellStyle name="標準 5 3" xfId="1367" xr:uid="{00000000-0005-0000-0000-000060050000}"/>
    <cellStyle name="標準 5 4" xfId="1368" xr:uid="{00000000-0005-0000-0000-000061050000}"/>
    <cellStyle name="標準 5 4 2" xfId="1369" xr:uid="{00000000-0005-0000-0000-000062050000}"/>
    <cellStyle name="標準 5_バックアップセンタ_切替テストスケジュール_20120406~10" xfId="1370" xr:uid="{00000000-0005-0000-0000-000063050000}"/>
    <cellStyle name="標準 50" xfId="1371" xr:uid="{00000000-0005-0000-0000-000064050000}"/>
    <cellStyle name="標準 51" xfId="1372" xr:uid="{00000000-0005-0000-0000-000065050000}"/>
    <cellStyle name="標準 52" xfId="1373" xr:uid="{00000000-0005-0000-0000-000066050000}"/>
    <cellStyle name="標準 53" xfId="1374" xr:uid="{00000000-0005-0000-0000-000067050000}"/>
    <cellStyle name="標準 54" xfId="1375" xr:uid="{00000000-0005-0000-0000-000068050000}"/>
    <cellStyle name="標準 55" xfId="1376" xr:uid="{00000000-0005-0000-0000-000069050000}"/>
    <cellStyle name="標準 56" xfId="1377" xr:uid="{00000000-0005-0000-0000-00006A050000}"/>
    <cellStyle name="標準 57" xfId="1378" xr:uid="{00000000-0005-0000-0000-00006B050000}"/>
    <cellStyle name="標準 58" xfId="1379" xr:uid="{00000000-0005-0000-0000-00006C050000}"/>
    <cellStyle name="標準 59" xfId="1380" xr:uid="{00000000-0005-0000-0000-00006D050000}"/>
    <cellStyle name="標準 6" xfId="1381" xr:uid="{00000000-0005-0000-0000-00006E050000}"/>
    <cellStyle name="標準 6 2" xfId="1382" xr:uid="{00000000-0005-0000-0000-00006F050000}"/>
    <cellStyle name="標準 6 2 2" xfId="1383" xr:uid="{00000000-0005-0000-0000-000070050000}"/>
    <cellStyle name="標準 6 2 3" xfId="1384" xr:uid="{00000000-0005-0000-0000-000071050000}"/>
    <cellStyle name="標準 6 2 4" xfId="1385" xr:uid="{00000000-0005-0000-0000-000072050000}"/>
    <cellStyle name="標準 6 3" xfId="1386" xr:uid="{00000000-0005-0000-0000-000073050000}"/>
    <cellStyle name="標準 6_バックアップセンタ_切替テストスケジュール_20120406~10" xfId="1387" xr:uid="{00000000-0005-0000-0000-000074050000}"/>
    <cellStyle name="標準 60" xfId="1388" xr:uid="{00000000-0005-0000-0000-000075050000}"/>
    <cellStyle name="標準 61" xfId="1389" xr:uid="{00000000-0005-0000-0000-000076050000}"/>
    <cellStyle name="標準 62" xfId="1390" xr:uid="{00000000-0005-0000-0000-000077050000}"/>
    <cellStyle name="標準 63" xfId="1391" xr:uid="{00000000-0005-0000-0000-000078050000}"/>
    <cellStyle name="標準 64" xfId="1392" xr:uid="{00000000-0005-0000-0000-000079050000}"/>
    <cellStyle name="標準 65" xfId="1393" xr:uid="{00000000-0005-0000-0000-00007A050000}"/>
    <cellStyle name="標準 66" xfId="1394" xr:uid="{00000000-0005-0000-0000-00007B050000}"/>
    <cellStyle name="標準 67" xfId="1395" xr:uid="{00000000-0005-0000-0000-00007C050000}"/>
    <cellStyle name="標準 68" xfId="1396" xr:uid="{00000000-0005-0000-0000-00007D050000}"/>
    <cellStyle name="標準 69" xfId="1397" xr:uid="{00000000-0005-0000-0000-00007E050000}"/>
    <cellStyle name="標準 69 2" xfId="1398" xr:uid="{00000000-0005-0000-0000-00007F050000}"/>
    <cellStyle name="標準 69 2 2" xfId="1399" xr:uid="{00000000-0005-0000-0000-000080050000}"/>
    <cellStyle name="標準 69 2 2 2" xfId="1400" xr:uid="{00000000-0005-0000-0000-000081050000}"/>
    <cellStyle name="標準 69 2 2 3" xfId="1401" xr:uid="{00000000-0005-0000-0000-000082050000}"/>
    <cellStyle name="標準 69 2 2 4" xfId="1402" xr:uid="{00000000-0005-0000-0000-000083050000}"/>
    <cellStyle name="標準 69 2 3" xfId="1403" xr:uid="{00000000-0005-0000-0000-000084050000}"/>
    <cellStyle name="標準 69 2 4" xfId="1404" xr:uid="{00000000-0005-0000-0000-000085050000}"/>
    <cellStyle name="標準 69 2 5" xfId="1405" xr:uid="{00000000-0005-0000-0000-000086050000}"/>
    <cellStyle name="標準 69 3" xfId="1406" xr:uid="{00000000-0005-0000-0000-000087050000}"/>
    <cellStyle name="標準 69 3 2" xfId="1407" xr:uid="{00000000-0005-0000-0000-000088050000}"/>
    <cellStyle name="標準 69 3 3" xfId="1408" xr:uid="{00000000-0005-0000-0000-000089050000}"/>
    <cellStyle name="標準 69 3 4" xfId="1409" xr:uid="{00000000-0005-0000-0000-00008A050000}"/>
    <cellStyle name="標準 69 4" xfId="1410" xr:uid="{00000000-0005-0000-0000-00008B050000}"/>
    <cellStyle name="標準 69 5" xfId="1411" xr:uid="{00000000-0005-0000-0000-00008C050000}"/>
    <cellStyle name="標準 69 6" xfId="1412" xr:uid="{00000000-0005-0000-0000-00008D050000}"/>
    <cellStyle name="標準 69 7" xfId="1413" xr:uid="{00000000-0005-0000-0000-00008E050000}"/>
    <cellStyle name="標準 69 8" xfId="1414" xr:uid="{00000000-0005-0000-0000-00008F050000}"/>
    <cellStyle name="標準 7" xfId="1415" xr:uid="{00000000-0005-0000-0000-000090050000}"/>
    <cellStyle name="標準 7 2" xfId="1416" xr:uid="{00000000-0005-0000-0000-000091050000}"/>
    <cellStyle name="標準 7 2 2" xfId="1417" xr:uid="{00000000-0005-0000-0000-000092050000}"/>
    <cellStyle name="標準 7 2 3" xfId="1418" xr:uid="{00000000-0005-0000-0000-000093050000}"/>
    <cellStyle name="標準 7 3" xfId="1419" xr:uid="{00000000-0005-0000-0000-000094050000}"/>
    <cellStyle name="標準 7 3 2" xfId="1420" xr:uid="{00000000-0005-0000-0000-000095050000}"/>
    <cellStyle name="標準 7 3 3" xfId="1421" xr:uid="{00000000-0005-0000-0000-000096050000}"/>
    <cellStyle name="標準 7 4" xfId="1422" xr:uid="{00000000-0005-0000-0000-000097050000}"/>
    <cellStyle name="標準 7 4 2" xfId="1423" xr:uid="{00000000-0005-0000-0000-000098050000}"/>
    <cellStyle name="標準 7 4 3" xfId="1424" xr:uid="{00000000-0005-0000-0000-000099050000}"/>
    <cellStyle name="標準 7 5" xfId="1425" xr:uid="{00000000-0005-0000-0000-00009A050000}"/>
    <cellStyle name="標準 70" xfId="1426" xr:uid="{00000000-0005-0000-0000-00009B050000}"/>
    <cellStyle name="標準 70 2" xfId="1427" xr:uid="{00000000-0005-0000-0000-00009C050000}"/>
    <cellStyle name="標準 70 2 2" xfId="1428" xr:uid="{00000000-0005-0000-0000-00009D050000}"/>
    <cellStyle name="標準 70 2 2 2" xfId="1429" xr:uid="{00000000-0005-0000-0000-00009E050000}"/>
    <cellStyle name="標準 70 2 2 3" xfId="1430" xr:uid="{00000000-0005-0000-0000-00009F050000}"/>
    <cellStyle name="標準 70 2 2 4" xfId="1431" xr:uid="{00000000-0005-0000-0000-0000A0050000}"/>
    <cellStyle name="標準 70 2 3" xfId="1432" xr:uid="{00000000-0005-0000-0000-0000A1050000}"/>
    <cellStyle name="標準 70 2 4" xfId="1433" xr:uid="{00000000-0005-0000-0000-0000A2050000}"/>
    <cellStyle name="標準 70 2 5" xfId="1434" xr:uid="{00000000-0005-0000-0000-0000A3050000}"/>
    <cellStyle name="標準 70 3" xfId="1435" xr:uid="{00000000-0005-0000-0000-0000A4050000}"/>
    <cellStyle name="標準 70 3 2" xfId="1436" xr:uid="{00000000-0005-0000-0000-0000A5050000}"/>
    <cellStyle name="標準 70 3 3" xfId="1437" xr:uid="{00000000-0005-0000-0000-0000A6050000}"/>
    <cellStyle name="標準 70 3 4" xfId="1438" xr:uid="{00000000-0005-0000-0000-0000A7050000}"/>
    <cellStyle name="標準 70 4" xfId="1439" xr:uid="{00000000-0005-0000-0000-0000A8050000}"/>
    <cellStyle name="標準 70 5" xfId="1440" xr:uid="{00000000-0005-0000-0000-0000A9050000}"/>
    <cellStyle name="標準 70 6" xfId="1441" xr:uid="{00000000-0005-0000-0000-0000AA050000}"/>
    <cellStyle name="標準 70 7" xfId="1442" xr:uid="{00000000-0005-0000-0000-0000AB050000}"/>
    <cellStyle name="標準 70 8" xfId="1443" xr:uid="{00000000-0005-0000-0000-0000AC050000}"/>
    <cellStyle name="標準 71" xfId="1444" xr:uid="{00000000-0005-0000-0000-0000AD050000}"/>
    <cellStyle name="標準 71 2" xfId="1445" xr:uid="{00000000-0005-0000-0000-0000AE050000}"/>
    <cellStyle name="標準 71 2 2" xfId="1446" xr:uid="{00000000-0005-0000-0000-0000AF050000}"/>
    <cellStyle name="標準 71 2 2 2" xfId="1447" xr:uid="{00000000-0005-0000-0000-0000B0050000}"/>
    <cellStyle name="標準 71 2 2 3" xfId="1448" xr:uid="{00000000-0005-0000-0000-0000B1050000}"/>
    <cellStyle name="標準 71 2 2 4" xfId="1449" xr:uid="{00000000-0005-0000-0000-0000B2050000}"/>
    <cellStyle name="標準 71 2 3" xfId="1450" xr:uid="{00000000-0005-0000-0000-0000B3050000}"/>
    <cellStyle name="標準 71 2 4" xfId="1451" xr:uid="{00000000-0005-0000-0000-0000B4050000}"/>
    <cellStyle name="標準 71 2 5" xfId="1452" xr:uid="{00000000-0005-0000-0000-0000B5050000}"/>
    <cellStyle name="標準 71 3" xfId="1453" xr:uid="{00000000-0005-0000-0000-0000B6050000}"/>
    <cellStyle name="標準 71 3 2" xfId="1454" xr:uid="{00000000-0005-0000-0000-0000B7050000}"/>
    <cellStyle name="標準 71 3 3" xfId="1455" xr:uid="{00000000-0005-0000-0000-0000B8050000}"/>
    <cellStyle name="標準 71 3 4" xfId="1456" xr:uid="{00000000-0005-0000-0000-0000B9050000}"/>
    <cellStyle name="標準 71 4" xfId="1457" xr:uid="{00000000-0005-0000-0000-0000BA050000}"/>
    <cellStyle name="標準 71 5" xfId="1458" xr:uid="{00000000-0005-0000-0000-0000BB050000}"/>
    <cellStyle name="標準 71 6" xfId="1459" xr:uid="{00000000-0005-0000-0000-0000BC050000}"/>
    <cellStyle name="標準 71 7" xfId="1460" xr:uid="{00000000-0005-0000-0000-0000BD050000}"/>
    <cellStyle name="標準 71 8" xfId="1461" xr:uid="{00000000-0005-0000-0000-0000BE050000}"/>
    <cellStyle name="標準 72" xfId="1462" xr:uid="{00000000-0005-0000-0000-0000BF050000}"/>
    <cellStyle name="標準 72 2" xfId="1463" xr:uid="{00000000-0005-0000-0000-0000C0050000}"/>
    <cellStyle name="標準 72 2 2" xfId="1464" xr:uid="{00000000-0005-0000-0000-0000C1050000}"/>
    <cellStyle name="標準 72 2 2 2" xfId="1465" xr:uid="{00000000-0005-0000-0000-0000C2050000}"/>
    <cellStyle name="標準 72 2 2 3" xfId="1466" xr:uid="{00000000-0005-0000-0000-0000C3050000}"/>
    <cellStyle name="標準 72 2 2 4" xfId="1467" xr:uid="{00000000-0005-0000-0000-0000C4050000}"/>
    <cellStyle name="標準 72 2 3" xfId="1468" xr:uid="{00000000-0005-0000-0000-0000C5050000}"/>
    <cellStyle name="標準 72 2 4" xfId="1469" xr:uid="{00000000-0005-0000-0000-0000C6050000}"/>
    <cellStyle name="標準 72 2 5" xfId="1470" xr:uid="{00000000-0005-0000-0000-0000C7050000}"/>
    <cellStyle name="標準 72 3" xfId="1471" xr:uid="{00000000-0005-0000-0000-0000C8050000}"/>
    <cellStyle name="標準 72 3 2" xfId="1472" xr:uid="{00000000-0005-0000-0000-0000C9050000}"/>
    <cellStyle name="標準 72 3 3" xfId="1473" xr:uid="{00000000-0005-0000-0000-0000CA050000}"/>
    <cellStyle name="標準 72 3 4" xfId="1474" xr:uid="{00000000-0005-0000-0000-0000CB050000}"/>
    <cellStyle name="標準 72 4" xfId="1475" xr:uid="{00000000-0005-0000-0000-0000CC050000}"/>
    <cellStyle name="標準 72 5" xfId="1476" xr:uid="{00000000-0005-0000-0000-0000CD050000}"/>
    <cellStyle name="標準 72 6" xfId="1477" xr:uid="{00000000-0005-0000-0000-0000CE050000}"/>
    <cellStyle name="標準 72 7" xfId="1478" xr:uid="{00000000-0005-0000-0000-0000CF050000}"/>
    <cellStyle name="標準 72 8" xfId="1479" xr:uid="{00000000-0005-0000-0000-0000D0050000}"/>
    <cellStyle name="標準 73" xfId="1480" xr:uid="{00000000-0005-0000-0000-0000D1050000}"/>
    <cellStyle name="標準 73 2" xfId="1481" xr:uid="{00000000-0005-0000-0000-0000D2050000}"/>
    <cellStyle name="標準 73 2 2" xfId="1482" xr:uid="{00000000-0005-0000-0000-0000D3050000}"/>
    <cellStyle name="標準 73 2 2 2" xfId="1483" xr:uid="{00000000-0005-0000-0000-0000D4050000}"/>
    <cellStyle name="標準 73 2 2 3" xfId="1484" xr:uid="{00000000-0005-0000-0000-0000D5050000}"/>
    <cellStyle name="標準 73 2 2 4" xfId="1485" xr:uid="{00000000-0005-0000-0000-0000D6050000}"/>
    <cellStyle name="標準 73 2 3" xfId="1486" xr:uid="{00000000-0005-0000-0000-0000D7050000}"/>
    <cellStyle name="標準 73 2 4" xfId="1487" xr:uid="{00000000-0005-0000-0000-0000D8050000}"/>
    <cellStyle name="標準 73 2 5" xfId="1488" xr:uid="{00000000-0005-0000-0000-0000D9050000}"/>
    <cellStyle name="標準 73 3" xfId="1489" xr:uid="{00000000-0005-0000-0000-0000DA050000}"/>
    <cellStyle name="標準 73 3 2" xfId="1490" xr:uid="{00000000-0005-0000-0000-0000DB050000}"/>
    <cellStyle name="標準 73 3 3" xfId="1491" xr:uid="{00000000-0005-0000-0000-0000DC050000}"/>
    <cellStyle name="標準 73 3 4" xfId="1492" xr:uid="{00000000-0005-0000-0000-0000DD050000}"/>
    <cellStyle name="標準 73 4" xfId="1493" xr:uid="{00000000-0005-0000-0000-0000DE050000}"/>
    <cellStyle name="標準 73 5" xfId="1494" xr:uid="{00000000-0005-0000-0000-0000DF050000}"/>
    <cellStyle name="標準 73 6" xfId="1495" xr:uid="{00000000-0005-0000-0000-0000E0050000}"/>
    <cellStyle name="標準 74" xfId="1496" xr:uid="{00000000-0005-0000-0000-0000E1050000}"/>
    <cellStyle name="標準 74 2" xfId="1497" xr:uid="{00000000-0005-0000-0000-0000E2050000}"/>
    <cellStyle name="標準 74 2 2" xfId="1498" xr:uid="{00000000-0005-0000-0000-0000E3050000}"/>
    <cellStyle name="標準 74 2 2 2" xfId="1499" xr:uid="{00000000-0005-0000-0000-0000E4050000}"/>
    <cellStyle name="標準 74 2 2 3" xfId="1500" xr:uid="{00000000-0005-0000-0000-0000E5050000}"/>
    <cellStyle name="標準 74 2 2 4" xfId="1501" xr:uid="{00000000-0005-0000-0000-0000E6050000}"/>
    <cellStyle name="標準 74 2 3" xfId="1502" xr:uid="{00000000-0005-0000-0000-0000E7050000}"/>
    <cellStyle name="標準 74 2 4" xfId="1503" xr:uid="{00000000-0005-0000-0000-0000E8050000}"/>
    <cellStyle name="標準 74 2 5" xfId="1504" xr:uid="{00000000-0005-0000-0000-0000E9050000}"/>
    <cellStyle name="標準 74 3" xfId="1505" xr:uid="{00000000-0005-0000-0000-0000EA050000}"/>
    <cellStyle name="標準 74 3 2" xfId="1506" xr:uid="{00000000-0005-0000-0000-0000EB050000}"/>
    <cellStyle name="標準 74 3 3" xfId="1507" xr:uid="{00000000-0005-0000-0000-0000EC050000}"/>
    <cellStyle name="標準 74 3 4" xfId="1508" xr:uid="{00000000-0005-0000-0000-0000ED050000}"/>
    <cellStyle name="標準 74 4" xfId="1509" xr:uid="{00000000-0005-0000-0000-0000EE050000}"/>
    <cellStyle name="標準 74 5" xfId="1510" xr:uid="{00000000-0005-0000-0000-0000EF050000}"/>
    <cellStyle name="標準 74 6" xfId="1511" xr:uid="{00000000-0005-0000-0000-0000F0050000}"/>
    <cellStyle name="標準 75" xfId="1512" xr:uid="{00000000-0005-0000-0000-0000F1050000}"/>
    <cellStyle name="標準 75 2" xfId="1513" xr:uid="{00000000-0005-0000-0000-0000F2050000}"/>
    <cellStyle name="標準 75 2 2" xfId="1514" xr:uid="{00000000-0005-0000-0000-0000F3050000}"/>
    <cellStyle name="標準 75 2 2 2" xfId="1515" xr:uid="{00000000-0005-0000-0000-0000F4050000}"/>
    <cellStyle name="標準 75 2 2 3" xfId="1516" xr:uid="{00000000-0005-0000-0000-0000F5050000}"/>
    <cellStyle name="標準 75 2 2 4" xfId="1517" xr:uid="{00000000-0005-0000-0000-0000F6050000}"/>
    <cellStyle name="標準 75 2 3" xfId="1518" xr:uid="{00000000-0005-0000-0000-0000F7050000}"/>
    <cellStyle name="標準 75 2 4" xfId="1519" xr:uid="{00000000-0005-0000-0000-0000F8050000}"/>
    <cellStyle name="標準 75 2 5" xfId="1520" xr:uid="{00000000-0005-0000-0000-0000F9050000}"/>
    <cellStyle name="標準 75 3" xfId="1521" xr:uid="{00000000-0005-0000-0000-0000FA050000}"/>
    <cellStyle name="標準 75 3 2" xfId="1522" xr:uid="{00000000-0005-0000-0000-0000FB050000}"/>
    <cellStyle name="標準 75 3 3" xfId="1523" xr:uid="{00000000-0005-0000-0000-0000FC050000}"/>
    <cellStyle name="標準 75 3 4" xfId="1524" xr:uid="{00000000-0005-0000-0000-0000FD050000}"/>
    <cellStyle name="標準 75 4" xfId="1525" xr:uid="{00000000-0005-0000-0000-0000FE050000}"/>
    <cellStyle name="標準 75 5" xfId="1526" xr:uid="{00000000-0005-0000-0000-0000FF050000}"/>
    <cellStyle name="標準 75 6" xfId="1527" xr:uid="{00000000-0005-0000-0000-000000060000}"/>
    <cellStyle name="標準 76" xfId="1528" xr:uid="{00000000-0005-0000-0000-000001060000}"/>
    <cellStyle name="標準 76 2" xfId="1529" xr:uid="{00000000-0005-0000-0000-000002060000}"/>
    <cellStyle name="標準 76 2 2" xfId="1530" xr:uid="{00000000-0005-0000-0000-000003060000}"/>
    <cellStyle name="標準 76 2 2 2" xfId="1531" xr:uid="{00000000-0005-0000-0000-000004060000}"/>
    <cellStyle name="標準 76 2 2 3" xfId="1532" xr:uid="{00000000-0005-0000-0000-000005060000}"/>
    <cellStyle name="標準 76 2 2 4" xfId="1533" xr:uid="{00000000-0005-0000-0000-000006060000}"/>
    <cellStyle name="標準 76 2 3" xfId="1534" xr:uid="{00000000-0005-0000-0000-000007060000}"/>
    <cellStyle name="標準 76 2 4" xfId="1535" xr:uid="{00000000-0005-0000-0000-000008060000}"/>
    <cellStyle name="標準 76 2 5" xfId="1536" xr:uid="{00000000-0005-0000-0000-000009060000}"/>
    <cellStyle name="標準 76 3" xfId="1537" xr:uid="{00000000-0005-0000-0000-00000A060000}"/>
    <cellStyle name="標準 76 3 2" xfId="1538" xr:uid="{00000000-0005-0000-0000-00000B060000}"/>
    <cellStyle name="標準 76 3 3" xfId="1539" xr:uid="{00000000-0005-0000-0000-00000C060000}"/>
    <cellStyle name="標準 76 3 4" xfId="1540" xr:uid="{00000000-0005-0000-0000-00000D060000}"/>
    <cellStyle name="標準 76 4" xfId="1541" xr:uid="{00000000-0005-0000-0000-00000E060000}"/>
    <cellStyle name="標準 76 5" xfId="1542" xr:uid="{00000000-0005-0000-0000-00000F060000}"/>
    <cellStyle name="標準 76 6" xfId="1543" xr:uid="{00000000-0005-0000-0000-000010060000}"/>
    <cellStyle name="標準 77" xfId="1544" xr:uid="{00000000-0005-0000-0000-000011060000}"/>
    <cellStyle name="標準 77 2" xfId="1545" xr:uid="{00000000-0005-0000-0000-000012060000}"/>
    <cellStyle name="標準 77 2 2" xfId="1546" xr:uid="{00000000-0005-0000-0000-000013060000}"/>
    <cellStyle name="標準 77 2 2 2" xfId="1547" xr:uid="{00000000-0005-0000-0000-000014060000}"/>
    <cellStyle name="標準 77 2 2 3" xfId="1548" xr:uid="{00000000-0005-0000-0000-000015060000}"/>
    <cellStyle name="標準 77 2 2 4" xfId="1549" xr:uid="{00000000-0005-0000-0000-000016060000}"/>
    <cellStyle name="標準 77 2 3" xfId="1550" xr:uid="{00000000-0005-0000-0000-000017060000}"/>
    <cellStyle name="標準 77 2 4" xfId="1551" xr:uid="{00000000-0005-0000-0000-000018060000}"/>
    <cellStyle name="標準 77 2 5" xfId="1552" xr:uid="{00000000-0005-0000-0000-000019060000}"/>
    <cellStyle name="標準 77 3" xfId="1553" xr:uid="{00000000-0005-0000-0000-00001A060000}"/>
    <cellStyle name="標準 77 3 2" xfId="1554" xr:uid="{00000000-0005-0000-0000-00001B060000}"/>
    <cellStyle name="標準 77 3 3" xfId="1555" xr:uid="{00000000-0005-0000-0000-00001C060000}"/>
    <cellStyle name="標準 77 3 4" xfId="1556" xr:uid="{00000000-0005-0000-0000-00001D060000}"/>
    <cellStyle name="標準 77 4" xfId="1557" xr:uid="{00000000-0005-0000-0000-00001E060000}"/>
    <cellStyle name="標準 77 5" xfId="1558" xr:uid="{00000000-0005-0000-0000-00001F060000}"/>
    <cellStyle name="標準 77 6" xfId="1559" xr:uid="{00000000-0005-0000-0000-000020060000}"/>
    <cellStyle name="標準 78" xfId="1560" xr:uid="{00000000-0005-0000-0000-000021060000}"/>
    <cellStyle name="標準 78 2" xfId="1561" xr:uid="{00000000-0005-0000-0000-000022060000}"/>
    <cellStyle name="標準 78 2 2" xfId="1562" xr:uid="{00000000-0005-0000-0000-000023060000}"/>
    <cellStyle name="標準 78 2 2 2" xfId="1563" xr:uid="{00000000-0005-0000-0000-000024060000}"/>
    <cellStyle name="標準 78 2 2 3" xfId="1564" xr:uid="{00000000-0005-0000-0000-000025060000}"/>
    <cellStyle name="標準 78 2 2 4" xfId="1565" xr:uid="{00000000-0005-0000-0000-000026060000}"/>
    <cellStyle name="標準 78 2 3" xfId="1566" xr:uid="{00000000-0005-0000-0000-000027060000}"/>
    <cellStyle name="標準 78 2 4" xfId="1567" xr:uid="{00000000-0005-0000-0000-000028060000}"/>
    <cellStyle name="標準 78 2 5" xfId="1568" xr:uid="{00000000-0005-0000-0000-000029060000}"/>
    <cellStyle name="標準 78 3" xfId="1569" xr:uid="{00000000-0005-0000-0000-00002A060000}"/>
    <cellStyle name="標準 78 3 2" xfId="1570" xr:uid="{00000000-0005-0000-0000-00002B060000}"/>
    <cellStyle name="標準 78 3 3" xfId="1571" xr:uid="{00000000-0005-0000-0000-00002C060000}"/>
    <cellStyle name="標準 78 3 4" xfId="1572" xr:uid="{00000000-0005-0000-0000-00002D060000}"/>
    <cellStyle name="標準 78 4" xfId="1573" xr:uid="{00000000-0005-0000-0000-00002E060000}"/>
    <cellStyle name="標準 78 5" xfId="1574" xr:uid="{00000000-0005-0000-0000-00002F060000}"/>
    <cellStyle name="標準 78 6" xfId="1575" xr:uid="{00000000-0005-0000-0000-000030060000}"/>
    <cellStyle name="標準 79" xfId="1576" xr:uid="{00000000-0005-0000-0000-000031060000}"/>
    <cellStyle name="標準 79 2" xfId="1577" xr:uid="{00000000-0005-0000-0000-000032060000}"/>
    <cellStyle name="標準 79 2 2" xfId="1578" xr:uid="{00000000-0005-0000-0000-000033060000}"/>
    <cellStyle name="標準 79 2 2 2" xfId="1579" xr:uid="{00000000-0005-0000-0000-000034060000}"/>
    <cellStyle name="標準 79 2 2 3" xfId="1580" xr:uid="{00000000-0005-0000-0000-000035060000}"/>
    <cellStyle name="標準 79 2 2 4" xfId="1581" xr:uid="{00000000-0005-0000-0000-000036060000}"/>
    <cellStyle name="標準 79 2 3" xfId="1582" xr:uid="{00000000-0005-0000-0000-000037060000}"/>
    <cellStyle name="標準 79 2 4" xfId="1583" xr:uid="{00000000-0005-0000-0000-000038060000}"/>
    <cellStyle name="標準 79 2 5" xfId="1584" xr:uid="{00000000-0005-0000-0000-000039060000}"/>
    <cellStyle name="標準 79 3" xfId="1585" xr:uid="{00000000-0005-0000-0000-00003A060000}"/>
    <cellStyle name="標準 79 3 2" xfId="1586" xr:uid="{00000000-0005-0000-0000-00003B060000}"/>
    <cellStyle name="標準 79 3 3" xfId="1587" xr:uid="{00000000-0005-0000-0000-00003C060000}"/>
    <cellStyle name="標準 79 3 4" xfId="1588" xr:uid="{00000000-0005-0000-0000-00003D060000}"/>
    <cellStyle name="標準 79 4" xfId="1589" xr:uid="{00000000-0005-0000-0000-00003E060000}"/>
    <cellStyle name="標準 79 5" xfId="1590" xr:uid="{00000000-0005-0000-0000-00003F060000}"/>
    <cellStyle name="標準 79 6" xfId="1591" xr:uid="{00000000-0005-0000-0000-000040060000}"/>
    <cellStyle name="標準 8" xfId="1592" xr:uid="{00000000-0005-0000-0000-000041060000}"/>
    <cellStyle name="標準 8 2" xfId="1593" xr:uid="{00000000-0005-0000-0000-000042060000}"/>
    <cellStyle name="標準 8 3" xfId="1594" xr:uid="{00000000-0005-0000-0000-000043060000}"/>
    <cellStyle name="標準 8 4" xfId="1595" xr:uid="{00000000-0005-0000-0000-000044060000}"/>
    <cellStyle name="標準 8 5" xfId="1596" xr:uid="{00000000-0005-0000-0000-000045060000}"/>
    <cellStyle name="標準 8 6" xfId="1597" xr:uid="{00000000-0005-0000-0000-000046060000}"/>
    <cellStyle name="標準 80" xfId="1598" xr:uid="{00000000-0005-0000-0000-000047060000}"/>
    <cellStyle name="標準 80 2" xfId="1599" xr:uid="{00000000-0005-0000-0000-000048060000}"/>
    <cellStyle name="標準 80 2 2" xfId="1600" xr:uid="{00000000-0005-0000-0000-000049060000}"/>
    <cellStyle name="標準 80 2 2 2" xfId="1601" xr:uid="{00000000-0005-0000-0000-00004A060000}"/>
    <cellStyle name="標準 80 2 2 3" xfId="1602" xr:uid="{00000000-0005-0000-0000-00004B060000}"/>
    <cellStyle name="標準 80 2 2 4" xfId="1603" xr:uid="{00000000-0005-0000-0000-00004C060000}"/>
    <cellStyle name="標準 80 2 3" xfId="1604" xr:uid="{00000000-0005-0000-0000-00004D060000}"/>
    <cellStyle name="標準 80 2 4" xfId="1605" xr:uid="{00000000-0005-0000-0000-00004E060000}"/>
    <cellStyle name="標準 80 2 5" xfId="1606" xr:uid="{00000000-0005-0000-0000-00004F060000}"/>
    <cellStyle name="標準 80 3" xfId="1607" xr:uid="{00000000-0005-0000-0000-000050060000}"/>
    <cellStyle name="標準 80 3 2" xfId="1608" xr:uid="{00000000-0005-0000-0000-000051060000}"/>
    <cellStyle name="標準 80 3 3" xfId="1609" xr:uid="{00000000-0005-0000-0000-000052060000}"/>
    <cellStyle name="標準 80 3 4" xfId="1610" xr:uid="{00000000-0005-0000-0000-000053060000}"/>
    <cellStyle name="標準 80 4" xfId="1611" xr:uid="{00000000-0005-0000-0000-000054060000}"/>
    <cellStyle name="標準 80 5" xfId="1612" xr:uid="{00000000-0005-0000-0000-000055060000}"/>
    <cellStyle name="標準 80 6" xfId="1613" xr:uid="{00000000-0005-0000-0000-000056060000}"/>
    <cellStyle name="標準 81" xfId="1614" xr:uid="{00000000-0005-0000-0000-000057060000}"/>
    <cellStyle name="標準 81 2" xfId="1615" xr:uid="{00000000-0005-0000-0000-000058060000}"/>
    <cellStyle name="標準 81 2 2" xfId="1616" xr:uid="{00000000-0005-0000-0000-000059060000}"/>
    <cellStyle name="標準 81 2 2 2" xfId="1617" xr:uid="{00000000-0005-0000-0000-00005A060000}"/>
    <cellStyle name="標準 81 2 2 3" xfId="1618" xr:uid="{00000000-0005-0000-0000-00005B060000}"/>
    <cellStyle name="標準 81 2 2 4" xfId="1619" xr:uid="{00000000-0005-0000-0000-00005C060000}"/>
    <cellStyle name="標準 81 2 3" xfId="1620" xr:uid="{00000000-0005-0000-0000-00005D060000}"/>
    <cellStyle name="標準 81 2 4" xfId="1621" xr:uid="{00000000-0005-0000-0000-00005E060000}"/>
    <cellStyle name="標準 81 2 5" xfId="1622" xr:uid="{00000000-0005-0000-0000-00005F060000}"/>
    <cellStyle name="標準 81 3" xfId="1623" xr:uid="{00000000-0005-0000-0000-000060060000}"/>
    <cellStyle name="標準 81 3 2" xfId="1624" xr:uid="{00000000-0005-0000-0000-000061060000}"/>
    <cellStyle name="標準 81 3 3" xfId="1625" xr:uid="{00000000-0005-0000-0000-000062060000}"/>
    <cellStyle name="標準 81 3 4" xfId="1626" xr:uid="{00000000-0005-0000-0000-000063060000}"/>
    <cellStyle name="標準 81 4" xfId="1627" xr:uid="{00000000-0005-0000-0000-000064060000}"/>
    <cellStyle name="標準 81 5" xfId="1628" xr:uid="{00000000-0005-0000-0000-000065060000}"/>
    <cellStyle name="標準 81 6" xfId="1629" xr:uid="{00000000-0005-0000-0000-000066060000}"/>
    <cellStyle name="標準 82" xfId="1630" xr:uid="{00000000-0005-0000-0000-000067060000}"/>
    <cellStyle name="標準 82 2" xfId="1631" xr:uid="{00000000-0005-0000-0000-000068060000}"/>
    <cellStyle name="標準 82 2 2" xfId="1632" xr:uid="{00000000-0005-0000-0000-000069060000}"/>
    <cellStyle name="標準 82 2 2 2" xfId="1633" xr:uid="{00000000-0005-0000-0000-00006A060000}"/>
    <cellStyle name="標準 82 2 2 3" xfId="1634" xr:uid="{00000000-0005-0000-0000-00006B060000}"/>
    <cellStyle name="標準 82 2 2 4" xfId="1635" xr:uid="{00000000-0005-0000-0000-00006C060000}"/>
    <cellStyle name="標準 82 2 3" xfId="1636" xr:uid="{00000000-0005-0000-0000-00006D060000}"/>
    <cellStyle name="標準 82 2 4" xfId="1637" xr:uid="{00000000-0005-0000-0000-00006E060000}"/>
    <cellStyle name="標準 82 2 5" xfId="1638" xr:uid="{00000000-0005-0000-0000-00006F060000}"/>
    <cellStyle name="標準 82 3" xfId="1639" xr:uid="{00000000-0005-0000-0000-000070060000}"/>
    <cellStyle name="標準 82 3 2" xfId="1640" xr:uid="{00000000-0005-0000-0000-000071060000}"/>
    <cellStyle name="標準 82 3 3" xfId="1641" xr:uid="{00000000-0005-0000-0000-000072060000}"/>
    <cellStyle name="標準 82 3 4" xfId="1642" xr:uid="{00000000-0005-0000-0000-000073060000}"/>
    <cellStyle name="標準 82 4" xfId="1643" xr:uid="{00000000-0005-0000-0000-000074060000}"/>
    <cellStyle name="標準 82 5" xfId="1644" xr:uid="{00000000-0005-0000-0000-000075060000}"/>
    <cellStyle name="標準 82 6" xfId="1645" xr:uid="{00000000-0005-0000-0000-000076060000}"/>
    <cellStyle name="標準 83" xfId="1646" xr:uid="{00000000-0005-0000-0000-000077060000}"/>
    <cellStyle name="標準 83 2" xfId="1647" xr:uid="{00000000-0005-0000-0000-000078060000}"/>
    <cellStyle name="標準 83 2 2" xfId="1648" xr:uid="{00000000-0005-0000-0000-000079060000}"/>
    <cellStyle name="標準 83 2 2 2" xfId="1649" xr:uid="{00000000-0005-0000-0000-00007A060000}"/>
    <cellStyle name="標準 83 2 2 3" xfId="1650" xr:uid="{00000000-0005-0000-0000-00007B060000}"/>
    <cellStyle name="標準 83 2 2 4" xfId="1651" xr:uid="{00000000-0005-0000-0000-00007C060000}"/>
    <cellStyle name="標準 83 2 3" xfId="1652" xr:uid="{00000000-0005-0000-0000-00007D060000}"/>
    <cellStyle name="標準 83 2 4" xfId="1653" xr:uid="{00000000-0005-0000-0000-00007E060000}"/>
    <cellStyle name="標準 83 2 5" xfId="1654" xr:uid="{00000000-0005-0000-0000-00007F060000}"/>
    <cellStyle name="標準 83 3" xfId="1655" xr:uid="{00000000-0005-0000-0000-000080060000}"/>
    <cellStyle name="標準 83 3 2" xfId="1656" xr:uid="{00000000-0005-0000-0000-000081060000}"/>
    <cellStyle name="標準 83 3 3" xfId="1657" xr:uid="{00000000-0005-0000-0000-000082060000}"/>
    <cellStyle name="標準 83 3 4" xfId="1658" xr:uid="{00000000-0005-0000-0000-000083060000}"/>
    <cellStyle name="標準 83 4" xfId="1659" xr:uid="{00000000-0005-0000-0000-000084060000}"/>
    <cellStyle name="標準 83 5" xfId="1660" xr:uid="{00000000-0005-0000-0000-000085060000}"/>
    <cellStyle name="標準 83 6" xfId="1661" xr:uid="{00000000-0005-0000-0000-000086060000}"/>
    <cellStyle name="標準 84" xfId="1662" xr:uid="{00000000-0005-0000-0000-000087060000}"/>
    <cellStyle name="標準 84 2" xfId="1663" xr:uid="{00000000-0005-0000-0000-000088060000}"/>
    <cellStyle name="標準 84 2 2" xfId="1664" xr:uid="{00000000-0005-0000-0000-000089060000}"/>
    <cellStyle name="標準 84 2 2 2" xfId="1665" xr:uid="{00000000-0005-0000-0000-00008A060000}"/>
    <cellStyle name="標準 84 2 2 3" xfId="1666" xr:uid="{00000000-0005-0000-0000-00008B060000}"/>
    <cellStyle name="標準 84 2 2 4" xfId="1667" xr:uid="{00000000-0005-0000-0000-00008C060000}"/>
    <cellStyle name="標準 84 2 3" xfId="1668" xr:uid="{00000000-0005-0000-0000-00008D060000}"/>
    <cellStyle name="標準 84 2 4" xfId="1669" xr:uid="{00000000-0005-0000-0000-00008E060000}"/>
    <cellStyle name="標準 84 2 5" xfId="1670" xr:uid="{00000000-0005-0000-0000-00008F060000}"/>
    <cellStyle name="標準 84 3" xfId="1671" xr:uid="{00000000-0005-0000-0000-000090060000}"/>
    <cellStyle name="標準 84 3 2" xfId="1672" xr:uid="{00000000-0005-0000-0000-000091060000}"/>
    <cellStyle name="標準 84 3 3" xfId="1673" xr:uid="{00000000-0005-0000-0000-000092060000}"/>
    <cellStyle name="標準 84 3 4" xfId="1674" xr:uid="{00000000-0005-0000-0000-000093060000}"/>
    <cellStyle name="標準 84 4" xfId="1675" xr:uid="{00000000-0005-0000-0000-000094060000}"/>
    <cellStyle name="標準 84 5" xfId="1676" xr:uid="{00000000-0005-0000-0000-000095060000}"/>
    <cellStyle name="標準 84 6" xfId="1677" xr:uid="{00000000-0005-0000-0000-000096060000}"/>
    <cellStyle name="標準 85" xfId="1678" xr:uid="{00000000-0005-0000-0000-000097060000}"/>
    <cellStyle name="標準 85 2" xfId="1679" xr:uid="{00000000-0005-0000-0000-000098060000}"/>
    <cellStyle name="標準 85 2 2" xfId="1680" xr:uid="{00000000-0005-0000-0000-000099060000}"/>
    <cellStyle name="標準 85 2 2 2" xfId="1681" xr:uid="{00000000-0005-0000-0000-00009A060000}"/>
    <cellStyle name="標準 85 2 2 3" xfId="1682" xr:uid="{00000000-0005-0000-0000-00009B060000}"/>
    <cellStyle name="標準 85 2 2 4" xfId="1683" xr:uid="{00000000-0005-0000-0000-00009C060000}"/>
    <cellStyle name="標準 85 2 3" xfId="1684" xr:uid="{00000000-0005-0000-0000-00009D060000}"/>
    <cellStyle name="標準 85 2 4" xfId="1685" xr:uid="{00000000-0005-0000-0000-00009E060000}"/>
    <cellStyle name="標準 85 2 5" xfId="1686" xr:uid="{00000000-0005-0000-0000-00009F060000}"/>
    <cellStyle name="標準 85 3" xfId="1687" xr:uid="{00000000-0005-0000-0000-0000A0060000}"/>
    <cellStyle name="標準 85 3 2" xfId="1688" xr:uid="{00000000-0005-0000-0000-0000A1060000}"/>
    <cellStyle name="標準 85 3 3" xfId="1689" xr:uid="{00000000-0005-0000-0000-0000A2060000}"/>
    <cellStyle name="標準 85 3 4" xfId="1690" xr:uid="{00000000-0005-0000-0000-0000A3060000}"/>
    <cellStyle name="標準 85 4" xfId="1691" xr:uid="{00000000-0005-0000-0000-0000A4060000}"/>
    <cellStyle name="標準 85 5" xfId="1692" xr:uid="{00000000-0005-0000-0000-0000A5060000}"/>
    <cellStyle name="標準 85 6" xfId="1693" xr:uid="{00000000-0005-0000-0000-0000A6060000}"/>
    <cellStyle name="標準 86" xfId="1694" xr:uid="{00000000-0005-0000-0000-0000A7060000}"/>
    <cellStyle name="標準 86 2" xfId="1695" xr:uid="{00000000-0005-0000-0000-0000A8060000}"/>
    <cellStyle name="標準 86 2 2" xfId="1696" xr:uid="{00000000-0005-0000-0000-0000A9060000}"/>
    <cellStyle name="標準 86 2 2 2" xfId="1697" xr:uid="{00000000-0005-0000-0000-0000AA060000}"/>
    <cellStyle name="標準 86 2 2 3" xfId="1698" xr:uid="{00000000-0005-0000-0000-0000AB060000}"/>
    <cellStyle name="標準 86 2 2 4" xfId="1699" xr:uid="{00000000-0005-0000-0000-0000AC060000}"/>
    <cellStyle name="標準 86 2 3" xfId="1700" xr:uid="{00000000-0005-0000-0000-0000AD060000}"/>
    <cellStyle name="標準 86 2 4" xfId="1701" xr:uid="{00000000-0005-0000-0000-0000AE060000}"/>
    <cellStyle name="標準 86 2 5" xfId="1702" xr:uid="{00000000-0005-0000-0000-0000AF060000}"/>
    <cellStyle name="標準 86 3" xfId="1703" xr:uid="{00000000-0005-0000-0000-0000B0060000}"/>
    <cellStyle name="標準 86 3 2" xfId="1704" xr:uid="{00000000-0005-0000-0000-0000B1060000}"/>
    <cellStyle name="標準 86 3 3" xfId="1705" xr:uid="{00000000-0005-0000-0000-0000B2060000}"/>
    <cellStyle name="標準 86 3 4" xfId="1706" xr:uid="{00000000-0005-0000-0000-0000B3060000}"/>
    <cellStyle name="標準 86 4" xfId="1707" xr:uid="{00000000-0005-0000-0000-0000B4060000}"/>
    <cellStyle name="標準 86 5" xfId="1708" xr:uid="{00000000-0005-0000-0000-0000B5060000}"/>
    <cellStyle name="標準 86 6" xfId="1709" xr:uid="{00000000-0005-0000-0000-0000B6060000}"/>
    <cellStyle name="標準 87" xfId="1710" xr:uid="{00000000-0005-0000-0000-0000B7060000}"/>
    <cellStyle name="標準 87 2" xfId="1711" xr:uid="{00000000-0005-0000-0000-0000B8060000}"/>
    <cellStyle name="標準 87 2 2" xfId="1712" xr:uid="{00000000-0005-0000-0000-0000B9060000}"/>
    <cellStyle name="標準 87 2 2 2" xfId="1713" xr:uid="{00000000-0005-0000-0000-0000BA060000}"/>
    <cellStyle name="標準 87 2 2 3" xfId="1714" xr:uid="{00000000-0005-0000-0000-0000BB060000}"/>
    <cellStyle name="標準 87 2 2 4" xfId="1715" xr:uid="{00000000-0005-0000-0000-0000BC060000}"/>
    <cellStyle name="標準 87 2 3" xfId="1716" xr:uid="{00000000-0005-0000-0000-0000BD060000}"/>
    <cellStyle name="標準 87 2 4" xfId="1717" xr:uid="{00000000-0005-0000-0000-0000BE060000}"/>
    <cellStyle name="標準 87 2 5" xfId="1718" xr:uid="{00000000-0005-0000-0000-0000BF060000}"/>
    <cellStyle name="標準 87 3" xfId="1719" xr:uid="{00000000-0005-0000-0000-0000C0060000}"/>
    <cellStyle name="標準 87 3 2" xfId="1720" xr:uid="{00000000-0005-0000-0000-0000C1060000}"/>
    <cellStyle name="標準 87 3 3" xfId="1721" xr:uid="{00000000-0005-0000-0000-0000C2060000}"/>
    <cellStyle name="標準 87 3 4" xfId="1722" xr:uid="{00000000-0005-0000-0000-0000C3060000}"/>
    <cellStyle name="標準 87 4" xfId="1723" xr:uid="{00000000-0005-0000-0000-0000C4060000}"/>
    <cellStyle name="標準 87 5" xfId="1724" xr:uid="{00000000-0005-0000-0000-0000C5060000}"/>
    <cellStyle name="標準 87 6" xfId="1725" xr:uid="{00000000-0005-0000-0000-0000C6060000}"/>
    <cellStyle name="標準 88" xfId="1726" xr:uid="{00000000-0005-0000-0000-0000C7060000}"/>
    <cellStyle name="標準 88 2" xfId="1727" xr:uid="{00000000-0005-0000-0000-0000C8060000}"/>
    <cellStyle name="標準 88 2 2" xfId="1728" xr:uid="{00000000-0005-0000-0000-0000C9060000}"/>
    <cellStyle name="標準 88 2 2 2" xfId="1729" xr:uid="{00000000-0005-0000-0000-0000CA060000}"/>
    <cellStyle name="標準 88 2 2 3" xfId="1730" xr:uid="{00000000-0005-0000-0000-0000CB060000}"/>
    <cellStyle name="標準 88 2 2 4" xfId="1731" xr:uid="{00000000-0005-0000-0000-0000CC060000}"/>
    <cellStyle name="標準 88 2 3" xfId="1732" xr:uid="{00000000-0005-0000-0000-0000CD060000}"/>
    <cellStyle name="標準 88 2 4" xfId="1733" xr:uid="{00000000-0005-0000-0000-0000CE060000}"/>
    <cellStyle name="標準 88 2 5" xfId="1734" xr:uid="{00000000-0005-0000-0000-0000CF060000}"/>
    <cellStyle name="標準 88 3" xfId="1735" xr:uid="{00000000-0005-0000-0000-0000D0060000}"/>
    <cellStyle name="標準 88 3 2" xfId="1736" xr:uid="{00000000-0005-0000-0000-0000D1060000}"/>
    <cellStyle name="標準 88 3 3" xfId="1737" xr:uid="{00000000-0005-0000-0000-0000D2060000}"/>
    <cellStyle name="標準 88 3 4" xfId="1738" xr:uid="{00000000-0005-0000-0000-0000D3060000}"/>
    <cellStyle name="標準 88 4" xfId="1739" xr:uid="{00000000-0005-0000-0000-0000D4060000}"/>
    <cellStyle name="標準 88 5" xfId="1740" xr:uid="{00000000-0005-0000-0000-0000D5060000}"/>
    <cellStyle name="標準 88 6" xfId="1741" xr:uid="{00000000-0005-0000-0000-0000D6060000}"/>
    <cellStyle name="標準 89" xfId="1742" xr:uid="{00000000-0005-0000-0000-0000D7060000}"/>
    <cellStyle name="標準 89 2" xfId="1743" xr:uid="{00000000-0005-0000-0000-0000D8060000}"/>
    <cellStyle name="標準 89 2 2" xfId="1744" xr:uid="{00000000-0005-0000-0000-0000D9060000}"/>
    <cellStyle name="標準 89 2 2 2" xfId="1745" xr:uid="{00000000-0005-0000-0000-0000DA060000}"/>
    <cellStyle name="標準 89 2 2 3" xfId="1746" xr:uid="{00000000-0005-0000-0000-0000DB060000}"/>
    <cellStyle name="標準 89 2 2 4" xfId="1747" xr:uid="{00000000-0005-0000-0000-0000DC060000}"/>
    <cellStyle name="標準 89 2 3" xfId="1748" xr:uid="{00000000-0005-0000-0000-0000DD060000}"/>
    <cellStyle name="標準 89 2 4" xfId="1749" xr:uid="{00000000-0005-0000-0000-0000DE060000}"/>
    <cellStyle name="標準 89 2 5" xfId="1750" xr:uid="{00000000-0005-0000-0000-0000DF060000}"/>
    <cellStyle name="標準 89 3" xfId="1751" xr:uid="{00000000-0005-0000-0000-0000E0060000}"/>
    <cellStyle name="標準 89 3 2" xfId="1752" xr:uid="{00000000-0005-0000-0000-0000E1060000}"/>
    <cellStyle name="標準 89 3 3" xfId="1753" xr:uid="{00000000-0005-0000-0000-0000E2060000}"/>
    <cellStyle name="標準 89 3 4" xfId="1754" xr:uid="{00000000-0005-0000-0000-0000E3060000}"/>
    <cellStyle name="標準 89 4" xfId="1755" xr:uid="{00000000-0005-0000-0000-0000E4060000}"/>
    <cellStyle name="標準 89 5" xfId="1756" xr:uid="{00000000-0005-0000-0000-0000E5060000}"/>
    <cellStyle name="標準 89 6" xfId="1757" xr:uid="{00000000-0005-0000-0000-0000E6060000}"/>
    <cellStyle name="標準 9" xfId="1758" xr:uid="{00000000-0005-0000-0000-0000E7060000}"/>
    <cellStyle name="標準 9 2" xfId="1759" xr:uid="{00000000-0005-0000-0000-0000E8060000}"/>
    <cellStyle name="標準 9 3" xfId="1760" xr:uid="{00000000-0005-0000-0000-0000E9060000}"/>
    <cellStyle name="標準 90" xfId="1761" xr:uid="{00000000-0005-0000-0000-0000EA060000}"/>
    <cellStyle name="標準 90 2" xfId="1762" xr:uid="{00000000-0005-0000-0000-0000EB060000}"/>
    <cellStyle name="標準 90 2 2" xfId="1763" xr:uid="{00000000-0005-0000-0000-0000EC060000}"/>
    <cellStyle name="標準 90 2 2 2" xfId="1764" xr:uid="{00000000-0005-0000-0000-0000ED060000}"/>
    <cellStyle name="標準 90 2 2 3" xfId="1765" xr:uid="{00000000-0005-0000-0000-0000EE060000}"/>
    <cellStyle name="標準 90 2 2 4" xfId="1766" xr:uid="{00000000-0005-0000-0000-0000EF060000}"/>
    <cellStyle name="標準 90 2 3" xfId="1767" xr:uid="{00000000-0005-0000-0000-0000F0060000}"/>
    <cellStyle name="標準 90 2 4" xfId="1768" xr:uid="{00000000-0005-0000-0000-0000F1060000}"/>
    <cellStyle name="標準 90 2 5" xfId="1769" xr:uid="{00000000-0005-0000-0000-0000F2060000}"/>
    <cellStyle name="標準 90 3" xfId="1770" xr:uid="{00000000-0005-0000-0000-0000F3060000}"/>
    <cellStyle name="標準 90 3 2" xfId="1771" xr:uid="{00000000-0005-0000-0000-0000F4060000}"/>
    <cellStyle name="標準 90 3 3" xfId="1772" xr:uid="{00000000-0005-0000-0000-0000F5060000}"/>
    <cellStyle name="標準 90 3 4" xfId="1773" xr:uid="{00000000-0005-0000-0000-0000F6060000}"/>
    <cellStyle name="標準 90 4" xfId="1774" xr:uid="{00000000-0005-0000-0000-0000F7060000}"/>
    <cellStyle name="標準 90 5" xfId="1775" xr:uid="{00000000-0005-0000-0000-0000F8060000}"/>
    <cellStyle name="標準 90 6" xfId="1776" xr:uid="{00000000-0005-0000-0000-0000F9060000}"/>
    <cellStyle name="標準 91" xfId="1777" xr:uid="{00000000-0005-0000-0000-0000FA060000}"/>
    <cellStyle name="標準 91 2" xfId="1778" xr:uid="{00000000-0005-0000-0000-0000FB060000}"/>
    <cellStyle name="標準 91 2 2" xfId="1779" xr:uid="{00000000-0005-0000-0000-0000FC060000}"/>
    <cellStyle name="標準 91 2 2 2" xfId="1780" xr:uid="{00000000-0005-0000-0000-0000FD060000}"/>
    <cellStyle name="標準 91 2 2 3" xfId="1781" xr:uid="{00000000-0005-0000-0000-0000FE060000}"/>
    <cellStyle name="標準 91 2 2 4" xfId="1782" xr:uid="{00000000-0005-0000-0000-0000FF060000}"/>
    <cellStyle name="標準 91 2 3" xfId="1783" xr:uid="{00000000-0005-0000-0000-000000070000}"/>
    <cellStyle name="標準 91 2 4" xfId="1784" xr:uid="{00000000-0005-0000-0000-000001070000}"/>
    <cellStyle name="標準 91 2 5" xfId="1785" xr:uid="{00000000-0005-0000-0000-000002070000}"/>
    <cellStyle name="標準 91 3" xfId="1786" xr:uid="{00000000-0005-0000-0000-000003070000}"/>
    <cellStyle name="標準 91 3 2" xfId="1787" xr:uid="{00000000-0005-0000-0000-000004070000}"/>
    <cellStyle name="標準 91 3 3" xfId="1788" xr:uid="{00000000-0005-0000-0000-000005070000}"/>
    <cellStyle name="標準 91 3 4" xfId="1789" xr:uid="{00000000-0005-0000-0000-000006070000}"/>
    <cellStyle name="標準 91 4" xfId="1790" xr:uid="{00000000-0005-0000-0000-000007070000}"/>
    <cellStyle name="標準 91 5" xfId="1791" xr:uid="{00000000-0005-0000-0000-000008070000}"/>
    <cellStyle name="標準 91 6" xfId="1792" xr:uid="{00000000-0005-0000-0000-000009070000}"/>
    <cellStyle name="標準 92" xfId="1793" xr:uid="{00000000-0005-0000-0000-00000A070000}"/>
    <cellStyle name="標準 92 2" xfId="1794" xr:uid="{00000000-0005-0000-0000-00000B070000}"/>
    <cellStyle name="標準 92 2 2" xfId="1795" xr:uid="{00000000-0005-0000-0000-00000C070000}"/>
    <cellStyle name="標準 92 2 2 2" xfId="1796" xr:uid="{00000000-0005-0000-0000-00000D070000}"/>
    <cellStyle name="標準 92 2 2 3" xfId="1797" xr:uid="{00000000-0005-0000-0000-00000E070000}"/>
    <cellStyle name="標準 92 2 2 4" xfId="1798" xr:uid="{00000000-0005-0000-0000-00000F070000}"/>
    <cellStyle name="標準 92 2 3" xfId="1799" xr:uid="{00000000-0005-0000-0000-000010070000}"/>
    <cellStyle name="標準 92 2 4" xfId="1800" xr:uid="{00000000-0005-0000-0000-000011070000}"/>
    <cellStyle name="標準 92 2 5" xfId="1801" xr:uid="{00000000-0005-0000-0000-000012070000}"/>
    <cellStyle name="標準 92 3" xfId="1802" xr:uid="{00000000-0005-0000-0000-000013070000}"/>
    <cellStyle name="標準 92 3 2" xfId="1803" xr:uid="{00000000-0005-0000-0000-000014070000}"/>
    <cellStyle name="標準 92 3 3" xfId="1804" xr:uid="{00000000-0005-0000-0000-000015070000}"/>
    <cellStyle name="標準 92 3 4" xfId="1805" xr:uid="{00000000-0005-0000-0000-000016070000}"/>
    <cellStyle name="標準 92 4" xfId="1806" xr:uid="{00000000-0005-0000-0000-000017070000}"/>
    <cellStyle name="標準 92 5" xfId="1807" xr:uid="{00000000-0005-0000-0000-000018070000}"/>
    <cellStyle name="標準 92 6" xfId="1808" xr:uid="{00000000-0005-0000-0000-000019070000}"/>
    <cellStyle name="標準 93" xfId="1809" xr:uid="{00000000-0005-0000-0000-00001A070000}"/>
    <cellStyle name="標準 93 2" xfId="1810" xr:uid="{00000000-0005-0000-0000-00001B070000}"/>
    <cellStyle name="標準 93 2 2" xfId="1811" xr:uid="{00000000-0005-0000-0000-00001C070000}"/>
    <cellStyle name="標準 93 2 2 2" xfId="1812" xr:uid="{00000000-0005-0000-0000-00001D070000}"/>
    <cellStyle name="標準 93 2 2 3" xfId="1813" xr:uid="{00000000-0005-0000-0000-00001E070000}"/>
    <cellStyle name="標準 93 2 2 4" xfId="1814" xr:uid="{00000000-0005-0000-0000-00001F070000}"/>
    <cellStyle name="標準 93 2 3" xfId="1815" xr:uid="{00000000-0005-0000-0000-000020070000}"/>
    <cellStyle name="標準 93 2 4" xfId="1816" xr:uid="{00000000-0005-0000-0000-000021070000}"/>
    <cellStyle name="標準 93 2 5" xfId="1817" xr:uid="{00000000-0005-0000-0000-000022070000}"/>
    <cellStyle name="標準 93 3" xfId="1818" xr:uid="{00000000-0005-0000-0000-000023070000}"/>
    <cellStyle name="標準 93 3 2" xfId="1819" xr:uid="{00000000-0005-0000-0000-000024070000}"/>
    <cellStyle name="標準 93 3 3" xfId="1820" xr:uid="{00000000-0005-0000-0000-000025070000}"/>
    <cellStyle name="標準 93 3 4" xfId="1821" xr:uid="{00000000-0005-0000-0000-000026070000}"/>
    <cellStyle name="標準 93 4" xfId="1822" xr:uid="{00000000-0005-0000-0000-000027070000}"/>
    <cellStyle name="標準 93 5" xfId="1823" xr:uid="{00000000-0005-0000-0000-000028070000}"/>
    <cellStyle name="標準 93 6" xfId="1824" xr:uid="{00000000-0005-0000-0000-000029070000}"/>
    <cellStyle name="標準 94" xfId="1825" xr:uid="{00000000-0005-0000-0000-00002A070000}"/>
    <cellStyle name="標準 94 2" xfId="1826" xr:uid="{00000000-0005-0000-0000-00002B070000}"/>
    <cellStyle name="標準 94 2 2" xfId="1827" xr:uid="{00000000-0005-0000-0000-00002C070000}"/>
    <cellStyle name="標準 94 2 2 2" xfId="1828" xr:uid="{00000000-0005-0000-0000-00002D070000}"/>
    <cellStyle name="標準 94 2 2 3" xfId="1829" xr:uid="{00000000-0005-0000-0000-00002E070000}"/>
    <cellStyle name="標準 94 2 2 4" xfId="1830" xr:uid="{00000000-0005-0000-0000-00002F070000}"/>
    <cellStyle name="標準 94 2 3" xfId="1831" xr:uid="{00000000-0005-0000-0000-000030070000}"/>
    <cellStyle name="標準 94 2 4" xfId="1832" xr:uid="{00000000-0005-0000-0000-000031070000}"/>
    <cellStyle name="標準 94 2 5" xfId="1833" xr:uid="{00000000-0005-0000-0000-000032070000}"/>
    <cellStyle name="標準 94 3" xfId="1834" xr:uid="{00000000-0005-0000-0000-000033070000}"/>
    <cellStyle name="標準 94 3 2" xfId="1835" xr:uid="{00000000-0005-0000-0000-000034070000}"/>
    <cellStyle name="標準 94 3 3" xfId="1836" xr:uid="{00000000-0005-0000-0000-000035070000}"/>
    <cellStyle name="標準 94 3 4" xfId="1837" xr:uid="{00000000-0005-0000-0000-000036070000}"/>
    <cellStyle name="標準 94 4" xfId="1838" xr:uid="{00000000-0005-0000-0000-000037070000}"/>
    <cellStyle name="標準 94 5" xfId="1839" xr:uid="{00000000-0005-0000-0000-000038070000}"/>
    <cellStyle name="標準 94 6" xfId="1840" xr:uid="{00000000-0005-0000-0000-000039070000}"/>
    <cellStyle name="標準 95" xfId="1841" xr:uid="{00000000-0005-0000-0000-00003A070000}"/>
    <cellStyle name="標準 95 2" xfId="1842" xr:uid="{00000000-0005-0000-0000-00003B070000}"/>
    <cellStyle name="標準 95 2 2" xfId="1843" xr:uid="{00000000-0005-0000-0000-00003C070000}"/>
    <cellStyle name="標準 95 2 2 2" xfId="1844" xr:uid="{00000000-0005-0000-0000-00003D070000}"/>
    <cellStyle name="標準 95 2 2 3" xfId="1845" xr:uid="{00000000-0005-0000-0000-00003E070000}"/>
    <cellStyle name="標準 95 2 2 4" xfId="1846" xr:uid="{00000000-0005-0000-0000-00003F070000}"/>
    <cellStyle name="標準 95 2 3" xfId="1847" xr:uid="{00000000-0005-0000-0000-000040070000}"/>
    <cellStyle name="標準 95 2 4" xfId="1848" xr:uid="{00000000-0005-0000-0000-000041070000}"/>
    <cellStyle name="標準 95 2 5" xfId="1849" xr:uid="{00000000-0005-0000-0000-000042070000}"/>
    <cellStyle name="標準 95 3" xfId="1850" xr:uid="{00000000-0005-0000-0000-000043070000}"/>
    <cellStyle name="標準 95 3 2" xfId="1851" xr:uid="{00000000-0005-0000-0000-000044070000}"/>
    <cellStyle name="標準 95 3 3" xfId="1852" xr:uid="{00000000-0005-0000-0000-000045070000}"/>
    <cellStyle name="標準 95 3 4" xfId="1853" xr:uid="{00000000-0005-0000-0000-000046070000}"/>
    <cellStyle name="標準 95 4" xfId="1854" xr:uid="{00000000-0005-0000-0000-000047070000}"/>
    <cellStyle name="標準 95 5" xfId="1855" xr:uid="{00000000-0005-0000-0000-000048070000}"/>
    <cellStyle name="標準 95 6" xfId="1856" xr:uid="{00000000-0005-0000-0000-000049070000}"/>
    <cellStyle name="標準 96" xfId="1857" xr:uid="{00000000-0005-0000-0000-00004A070000}"/>
    <cellStyle name="標準 96 2" xfId="1858" xr:uid="{00000000-0005-0000-0000-00004B070000}"/>
    <cellStyle name="標準 96 2 2" xfId="1859" xr:uid="{00000000-0005-0000-0000-00004C070000}"/>
    <cellStyle name="標準 96 2 2 2" xfId="1860" xr:uid="{00000000-0005-0000-0000-00004D070000}"/>
    <cellStyle name="標準 96 2 2 3" xfId="1861" xr:uid="{00000000-0005-0000-0000-00004E070000}"/>
    <cellStyle name="標準 96 2 2 4" xfId="1862" xr:uid="{00000000-0005-0000-0000-00004F070000}"/>
    <cellStyle name="標準 96 2 3" xfId="1863" xr:uid="{00000000-0005-0000-0000-000050070000}"/>
    <cellStyle name="標準 96 2 4" xfId="1864" xr:uid="{00000000-0005-0000-0000-000051070000}"/>
    <cellStyle name="標準 96 2 5" xfId="1865" xr:uid="{00000000-0005-0000-0000-000052070000}"/>
    <cellStyle name="標準 96 3" xfId="1866" xr:uid="{00000000-0005-0000-0000-000053070000}"/>
    <cellStyle name="標準 96 3 2" xfId="1867" xr:uid="{00000000-0005-0000-0000-000054070000}"/>
    <cellStyle name="標準 96 3 3" xfId="1868" xr:uid="{00000000-0005-0000-0000-000055070000}"/>
    <cellStyle name="標準 96 3 4" xfId="1869" xr:uid="{00000000-0005-0000-0000-000056070000}"/>
    <cellStyle name="標準 96 4" xfId="1870" xr:uid="{00000000-0005-0000-0000-000057070000}"/>
    <cellStyle name="標準 96 5" xfId="1871" xr:uid="{00000000-0005-0000-0000-000058070000}"/>
    <cellStyle name="標準 96 6" xfId="1872" xr:uid="{00000000-0005-0000-0000-000059070000}"/>
    <cellStyle name="標準 97" xfId="1873" xr:uid="{00000000-0005-0000-0000-00005A070000}"/>
    <cellStyle name="標準 97 2" xfId="1874" xr:uid="{00000000-0005-0000-0000-00005B070000}"/>
    <cellStyle name="標準 97 2 2" xfId="1875" xr:uid="{00000000-0005-0000-0000-00005C070000}"/>
    <cellStyle name="標準 97 2 2 2" xfId="1876" xr:uid="{00000000-0005-0000-0000-00005D070000}"/>
    <cellStyle name="標準 97 2 2 3" xfId="1877" xr:uid="{00000000-0005-0000-0000-00005E070000}"/>
    <cellStyle name="標準 97 2 2 4" xfId="1878" xr:uid="{00000000-0005-0000-0000-00005F070000}"/>
    <cellStyle name="標準 97 2 3" xfId="1879" xr:uid="{00000000-0005-0000-0000-000060070000}"/>
    <cellStyle name="標準 97 2 4" xfId="1880" xr:uid="{00000000-0005-0000-0000-000061070000}"/>
    <cellStyle name="標準 97 2 5" xfId="1881" xr:uid="{00000000-0005-0000-0000-000062070000}"/>
    <cellStyle name="標準 97 3" xfId="1882" xr:uid="{00000000-0005-0000-0000-000063070000}"/>
    <cellStyle name="標準 97 3 2" xfId="1883" xr:uid="{00000000-0005-0000-0000-000064070000}"/>
    <cellStyle name="標準 97 3 3" xfId="1884" xr:uid="{00000000-0005-0000-0000-000065070000}"/>
    <cellStyle name="標準 97 3 4" xfId="1885" xr:uid="{00000000-0005-0000-0000-000066070000}"/>
    <cellStyle name="標準 97 4" xfId="1886" xr:uid="{00000000-0005-0000-0000-000067070000}"/>
    <cellStyle name="標準 97 5" xfId="1887" xr:uid="{00000000-0005-0000-0000-000068070000}"/>
    <cellStyle name="標準 97 6" xfId="1888" xr:uid="{00000000-0005-0000-0000-000069070000}"/>
    <cellStyle name="標準 98" xfId="1889" xr:uid="{00000000-0005-0000-0000-00006A070000}"/>
    <cellStyle name="標準 98 2" xfId="1890" xr:uid="{00000000-0005-0000-0000-00006B070000}"/>
    <cellStyle name="標準 98 2 2" xfId="1891" xr:uid="{00000000-0005-0000-0000-00006C070000}"/>
    <cellStyle name="標準 98 2 2 2" xfId="1892" xr:uid="{00000000-0005-0000-0000-00006D070000}"/>
    <cellStyle name="標準 98 2 2 3" xfId="1893" xr:uid="{00000000-0005-0000-0000-00006E070000}"/>
    <cellStyle name="標準 98 2 2 4" xfId="1894" xr:uid="{00000000-0005-0000-0000-00006F070000}"/>
    <cellStyle name="標準 98 2 3" xfId="1895" xr:uid="{00000000-0005-0000-0000-000070070000}"/>
    <cellStyle name="標準 98 2 4" xfId="1896" xr:uid="{00000000-0005-0000-0000-000071070000}"/>
    <cellStyle name="標準 98 2 5" xfId="1897" xr:uid="{00000000-0005-0000-0000-000072070000}"/>
    <cellStyle name="標準 98 3" xfId="1898" xr:uid="{00000000-0005-0000-0000-000073070000}"/>
    <cellStyle name="標準 98 3 2" xfId="1899" xr:uid="{00000000-0005-0000-0000-000074070000}"/>
    <cellStyle name="標準 98 3 3" xfId="1900" xr:uid="{00000000-0005-0000-0000-000075070000}"/>
    <cellStyle name="標準 98 3 4" xfId="1901" xr:uid="{00000000-0005-0000-0000-000076070000}"/>
    <cellStyle name="標準 98 4" xfId="1902" xr:uid="{00000000-0005-0000-0000-000077070000}"/>
    <cellStyle name="標準 98 5" xfId="1903" xr:uid="{00000000-0005-0000-0000-000078070000}"/>
    <cellStyle name="標準 98 6" xfId="1904" xr:uid="{00000000-0005-0000-0000-000079070000}"/>
    <cellStyle name="標準 99" xfId="1905" xr:uid="{00000000-0005-0000-0000-00007A070000}"/>
    <cellStyle name="標準 99 2" xfId="1906" xr:uid="{00000000-0005-0000-0000-00007B070000}"/>
    <cellStyle name="標準 99 2 2" xfId="1907" xr:uid="{00000000-0005-0000-0000-00007C070000}"/>
    <cellStyle name="標準 99 2 2 2" xfId="1908" xr:uid="{00000000-0005-0000-0000-00007D070000}"/>
    <cellStyle name="標準 99 2 2 3" xfId="1909" xr:uid="{00000000-0005-0000-0000-00007E070000}"/>
    <cellStyle name="標準 99 2 2 4" xfId="1910" xr:uid="{00000000-0005-0000-0000-00007F070000}"/>
    <cellStyle name="標準 99 2 3" xfId="1911" xr:uid="{00000000-0005-0000-0000-000080070000}"/>
    <cellStyle name="標準 99 2 4" xfId="1912" xr:uid="{00000000-0005-0000-0000-000081070000}"/>
    <cellStyle name="標準 99 2 5" xfId="1913" xr:uid="{00000000-0005-0000-0000-000082070000}"/>
    <cellStyle name="標準 99 3" xfId="1914" xr:uid="{00000000-0005-0000-0000-000083070000}"/>
    <cellStyle name="標準 99 3 2" xfId="1915" xr:uid="{00000000-0005-0000-0000-000084070000}"/>
    <cellStyle name="標準 99 3 3" xfId="1916" xr:uid="{00000000-0005-0000-0000-000085070000}"/>
    <cellStyle name="標準 99 3 4" xfId="1917" xr:uid="{00000000-0005-0000-0000-000086070000}"/>
    <cellStyle name="標準 99 4" xfId="1918" xr:uid="{00000000-0005-0000-0000-000087070000}"/>
    <cellStyle name="標準 99 5" xfId="1919" xr:uid="{00000000-0005-0000-0000-000088070000}"/>
    <cellStyle name="標準 99 6" xfId="1920" xr:uid="{00000000-0005-0000-0000-000089070000}"/>
    <cellStyle name="標準１" xfId="1921" xr:uid="{00000000-0005-0000-0000-00008A070000}"/>
    <cellStyle name="標準10" xfId="1922" xr:uid="{00000000-0005-0000-0000-00008B070000}"/>
    <cellStyle name="標準12" xfId="1923" xr:uid="{00000000-0005-0000-0000-00008C070000}"/>
    <cellStyle name="文字列" xfId="1924" xr:uid="{00000000-0005-0000-0000-00008D070000}"/>
    <cellStyle name="未定義" xfId="12" xr:uid="{00000000-0005-0000-0000-00008E070000}"/>
    <cellStyle name="未定義 2" xfId="1925" xr:uid="{00000000-0005-0000-0000-00008F070000}"/>
    <cellStyle name="未定義 3" xfId="1926" xr:uid="{00000000-0005-0000-0000-000090070000}"/>
    <cellStyle name="未定義_030_上場有価証券総括表_詳細設計書_府令改正対応" xfId="1927" xr:uid="{00000000-0005-0000-0000-000091070000}"/>
    <cellStyle name="良い 2" xfId="1928" xr:uid="{00000000-0005-0000-0000-000092070000}"/>
    <cellStyle name="良い 3" xfId="1929" xr:uid="{00000000-0005-0000-0000-000093070000}"/>
    <cellStyle name="良い 4" xfId="1930" xr:uid="{00000000-0005-0000-0000-000094070000}"/>
    <cellStyle name="良い 5" xfId="1931" xr:uid="{00000000-0005-0000-0000-000095070000}"/>
    <cellStyle name="良い 6" xfId="1932" xr:uid="{00000000-0005-0000-0000-000096070000}"/>
    <cellStyle name="良い 7" xfId="1933" xr:uid="{00000000-0005-0000-0000-000097070000}"/>
    <cellStyle name="良い 8" xfId="1934" xr:uid="{00000000-0005-0000-0000-000098070000}"/>
    <cellStyle name="良い 9" xfId="1935" xr:uid="{00000000-0005-0000-0000-000099070000}"/>
    <cellStyle name="표준_4.3.1_取引処理（取引処理制御１－１）" xfId="1936" xr:uid="{00000000-0005-0000-0000-00009A070000}"/>
  </cellStyles>
  <dxfs count="0"/>
  <tableStyles count="0" defaultPivotStyle="PivotStyleLight16" defaultTableStyle="TableStyleMedium2"/>
  <colors>
    <mruColors>
      <color rgb="FF66FF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drawings/drawing1.xml><?xml version="1.0" encoding="utf-8"?>
<xdr:wsDr xmlns:a="http://schemas.openxmlformats.org/drawingml/2006/main" xmlns:xdr="http://schemas.openxmlformats.org/drawingml/2006/spreadsheetDrawing">
  <xdr:oneCellAnchor>
    <xdr:from>
      <xdr:col>25</xdr:col>
      <xdr:colOff>390526</xdr:colOff>
      <xdr:row>0</xdr:row>
      <xdr:rowOff>0</xdr:rowOff>
    </xdr:from>
    <xdr:ext cx="3819524" cy="285750"/>
    <xdr:sp macro="" textlink="">
      <xdr:nvSpPr>
        <xdr:cNvPr id="5" name="正方形/長方形 4">
          <a:extLst>
            <a:ext uri="{FF2B5EF4-FFF2-40B4-BE49-F238E27FC236}">
              <a16:creationId xmlns:a16="http://schemas.microsoft.com/office/drawing/2014/main" id="{EE589CEA-8A49-48C2-9252-EF3CB7BADB3A}"/>
            </a:ext>
          </a:extLst>
        </xdr:cNvPr>
        <xdr:cNvSpPr/>
      </xdr:nvSpPr>
      <xdr:spPr>
        <a:xfrm>
          <a:off x="27336751" y="0"/>
          <a:ext cx="3819524" cy="285750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anchor="ctr" bIns="0" horzOverflow="clip" lIns="36000" rIns="0" rtlCol="0" tIns="0" vertOverflow="clip" wrap="square">
          <a:noAutofit/>
        </a:bodyPr>
        <a:lstStyle/>
        <a:p>
          <a:pPr algn="l"/>
          <a:r>
            <a:rPr altLang="ja-JP" baseline="0" kern="0" kumimoji="1" lang="en-US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※</a:t>
          </a:r>
          <a:r>
            <a:rPr altLang="en-US" baseline="0" kern="0" kumimoji="1" lang="ja-JP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建玉現在高は年末現在。ただし、*印は限月到来銘柄の最終建玉高の権利放棄分。</a:t>
          </a:r>
        </a:p>
        <a:p>
          <a:pPr algn="l"/>
          <a:r>
            <a:rPr altLang="ja-JP" baseline="0" kern="0" kumimoji="1" lang="en-US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Open interest is as of end of year. * refers to renouncement.</a:t>
          </a:r>
          <a:endParaRPr altLang="en-US" baseline="0" kern="0" kumimoji="1" lang="ja-JP" spc="0" sz="1100">
            <a:solidFill>
              <a:sysClr lastClr="000000" val="windowText"/>
            </a:solidFill>
            <a:latin charset="-128" panose="020B0609070205080204" pitchFamily="49" typeface="ＭＳ ゴシック"/>
            <a:ea charset="-128" panose="020B0609070205080204" pitchFamily="49" typeface="ＭＳ ゴシック"/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panose="020F0302020204030204"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panose="020F0502020204030204"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drawings/drawing1.xml" Type="http://schemas.openxmlformats.org/officeDocument/2006/relationships/drawing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E480"/>
  <sheetViews>
    <sheetView showGridLines="0" tabSelected="1" workbookViewId="0" zoomScaleNormal="100">
      <pane activePane="bottomLeft" state="frozen" topLeftCell="A7" ySplit="6"/>
      <selection activeCell="A7" pane="bottomLeft" sqref="A7"/>
    </sheetView>
  </sheetViews>
  <sheetFormatPr defaultRowHeight="13.5"/>
  <cols>
    <col min="1" max="1" customWidth="true" style="16" width="10.625" collapsed="false"/>
    <col min="2" max="2" customWidth="true" style="16" width="9.875" collapsed="false"/>
    <col min="3" max="3" bestFit="true" customWidth="true" style="16" width="39.375" collapsed="false"/>
    <col min="4" max="4" customWidth="true" style="16" width="43.125" collapsed="false"/>
    <col min="5" max="5" customWidth="true" style="16" width="8.75" collapsed="false"/>
    <col min="6" max="9" customWidth="true" style="16" width="12.625" collapsed="false"/>
    <col min="10" max="10" bestFit="true" customWidth="true" style="16" width="5.875" collapsed="false"/>
    <col min="11" max="11" customWidth="true" style="16" width="15.25" collapsed="false"/>
    <col min="12" max="12" bestFit="true" customWidth="true" style="16" width="5.875" collapsed="false"/>
    <col min="13" max="13" customWidth="true" style="16" width="15.25" collapsed="false"/>
    <col min="14" max="14" bestFit="true" customWidth="true" style="16" width="5.875" collapsed="false"/>
    <col min="15" max="15" customWidth="true" style="16" width="15.25" collapsed="false"/>
    <col min="16" max="16" bestFit="true" customWidth="true" style="16" width="5.875" collapsed="false"/>
    <col min="17" max="17" customWidth="true" style="16" width="15.25" collapsed="false"/>
    <col min="18" max="18" bestFit="true" customWidth="true" style="16" width="5.875" collapsed="false"/>
    <col min="19" max="19" customWidth="true" style="16" width="15.25" collapsed="false"/>
    <col min="20" max="20" bestFit="true" customWidth="true" style="16" width="5.875" collapsed="false"/>
    <col min="21" max="24" customWidth="true" style="16" width="15.25" collapsed="false"/>
    <col min="25" max="26" customWidth="true" style="16" width="18.875" collapsed="false"/>
    <col min="27" max="27" customWidth="true" style="16" width="15.25" collapsed="false"/>
    <col min="28" max="28" bestFit="true" customWidth="true" style="16" width="2.375" collapsed="false"/>
    <col min="29" max="29" customWidth="true" style="16" width="15.25" collapsed="false"/>
    <col min="30" max="30" bestFit="true" customWidth="true" style="16" width="8.5" collapsed="false"/>
    <col min="31" max="31" customWidth="true" style="16" width="9.0" collapsed="false"/>
    <col min="32" max="16384" style="16" width="9.0" collapsed="false"/>
  </cols>
  <sheetData>
    <row customHeight="1" ht="30" r="1" spans="1:30">
      <c r="A1" s="39" t="s">
        <v>17</v>
      </c>
      <c r="B1" s="40"/>
      <c r="C1" s="40"/>
      <c r="D1" s="40"/>
      <c r="E1" s="40"/>
      <c r="F1" s="40"/>
      <c r="G1" s="40"/>
      <c r="H1" s="40"/>
      <c r="I1" s="40"/>
      <c r="J1" s="40"/>
      <c r="K1" s="40"/>
      <c r="L1" s="40"/>
      <c r="M1" s="40"/>
      <c r="N1" s="13"/>
      <c r="O1" s="13"/>
      <c r="P1" s="13"/>
      <c r="Q1" s="13"/>
      <c r="R1" s="13"/>
      <c r="S1" s="13"/>
      <c r="T1" s="13"/>
      <c r="U1" s="13"/>
      <c r="V1" s="13"/>
      <c r="W1" s="13"/>
      <c r="X1" s="13"/>
      <c r="Y1" s="14"/>
      <c r="Z1" s="14"/>
      <c r="AA1" s="14"/>
      <c r="AB1" s="14"/>
      <c r="AC1" s="14"/>
      <c r="AD1" s="15"/>
    </row>
    <row customHeight="1" ht="30" r="2" spans="1:30">
      <c r="A2" s="41" t="s">
        <v>16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8"/>
    </row>
    <row customHeight="1" ht="14.1" r="3" spans="1:30">
      <c r="A3" s="24" t="s">
        <v>29</v>
      </c>
      <c r="B3" s="24" t="s">
        <v>21</v>
      </c>
      <c r="C3" s="22" t="s">
        <v>39</v>
      </c>
      <c r="D3" s="22" t="s">
        <v>40</v>
      </c>
      <c r="E3" s="24" t="s">
        <v>41</v>
      </c>
      <c r="F3" s="37" t="s">
        <v>48</v>
      </c>
      <c r="G3" s="24" t="s">
        <v>0</v>
      </c>
      <c r="H3" s="24" t="s">
        <v>18</v>
      </c>
      <c r="I3" s="25" t="s">
        <v>12</v>
      </c>
      <c r="J3" s="35" t="s">
        <v>42</v>
      </c>
      <c r="K3" s="35"/>
      <c r="L3" s="35"/>
      <c r="M3" s="35"/>
      <c r="N3" s="35"/>
      <c r="O3" s="35"/>
      <c r="P3" s="35"/>
      <c r="Q3" s="35"/>
      <c r="R3" s="35"/>
      <c r="S3" s="35"/>
      <c r="T3" s="35"/>
      <c r="U3" s="35"/>
      <c r="V3" s="24" t="s">
        <v>45</v>
      </c>
      <c r="W3" s="36" t="s">
        <v>1</v>
      </c>
      <c r="X3" s="36"/>
      <c r="Y3" s="36" t="s">
        <v>15</v>
      </c>
      <c r="Z3" s="36"/>
      <c r="AA3" s="24" t="s">
        <v>13</v>
      </c>
      <c r="AB3" s="25" t="s">
        <v>25</v>
      </c>
      <c r="AC3" s="28"/>
      <c r="AD3" s="24" t="s">
        <v>2</v>
      </c>
    </row>
    <row customHeight="1" ht="9" r="4" spans="1:30">
      <c r="A4" s="27"/>
      <c r="B4" s="27"/>
      <c r="C4" s="23"/>
      <c r="D4" s="23"/>
      <c r="E4" s="27"/>
      <c r="F4" s="38"/>
      <c r="G4" s="27"/>
      <c r="H4" s="27"/>
      <c r="I4" s="25"/>
      <c r="J4" s="33" t="s">
        <v>31</v>
      </c>
      <c r="K4" s="30" t="s">
        <v>3</v>
      </c>
      <c r="L4" s="33" t="s">
        <v>31</v>
      </c>
      <c r="M4" s="30" t="s">
        <v>33</v>
      </c>
      <c r="N4" s="32" t="s">
        <v>4</v>
      </c>
      <c r="O4" s="32"/>
      <c r="P4" s="33" t="s">
        <v>31</v>
      </c>
      <c r="Q4" s="30" t="s">
        <v>36</v>
      </c>
      <c r="R4" s="32" t="s">
        <v>4</v>
      </c>
      <c r="S4" s="32"/>
      <c r="T4" s="33" t="s">
        <v>31</v>
      </c>
      <c r="U4" s="30" t="s">
        <v>37</v>
      </c>
      <c r="V4" s="27"/>
      <c r="W4" s="24" t="s">
        <v>5</v>
      </c>
      <c r="X4" s="27" t="s">
        <v>22</v>
      </c>
      <c r="Y4" s="24" t="s">
        <v>5</v>
      </c>
      <c r="Z4" s="27" t="s">
        <v>23</v>
      </c>
      <c r="AA4" s="27"/>
      <c r="AB4" s="25"/>
      <c r="AC4" s="28"/>
      <c r="AD4" s="27"/>
    </row>
    <row customHeight="1" ht="27.75" r="5" spans="1:30">
      <c r="A5" s="27"/>
      <c r="B5" s="27"/>
      <c r="C5" s="23"/>
      <c r="D5" s="23"/>
      <c r="E5" s="27"/>
      <c r="F5" s="38"/>
      <c r="G5" s="27"/>
      <c r="H5" s="27"/>
      <c r="I5" s="26"/>
      <c r="J5" s="34"/>
      <c r="K5" s="31"/>
      <c r="L5" s="34"/>
      <c r="M5" s="31"/>
      <c r="N5" s="1" t="s">
        <v>34</v>
      </c>
      <c r="O5" s="2" t="s">
        <v>35</v>
      </c>
      <c r="P5" s="34"/>
      <c r="Q5" s="31"/>
      <c r="R5" s="1" t="s">
        <v>34</v>
      </c>
      <c r="S5" s="2" t="s">
        <v>35</v>
      </c>
      <c r="T5" s="34"/>
      <c r="U5" s="31"/>
      <c r="V5" s="27"/>
      <c r="W5" s="24"/>
      <c r="X5" s="27"/>
      <c r="Y5" s="24"/>
      <c r="Z5" s="27"/>
      <c r="AA5" s="27"/>
      <c r="AB5" s="25"/>
      <c r="AC5" s="29"/>
      <c r="AD5" s="27"/>
    </row>
    <row ht="36" r="6" spans="1:30">
      <c r="A6" s="11" t="s">
        <v>30</v>
      </c>
      <c r="B6" s="11" t="s">
        <v>20</v>
      </c>
      <c r="C6" s="24"/>
      <c r="D6" s="24"/>
      <c r="E6" s="11" t="s">
        <v>43</v>
      </c>
      <c r="F6" s="19" t="s">
        <v>49</v>
      </c>
      <c r="G6" s="11" t="s">
        <v>6</v>
      </c>
      <c r="H6" s="12" t="s">
        <v>19</v>
      </c>
      <c r="I6" s="12" t="s">
        <v>47</v>
      </c>
      <c r="J6" s="1" t="s">
        <v>44</v>
      </c>
      <c r="K6" s="2" t="s">
        <v>32</v>
      </c>
      <c r="L6" s="1" t="s">
        <v>44</v>
      </c>
      <c r="M6" s="2" t="s">
        <v>7</v>
      </c>
      <c r="N6" s="1" t="s">
        <v>44</v>
      </c>
      <c r="O6" s="2" t="s">
        <v>8</v>
      </c>
      <c r="P6" s="1" t="s">
        <v>44</v>
      </c>
      <c r="Q6" s="2" t="s">
        <v>9</v>
      </c>
      <c r="R6" s="1" t="s">
        <v>44</v>
      </c>
      <c r="S6" s="2" t="s">
        <v>8</v>
      </c>
      <c r="T6" s="1" t="s">
        <v>44</v>
      </c>
      <c r="U6" s="2" t="s">
        <v>10</v>
      </c>
      <c r="V6" s="11" t="s">
        <v>46</v>
      </c>
      <c r="W6" s="11" t="s">
        <v>28</v>
      </c>
      <c r="X6" s="11" t="s">
        <v>11</v>
      </c>
      <c r="Y6" s="11" t="s">
        <v>24</v>
      </c>
      <c r="Z6" s="11" t="s">
        <v>14</v>
      </c>
      <c r="AA6" s="11" t="s">
        <v>27</v>
      </c>
      <c r="AB6" s="20" t="s">
        <v>26</v>
      </c>
      <c r="AC6" s="21"/>
      <c r="AD6" s="11" t="s">
        <v>38</v>
      </c>
    </row>
    <row customHeight="1" ht="13.5" r="7" spans="1:30">
      <c r="A7" s="3" t="s">
        <v>50</v>
      </c>
      <c r="B7" s="3" t="s">
        <v>51</v>
      </c>
      <c r="C7" s="43" t="s">
        <v>52</v>
      </c>
      <c r="D7" s="43" t="s">
        <v>53</v>
      </c>
      <c r="E7" s="3" t="s">
        <v>54</v>
      </c>
      <c r="F7" s="3"/>
      <c r="G7" s="3" t="s">
        <v>55</v>
      </c>
      <c r="H7" s="4" t="s">
        <v>56</v>
      </c>
      <c r="I7" s="5" t="n">
        <v>2000.0</v>
      </c>
      <c r="J7" s="6"/>
      <c r="K7" s="7" t="s">
        <v>57</v>
      </c>
      <c r="L7" s="6"/>
      <c r="M7" s="7" t="s">
        <v>57</v>
      </c>
      <c r="N7" s="6"/>
      <c r="O7" s="7"/>
      <c r="P7" s="6"/>
      <c r="Q7" s="7" t="s">
        <v>57</v>
      </c>
      <c r="R7" s="6"/>
      <c r="S7" s="7"/>
      <c r="T7" s="6"/>
      <c r="U7" s="7" t="s">
        <v>57</v>
      </c>
      <c r="V7" s="8" t="str">
        <f>"－"</f>
        <v>－</v>
      </c>
      <c r="W7" s="9" t="str">
        <f>"－"</f>
        <v>－</v>
      </c>
      <c r="X7" s="9"/>
      <c r="Y7" s="9" t="str">
        <f>"－"</f>
        <v>－</v>
      </c>
      <c r="Z7" s="9"/>
      <c r="AA7" s="9" t="str">
        <f>"－"</f>
        <v>－</v>
      </c>
      <c r="AB7" s="6" t="s">
        <v>58</v>
      </c>
      <c r="AC7" s="10" t="n">
        <f>55</f>
        <v>55.0</v>
      </c>
      <c r="AD7" s="9" t="str">
        <f>"－"</f>
        <v>－</v>
      </c>
    </row>
    <row r="8">
      <c r="A8" s="3" t="s">
        <v>50</v>
      </c>
      <c r="B8" s="3" t="s">
        <v>51</v>
      </c>
      <c r="C8" s="43" t="s">
        <v>52</v>
      </c>
      <c r="D8" s="43" t="s">
        <v>53</v>
      </c>
      <c r="E8" s="3" t="s">
        <v>54</v>
      </c>
      <c r="F8" s="3"/>
      <c r="G8" s="3" t="s">
        <v>59</v>
      </c>
      <c r="H8" s="4" t="s">
        <v>60</v>
      </c>
      <c r="I8" s="5" t="n">
        <v>2000.0</v>
      </c>
      <c r="J8" s="6" t="s">
        <v>61</v>
      </c>
      <c r="K8" s="7" t="s">
        <v>62</v>
      </c>
      <c r="L8" s="6" t="s">
        <v>61</v>
      </c>
      <c r="M8" s="7" t="s">
        <v>62</v>
      </c>
      <c r="N8" s="6"/>
      <c r="O8" s="7"/>
      <c r="P8" s="6" t="s">
        <v>61</v>
      </c>
      <c r="Q8" s="7" t="s">
        <v>62</v>
      </c>
      <c r="R8" s="6"/>
      <c r="S8" s="7"/>
      <c r="T8" s="6" t="s">
        <v>61</v>
      </c>
      <c r="U8" s="7" t="s">
        <v>62</v>
      </c>
      <c r="V8" s="8" t="n">
        <f>15.9</f>
        <v>15.9</v>
      </c>
      <c r="W8" s="9" t="n">
        <f>50</f>
        <v>50.0</v>
      </c>
      <c r="X8" s="9"/>
      <c r="Y8" s="9" t="n">
        <f>7950</f>
        <v>7950.0</v>
      </c>
      <c r="Z8" s="9"/>
      <c r="AA8" s="9" t="str">
        <f>"－"</f>
        <v>－</v>
      </c>
      <c r="AB8" s="6" t="s">
        <v>58</v>
      </c>
      <c r="AC8" s="10" t="n">
        <f>6</f>
        <v>6.0</v>
      </c>
      <c r="AD8" s="9" t="n">
        <f>1</f>
        <v>1.0</v>
      </c>
    </row>
    <row r="9">
      <c r="A9" s="3" t="s">
        <v>50</v>
      </c>
      <c r="B9" s="3" t="s">
        <v>51</v>
      </c>
      <c r="C9" s="43" t="s">
        <v>52</v>
      </c>
      <c r="D9" s="43" t="s">
        <v>53</v>
      </c>
      <c r="E9" s="3" t="s">
        <v>54</v>
      </c>
      <c r="F9" s="3"/>
      <c r="G9" s="3" t="s">
        <v>63</v>
      </c>
      <c r="H9" s="4" t="s">
        <v>64</v>
      </c>
      <c r="I9" s="5" t="n">
        <v>2000.0</v>
      </c>
      <c r="J9" s="6" t="s">
        <v>65</v>
      </c>
      <c r="K9" s="7" t="s">
        <v>66</v>
      </c>
      <c r="L9" s="6" t="s">
        <v>65</v>
      </c>
      <c r="M9" s="7" t="s">
        <v>66</v>
      </c>
      <c r="N9" s="6"/>
      <c r="O9" s="7"/>
      <c r="P9" s="6" t="s">
        <v>65</v>
      </c>
      <c r="Q9" s="7" t="s">
        <v>66</v>
      </c>
      <c r="R9" s="6"/>
      <c r="S9" s="7"/>
      <c r="T9" s="6" t="s">
        <v>65</v>
      </c>
      <c r="U9" s="7" t="s">
        <v>66</v>
      </c>
      <c r="V9" s="8" t="n">
        <f>25.8</f>
        <v>25.8</v>
      </c>
      <c r="W9" s="9" t="n">
        <f>5</f>
        <v>5.0</v>
      </c>
      <c r="X9" s="9"/>
      <c r="Y9" s="9" t="n">
        <f>1290</f>
        <v>1290.0</v>
      </c>
      <c r="Z9" s="9"/>
      <c r="AA9" s="9" t="n">
        <f>5</f>
        <v>5.0</v>
      </c>
      <c r="AB9" s="6" t="s">
        <v>58</v>
      </c>
      <c r="AC9" s="10" t="str">
        <f>"－"</f>
        <v>－</v>
      </c>
      <c r="AD9" s="9" t="n">
        <f>1</f>
        <v>1.0</v>
      </c>
    </row>
    <row r="10">
      <c r="A10" s="3" t="s">
        <v>50</v>
      </c>
      <c r="B10" s="3" t="s">
        <v>51</v>
      </c>
      <c r="C10" s="43" t="s">
        <v>52</v>
      </c>
      <c r="D10" s="43" t="s">
        <v>53</v>
      </c>
      <c r="E10" s="3" t="s">
        <v>54</v>
      </c>
      <c r="F10" s="3"/>
      <c r="G10" s="3" t="s">
        <v>67</v>
      </c>
      <c r="H10" s="4" t="s">
        <v>68</v>
      </c>
      <c r="I10" s="5" t="n">
        <v>1700.0</v>
      </c>
      <c r="J10" s="6" t="s">
        <v>69</v>
      </c>
      <c r="K10" s="7" t="s">
        <v>70</v>
      </c>
      <c r="L10" s="6" t="s">
        <v>69</v>
      </c>
      <c r="M10" s="7" t="s">
        <v>71</v>
      </c>
      <c r="N10" s="6"/>
      <c r="O10" s="7"/>
      <c r="P10" s="6" t="s">
        <v>69</v>
      </c>
      <c r="Q10" s="7" t="s">
        <v>70</v>
      </c>
      <c r="R10" s="6"/>
      <c r="S10" s="7"/>
      <c r="T10" s="6" t="s">
        <v>69</v>
      </c>
      <c r="U10" s="7" t="s">
        <v>71</v>
      </c>
      <c r="V10" s="8" t="n">
        <f>10</f>
        <v>10.0</v>
      </c>
      <c r="W10" s="9" t="n">
        <f>20</f>
        <v>20.0</v>
      </c>
      <c r="X10" s="9"/>
      <c r="Y10" s="9" t="n">
        <f>1600</f>
        <v>1600.0</v>
      </c>
      <c r="Z10" s="9"/>
      <c r="AA10" s="9" t="str">
        <f>"－"</f>
        <v>－</v>
      </c>
      <c r="AB10" s="6" t="s">
        <v>58</v>
      </c>
      <c r="AC10" s="10" t="str">
        <f>"－"</f>
        <v>－</v>
      </c>
      <c r="AD10" s="9" t="n">
        <f>1</f>
        <v>1.0</v>
      </c>
    </row>
    <row r="11">
      <c r="A11" s="3" t="s">
        <v>50</v>
      </c>
      <c r="B11" s="3" t="s">
        <v>51</v>
      </c>
      <c r="C11" s="43" t="s">
        <v>52</v>
      </c>
      <c r="D11" s="43" t="s">
        <v>53</v>
      </c>
      <c r="E11" s="3" t="s">
        <v>54</v>
      </c>
      <c r="F11" s="3"/>
      <c r="G11" s="3" t="s">
        <v>67</v>
      </c>
      <c r="H11" s="4" t="s">
        <v>72</v>
      </c>
      <c r="I11" s="5" t="n">
        <v>1800.0</v>
      </c>
      <c r="J11" s="6" t="s">
        <v>69</v>
      </c>
      <c r="K11" s="7" t="s">
        <v>73</v>
      </c>
      <c r="L11" s="6" t="s">
        <v>69</v>
      </c>
      <c r="M11" s="7" t="s">
        <v>73</v>
      </c>
      <c r="N11" s="6"/>
      <c r="O11" s="7"/>
      <c r="P11" s="6" t="s">
        <v>74</v>
      </c>
      <c r="Q11" s="7" t="s">
        <v>75</v>
      </c>
      <c r="R11" s="6"/>
      <c r="S11" s="7"/>
      <c r="T11" s="6" t="s">
        <v>74</v>
      </c>
      <c r="U11" s="7" t="s">
        <v>75</v>
      </c>
      <c r="V11" s="8" t="n">
        <f>12.25</f>
        <v>12.25</v>
      </c>
      <c r="W11" s="9" t="n">
        <f>100</f>
        <v>100.0</v>
      </c>
      <c r="X11" s="9"/>
      <c r="Y11" s="9" t="n">
        <f>12250</f>
        <v>12250.0</v>
      </c>
      <c r="Z11" s="9"/>
      <c r="AA11" s="9" t="str">
        <f>"－"</f>
        <v>－</v>
      </c>
      <c r="AB11" s="6" t="s">
        <v>58</v>
      </c>
      <c r="AC11" s="10" t="str">
        <f>"－"</f>
        <v>－</v>
      </c>
      <c r="AD11" s="9" t="n">
        <f>2</f>
        <v>2.0</v>
      </c>
    </row>
    <row r="12">
      <c r="A12" s="3" t="s">
        <v>50</v>
      </c>
      <c r="B12" s="3" t="s">
        <v>51</v>
      </c>
      <c r="C12" s="43" t="s">
        <v>52</v>
      </c>
      <c r="D12" s="43" t="s">
        <v>53</v>
      </c>
      <c r="E12" s="3" t="s">
        <v>54</v>
      </c>
      <c r="F12" s="3"/>
      <c r="G12" s="3" t="s">
        <v>67</v>
      </c>
      <c r="H12" s="4" t="s">
        <v>72</v>
      </c>
      <c r="I12" s="5" t="n">
        <v>2000.0</v>
      </c>
      <c r="J12" s="6" t="s">
        <v>76</v>
      </c>
      <c r="K12" s="7" t="s">
        <v>77</v>
      </c>
      <c r="L12" s="6" t="s">
        <v>76</v>
      </c>
      <c r="M12" s="7" t="s">
        <v>77</v>
      </c>
      <c r="N12" s="6"/>
      <c r="O12" s="7"/>
      <c r="P12" s="6" t="s">
        <v>78</v>
      </c>
      <c r="Q12" s="7" t="s">
        <v>79</v>
      </c>
      <c r="R12" s="6"/>
      <c r="S12" s="7"/>
      <c r="T12" s="6" t="s">
        <v>78</v>
      </c>
      <c r="U12" s="7" t="s">
        <v>79</v>
      </c>
      <c r="V12" s="8" t="n">
        <f>23.8</f>
        <v>23.8</v>
      </c>
      <c r="W12" s="9" t="n">
        <f>68</f>
        <v>68.0</v>
      </c>
      <c r="X12" s="9"/>
      <c r="Y12" s="9" t="n">
        <f>10596</f>
        <v>10596.0</v>
      </c>
      <c r="Z12" s="9"/>
      <c r="AA12" s="9" t="n">
        <f>30</f>
        <v>30.0</v>
      </c>
      <c r="AB12" s="6" t="s">
        <v>58</v>
      </c>
      <c r="AC12" s="10" t="str">
        <f>"－"</f>
        <v>－</v>
      </c>
      <c r="AD12" s="9" t="n">
        <f>3</f>
        <v>3.0</v>
      </c>
    </row>
    <row r="13">
      <c r="A13" s="3" t="s">
        <v>50</v>
      </c>
      <c r="B13" s="3" t="s">
        <v>51</v>
      </c>
      <c r="C13" s="43" t="s">
        <v>52</v>
      </c>
      <c r="D13" s="43" t="s">
        <v>53</v>
      </c>
      <c r="E13" s="3" t="s">
        <v>54</v>
      </c>
      <c r="F13" s="3"/>
      <c r="G13" s="3" t="s">
        <v>80</v>
      </c>
      <c r="H13" s="4" t="s">
        <v>81</v>
      </c>
      <c r="I13" s="5" t="n">
        <v>1900.0</v>
      </c>
      <c r="J13" s="6" t="s">
        <v>82</v>
      </c>
      <c r="K13" s="7" t="s">
        <v>83</v>
      </c>
      <c r="L13" s="6" t="s">
        <v>82</v>
      </c>
      <c r="M13" s="7" t="s">
        <v>83</v>
      </c>
      <c r="N13" s="6"/>
      <c r="O13" s="7"/>
      <c r="P13" s="6" t="s">
        <v>82</v>
      </c>
      <c r="Q13" s="7" t="s">
        <v>83</v>
      </c>
      <c r="R13" s="6"/>
      <c r="S13" s="7"/>
      <c r="T13" s="6" t="s">
        <v>82</v>
      </c>
      <c r="U13" s="7" t="s">
        <v>83</v>
      </c>
      <c r="V13" s="8" t="n">
        <f>55</f>
        <v>55.0</v>
      </c>
      <c r="W13" s="9" t="n">
        <f>9</f>
        <v>9.0</v>
      </c>
      <c r="X13" s="9"/>
      <c r="Y13" s="9" t="n">
        <f>4950</f>
        <v>4950.0</v>
      </c>
      <c r="Z13" s="9"/>
      <c r="AA13" s="9" t="str">
        <f>"－"</f>
        <v>－</v>
      </c>
      <c r="AB13" s="6" t="s">
        <v>58</v>
      </c>
      <c r="AC13" s="10" t="n">
        <f>9</f>
        <v>9.0</v>
      </c>
      <c r="AD13" s="9" t="n">
        <f>1</f>
        <v>1.0</v>
      </c>
    </row>
    <row r="14">
      <c r="A14" s="3" t="s">
        <v>50</v>
      </c>
      <c r="B14" s="3" t="s">
        <v>51</v>
      </c>
      <c r="C14" s="43" t="s">
        <v>52</v>
      </c>
      <c r="D14" s="43" t="s">
        <v>53</v>
      </c>
      <c r="E14" s="3" t="s">
        <v>54</v>
      </c>
      <c r="F14" s="3"/>
      <c r="G14" s="3" t="s">
        <v>84</v>
      </c>
      <c r="H14" s="4" t="s">
        <v>85</v>
      </c>
      <c r="I14" s="5" t="n">
        <v>1900.0</v>
      </c>
      <c r="J14" s="6" t="s">
        <v>86</v>
      </c>
      <c r="K14" s="7" t="s">
        <v>87</v>
      </c>
      <c r="L14" s="6" t="s">
        <v>86</v>
      </c>
      <c r="M14" s="7" t="s">
        <v>87</v>
      </c>
      <c r="N14" s="6"/>
      <c r="O14" s="7"/>
      <c r="P14" s="6" t="s">
        <v>86</v>
      </c>
      <c r="Q14" s="7" t="s">
        <v>87</v>
      </c>
      <c r="R14" s="6"/>
      <c r="S14" s="7"/>
      <c r="T14" s="6" t="s">
        <v>86</v>
      </c>
      <c r="U14" s="7" t="s">
        <v>87</v>
      </c>
      <c r="V14" s="8" t="n">
        <f>19.6</f>
        <v>19.6</v>
      </c>
      <c r="W14" s="9" t="n">
        <f>5</f>
        <v>5.0</v>
      </c>
      <c r="X14" s="9"/>
      <c r="Y14" s="9" t="n">
        <f>980</f>
        <v>980.0</v>
      </c>
      <c r="Z14" s="9"/>
      <c r="AA14" s="9" t="str">
        <f>"－"</f>
        <v>－</v>
      </c>
      <c r="AB14" s="6" t="s">
        <v>58</v>
      </c>
      <c r="AC14" s="10" t="n">
        <f>5</f>
        <v>5.0</v>
      </c>
      <c r="AD14" s="9" t="n">
        <f>1</f>
        <v>1.0</v>
      </c>
    </row>
    <row r="15">
      <c r="A15" s="3" t="s">
        <v>50</v>
      </c>
      <c r="B15" s="3" t="s">
        <v>51</v>
      </c>
      <c r="C15" s="43" t="s">
        <v>52</v>
      </c>
      <c r="D15" s="43" t="s">
        <v>53</v>
      </c>
      <c r="E15" s="3" t="s">
        <v>54</v>
      </c>
      <c r="F15" s="3"/>
      <c r="G15" s="3" t="s">
        <v>88</v>
      </c>
      <c r="H15" s="4" t="s">
        <v>89</v>
      </c>
      <c r="I15" s="5" t="n">
        <v>1900.0</v>
      </c>
      <c r="J15" s="6" t="s">
        <v>90</v>
      </c>
      <c r="K15" s="7" t="s">
        <v>91</v>
      </c>
      <c r="L15" s="6" t="s">
        <v>90</v>
      </c>
      <c r="M15" s="7" t="s">
        <v>91</v>
      </c>
      <c r="N15" s="6"/>
      <c r="O15" s="7"/>
      <c r="P15" s="6" t="s">
        <v>90</v>
      </c>
      <c r="Q15" s="7" t="s">
        <v>91</v>
      </c>
      <c r="R15" s="6"/>
      <c r="S15" s="7"/>
      <c r="T15" s="6" t="s">
        <v>90</v>
      </c>
      <c r="U15" s="7" t="s">
        <v>91</v>
      </c>
      <c r="V15" s="8" t="n">
        <f>9</f>
        <v>9.0</v>
      </c>
      <c r="W15" s="9" t="n">
        <f>2</f>
        <v>2.0</v>
      </c>
      <c r="X15" s="9"/>
      <c r="Y15" s="9" t="n">
        <f>180</f>
        <v>180.0</v>
      </c>
      <c r="Z15" s="9"/>
      <c r="AA15" s="9" t="str">
        <f>"－"</f>
        <v>－</v>
      </c>
      <c r="AB15" s="6" t="s">
        <v>58</v>
      </c>
      <c r="AC15" s="10" t="n">
        <f>2</f>
        <v>2.0</v>
      </c>
      <c r="AD15" s="9" t="n">
        <f>1</f>
        <v>1.0</v>
      </c>
    </row>
    <row r="16">
      <c r="A16" s="3" t="s">
        <v>50</v>
      </c>
      <c r="B16" s="3" t="s">
        <v>51</v>
      </c>
      <c r="C16" s="43" t="s">
        <v>52</v>
      </c>
      <c r="D16" s="43" t="s">
        <v>53</v>
      </c>
      <c r="E16" s="3" t="s">
        <v>54</v>
      </c>
      <c r="F16" s="3"/>
      <c r="G16" s="3" t="s">
        <v>88</v>
      </c>
      <c r="H16" s="4" t="s">
        <v>89</v>
      </c>
      <c r="I16" s="5" t="n">
        <v>2000.0</v>
      </c>
      <c r="J16" s="6" t="s">
        <v>92</v>
      </c>
      <c r="K16" s="7" t="s">
        <v>93</v>
      </c>
      <c r="L16" s="6" t="s">
        <v>92</v>
      </c>
      <c r="M16" s="7" t="s">
        <v>93</v>
      </c>
      <c r="N16" s="6"/>
      <c r="O16" s="7"/>
      <c r="P16" s="6" t="s">
        <v>94</v>
      </c>
      <c r="Q16" s="7" t="s">
        <v>95</v>
      </c>
      <c r="R16" s="6"/>
      <c r="S16" s="7"/>
      <c r="T16" s="6" t="s">
        <v>94</v>
      </c>
      <c r="U16" s="7" t="s">
        <v>95</v>
      </c>
      <c r="V16" s="8" t="n">
        <f>27.75</f>
        <v>27.75</v>
      </c>
      <c r="W16" s="9" t="n">
        <f>10</f>
        <v>10.0</v>
      </c>
      <c r="X16" s="9"/>
      <c r="Y16" s="9" t="n">
        <f>3395</f>
        <v>3395.0</v>
      </c>
      <c r="Z16" s="9"/>
      <c r="AA16" s="9" t="n">
        <f>10</f>
        <v>10.0</v>
      </c>
      <c r="AB16" s="6" t="s">
        <v>58</v>
      </c>
      <c r="AC16" s="10" t="str">
        <f>"－"</f>
        <v>－</v>
      </c>
      <c r="AD16" s="9" t="n">
        <f>2</f>
        <v>2.0</v>
      </c>
    </row>
    <row r="17">
      <c r="A17" s="3" t="s">
        <v>50</v>
      </c>
      <c r="B17" s="3" t="s">
        <v>51</v>
      </c>
      <c r="C17" s="43" t="s">
        <v>52</v>
      </c>
      <c r="D17" s="43" t="s">
        <v>53</v>
      </c>
      <c r="E17" s="3" t="s">
        <v>54</v>
      </c>
      <c r="F17" s="3"/>
      <c r="G17" s="3" t="s">
        <v>96</v>
      </c>
      <c r="H17" s="4" t="s">
        <v>97</v>
      </c>
      <c r="I17" s="5" t="n">
        <v>2000.0</v>
      </c>
      <c r="J17" s="6" t="s">
        <v>98</v>
      </c>
      <c r="K17" s="7" t="s">
        <v>99</v>
      </c>
      <c r="L17" s="6" t="s">
        <v>98</v>
      </c>
      <c r="M17" s="7" t="s">
        <v>99</v>
      </c>
      <c r="N17" s="6"/>
      <c r="O17" s="7"/>
      <c r="P17" s="6" t="s">
        <v>98</v>
      </c>
      <c r="Q17" s="7" t="s">
        <v>99</v>
      </c>
      <c r="R17" s="6"/>
      <c r="S17" s="7"/>
      <c r="T17" s="6" t="s">
        <v>98</v>
      </c>
      <c r="U17" s="7" t="s">
        <v>99</v>
      </c>
      <c r="V17" s="8" t="n">
        <f>45</f>
        <v>45.0</v>
      </c>
      <c r="W17" s="9" t="n">
        <f>15</f>
        <v>15.0</v>
      </c>
      <c r="X17" s="9"/>
      <c r="Y17" s="9" t="n">
        <f>6750</f>
        <v>6750.0</v>
      </c>
      <c r="Z17" s="9"/>
      <c r="AA17" s="9" t="str">
        <f>"－"</f>
        <v>－</v>
      </c>
      <c r="AB17" s="6" t="s">
        <v>58</v>
      </c>
      <c r="AC17" s="10" t="n">
        <f>15</f>
        <v>15.0</v>
      </c>
      <c r="AD17" s="9" t="n">
        <f>1</f>
        <v>1.0</v>
      </c>
    </row>
    <row r="18">
      <c r="A18" s="3" t="s">
        <v>50</v>
      </c>
      <c r="B18" s="3" t="s">
        <v>51</v>
      </c>
      <c r="C18" s="43" t="s">
        <v>52</v>
      </c>
      <c r="D18" s="43" t="s">
        <v>53</v>
      </c>
      <c r="E18" s="3" t="s">
        <v>54</v>
      </c>
      <c r="F18" s="3"/>
      <c r="G18" s="3" t="s">
        <v>100</v>
      </c>
      <c r="H18" s="4" t="s">
        <v>101</v>
      </c>
      <c r="I18" s="5" t="n">
        <v>2000.0</v>
      </c>
      <c r="J18" s="6" t="s">
        <v>102</v>
      </c>
      <c r="K18" s="7" t="s">
        <v>103</v>
      </c>
      <c r="L18" s="6" t="s">
        <v>102</v>
      </c>
      <c r="M18" s="7" t="s">
        <v>103</v>
      </c>
      <c r="N18" s="6"/>
      <c r="O18" s="7"/>
      <c r="P18" s="6" t="s">
        <v>102</v>
      </c>
      <c r="Q18" s="7" t="s">
        <v>103</v>
      </c>
      <c r="R18" s="6"/>
      <c r="S18" s="7"/>
      <c r="T18" s="6" t="s">
        <v>102</v>
      </c>
      <c r="U18" s="7" t="s">
        <v>103</v>
      </c>
      <c r="V18" s="8" t="n">
        <f>35</f>
        <v>35.0</v>
      </c>
      <c r="W18" s="9" t="n">
        <f>24</f>
        <v>24.0</v>
      </c>
      <c r="X18" s="9"/>
      <c r="Y18" s="9" t="n">
        <f>8400</f>
        <v>8400.0</v>
      </c>
      <c r="Z18" s="9"/>
      <c r="AA18" s="9" t="str">
        <f>"－"</f>
        <v>－</v>
      </c>
      <c r="AB18" s="6"/>
      <c r="AC18" s="10" t="n">
        <f>24</f>
        <v>24.0</v>
      </c>
      <c r="AD18" s="9" t="n">
        <f>1</f>
        <v>1.0</v>
      </c>
    </row>
    <row r="19">
      <c r="A19" s="3" t="s">
        <v>50</v>
      </c>
      <c r="B19" s="3" t="s">
        <v>51</v>
      </c>
      <c r="C19" s="43" t="s">
        <v>52</v>
      </c>
      <c r="D19" s="43" t="s">
        <v>53</v>
      </c>
      <c r="E19" s="3" t="s">
        <v>104</v>
      </c>
      <c r="F19" s="3"/>
      <c r="G19" s="3" t="s">
        <v>55</v>
      </c>
      <c r="H19" s="4" t="s">
        <v>56</v>
      </c>
      <c r="I19" s="5" t="n">
        <v>2200.0</v>
      </c>
      <c r="J19" s="6"/>
      <c r="K19" s="7" t="s">
        <v>57</v>
      </c>
      <c r="L19" s="6"/>
      <c r="M19" s="7" t="s">
        <v>57</v>
      </c>
      <c r="N19" s="6"/>
      <c r="O19" s="7"/>
      <c r="P19" s="6"/>
      <c r="Q19" s="7" t="s">
        <v>57</v>
      </c>
      <c r="R19" s="6"/>
      <c r="S19" s="7"/>
      <c r="T19" s="6"/>
      <c r="U19" s="7" t="s">
        <v>57</v>
      </c>
      <c r="V19" s="8" t="str">
        <f>"－"</f>
        <v>－</v>
      </c>
      <c r="W19" s="9" t="str">
        <f>"－"</f>
        <v>－</v>
      </c>
      <c r="X19" s="9"/>
      <c r="Y19" s="9" t="str">
        <f>"－"</f>
        <v>－</v>
      </c>
      <c r="Z19" s="9"/>
      <c r="AA19" s="9" t="str">
        <f>"－"</f>
        <v>－</v>
      </c>
      <c r="AB19" s="6" t="s">
        <v>58</v>
      </c>
      <c r="AC19" s="10" t="n">
        <f>5</f>
        <v>5.0</v>
      </c>
      <c r="AD19" s="9" t="str">
        <f>"－"</f>
        <v>－</v>
      </c>
    </row>
    <row r="20">
      <c r="A20" s="3" t="s">
        <v>50</v>
      </c>
      <c r="B20" s="3" t="s">
        <v>51</v>
      </c>
      <c r="C20" s="43" t="s">
        <v>52</v>
      </c>
      <c r="D20" s="43" t="s">
        <v>53</v>
      </c>
      <c r="E20" s="3" t="s">
        <v>104</v>
      </c>
      <c r="F20" s="3"/>
      <c r="G20" s="3" t="s">
        <v>59</v>
      </c>
      <c r="H20" s="4" t="s">
        <v>60</v>
      </c>
      <c r="I20" s="5" t="n">
        <v>2000.0</v>
      </c>
      <c r="J20" s="6"/>
      <c r="K20" s="7" t="s">
        <v>57</v>
      </c>
      <c r="L20" s="6"/>
      <c r="M20" s="7" t="s">
        <v>57</v>
      </c>
      <c r="N20" s="6"/>
      <c r="O20" s="7"/>
      <c r="P20" s="6"/>
      <c r="Q20" s="7" t="s">
        <v>57</v>
      </c>
      <c r="R20" s="6"/>
      <c r="S20" s="7"/>
      <c r="T20" s="6"/>
      <c r="U20" s="7" t="s">
        <v>57</v>
      </c>
      <c r="V20" s="8" t="str">
        <f>"－"</f>
        <v>－</v>
      </c>
      <c r="W20" s="9" t="str">
        <f>"－"</f>
        <v>－</v>
      </c>
      <c r="X20" s="9"/>
      <c r="Y20" s="9" t="str">
        <f>"－"</f>
        <v>－</v>
      </c>
      <c r="Z20" s="9"/>
      <c r="AA20" s="9" t="n">
        <f>2</f>
        <v>2.0</v>
      </c>
      <c r="AB20" s="6" t="s">
        <v>58</v>
      </c>
      <c r="AC20" s="10" t="str">
        <f>"－"</f>
        <v>－</v>
      </c>
      <c r="AD20" s="9" t="str">
        <f>"－"</f>
        <v>－</v>
      </c>
    </row>
    <row r="21">
      <c r="A21" s="3" t="s">
        <v>50</v>
      </c>
      <c r="B21" s="3" t="s">
        <v>51</v>
      </c>
      <c r="C21" s="43" t="s">
        <v>52</v>
      </c>
      <c r="D21" s="43" t="s">
        <v>53</v>
      </c>
      <c r="E21" s="3" t="s">
        <v>104</v>
      </c>
      <c r="F21" s="3"/>
      <c r="G21" s="3" t="s">
        <v>59</v>
      </c>
      <c r="H21" s="4" t="s">
        <v>60</v>
      </c>
      <c r="I21" s="5" t="n">
        <v>2200.0</v>
      </c>
      <c r="J21" s="6"/>
      <c r="K21" s="7" t="s">
        <v>57</v>
      </c>
      <c r="L21" s="6"/>
      <c r="M21" s="7" t="s">
        <v>57</v>
      </c>
      <c r="N21" s="6"/>
      <c r="O21" s="7"/>
      <c r="P21" s="6"/>
      <c r="Q21" s="7" t="s">
        <v>57</v>
      </c>
      <c r="R21" s="6"/>
      <c r="S21" s="7"/>
      <c r="T21" s="6"/>
      <c r="U21" s="7" t="s">
        <v>57</v>
      </c>
      <c r="V21" s="8" t="str">
        <f>"－"</f>
        <v>－</v>
      </c>
      <c r="W21" s="9" t="str">
        <f>"－"</f>
        <v>－</v>
      </c>
      <c r="X21" s="9"/>
      <c r="Y21" s="9" t="str">
        <f>"－"</f>
        <v>－</v>
      </c>
      <c r="Z21" s="9"/>
      <c r="AA21" s="9" t="str">
        <f>"－"</f>
        <v>－</v>
      </c>
      <c r="AB21" s="6" t="s">
        <v>58</v>
      </c>
      <c r="AC21" s="10" t="n">
        <f>36</f>
        <v>36.0</v>
      </c>
      <c r="AD21" s="9" t="str">
        <f>"－"</f>
        <v>－</v>
      </c>
    </row>
    <row r="22">
      <c r="A22" s="3" t="s">
        <v>50</v>
      </c>
      <c r="B22" s="3" t="s">
        <v>51</v>
      </c>
      <c r="C22" s="43" t="s">
        <v>52</v>
      </c>
      <c r="D22" s="43" t="s">
        <v>53</v>
      </c>
      <c r="E22" s="3" t="s">
        <v>104</v>
      </c>
      <c r="F22" s="3"/>
      <c r="G22" s="3" t="s">
        <v>63</v>
      </c>
      <c r="H22" s="4" t="s">
        <v>64</v>
      </c>
      <c r="I22" s="5" t="n">
        <v>2000.0</v>
      </c>
      <c r="J22" s="6" t="s">
        <v>105</v>
      </c>
      <c r="K22" s="7" t="s">
        <v>106</v>
      </c>
      <c r="L22" s="6" t="s">
        <v>105</v>
      </c>
      <c r="M22" s="7" t="s">
        <v>106</v>
      </c>
      <c r="N22" s="6"/>
      <c r="O22" s="7"/>
      <c r="P22" s="6" t="s">
        <v>107</v>
      </c>
      <c r="Q22" s="7" t="s">
        <v>108</v>
      </c>
      <c r="R22" s="6"/>
      <c r="S22" s="7"/>
      <c r="T22" s="6" t="s">
        <v>107</v>
      </c>
      <c r="U22" s="7" t="s">
        <v>108</v>
      </c>
      <c r="V22" s="8" t="n">
        <f>41.55</f>
        <v>41.55</v>
      </c>
      <c r="W22" s="9" t="n">
        <f>10</f>
        <v>10.0</v>
      </c>
      <c r="X22" s="9"/>
      <c r="Y22" s="9" t="n">
        <f>4155</f>
        <v>4155.0</v>
      </c>
      <c r="Z22" s="9"/>
      <c r="AA22" s="9" t="str">
        <f>"－"</f>
        <v>－</v>
      </c>
      <c r="AB22" s="6" t="s">
        <v>58</v>
      </c>
      <c r="AC22" s="10" t="str">
        <f>"－"</f>
        <v>－</v>
      </c>
      <c r="AD22" s="9" t="n">
        <f>2</f>
        <v>2.0</v>
      </c>
    </row>
    <row r="23">
      <c r="A23" s="3" t="s">
        <v>50</v>
      </c>
      <c r="B23" s="3" t="s">
        <v>51</v>
      </c>
      <c r="C23" s="43" t="s">
        <v>52</v>
      </c>
      <c r="D23" s="43" t="s">
        <v>53</v>
      </c>
      <c r="E23" s="3" t="s">
        <v>104</v>
      </c>
      <c r="F23" s="3"/>
      <c r="G23" s="3" t="s">
        <v>67</v>
      </c>
      <c r="H23" s="4" t="s">
        <v>72</v>
      </c>
      <c r="I23" s="5" t="n">
        <v>2000.0</v>
      </c>
      <c r="J23" s="6" t="s">
        <v>76</v>
      </c>
      <c r="K23" s="7" t="s">
        <v>109</v>
      </c>
      <c r="L23" s="6" t="s">
        <v>76</v>
      </c>
      <c r="M23" s="7" t="s">
        <v>109</v>
      </c>
      <c r="N23" s="6"/>
      <c r="O23" s="7"/>
      <c r="P23" s="6" t="s">
        <v>69</v>
      </c>
      <c r="Q23" s="7" t="s">
        <v>110</v>
      </c>
      <c r="R23" s="6"/>
      <c r="S23" s="7"/>
      <c r="T23" s="6" t="s">
        <v>69</v>
      </c>
      <c r="U23" s="7" t="s">
        <v>110</v>
      </c>
      <c r="V23" s="8" t="n">
        <f>42.1</f>
        <v>42.1</v>
      </c>
      <c r="W23" s="9" t="n">
        <f>12</f>
        <v>12.0</v>
      </c>
      <c r="X23" s="9"/>
      <c r="Y23" s="9" t="n">
        <f>2660</f>
        <v>2660.0</v>
      </c>
      <c r="Z23" s="9"/>
      <c r="AA23" s="9" t="str">
        <f>"－"</f>
        <v>－</v>
      </c>
      <c r="AB23" s="6" t="s">
        <v>58</v>
      </c>
      <c r="AC23" s="10" t="n">
        <f>12</f>
        <v>12.0</v>
      </c>
      <c r="AD23" s="9" t="n">
        <f>2</f>
        <v>2.0</v>
      </c>
    </row>
    <row r="24">
      <c r="A24" s="3" t="s">
        <v>50</v>
      </c>
      <c r="B24" s="3" t="s">
        <v>51</v>
      </c>
      <c r="C24" s="43" t="s">
        <v>52</v>
      </c>
      <c r="D24" s="43" t="s">
        <v>53</v>
      </c>
      <c r="E24" s="3" t="s">
        <v>104</v>
      </c>
      <c r="F24" s="3"/>
      <c r="G24" s="3" t="s">
        <v>67</v>
      </c>
      <c r="H24" s="4" t="s">
        <v>72</v>
      </c>
      <c r="I24" s="5" t="n">
        <v>2200.0</v>
      </c>
      <c r="J24" s="6" t="s">
        <v>76</v>
      </c>
      <c r="K24" s="7" t="s">
        <v>111</v>
      </c>
      <c r="L24" s="6" t="s">
        <v>76</v>
      </c>
      <c r="M24" s="7" t="s">
        <v>111</v>
      </c>
      <c r="N24" s="6"/>
      <c r="O24" s="7"/>
      <c r="P24" s="6" t="s">
        <v>76</v>
      </c>
      <c r="Q24" s="7" t="s">
        <v>111</v>
      </c>
      <c r="R24" s="6"/>
      <c r="S24" s="7"/>
      <c r="T24" s="6" t="s">
        <v>76</v>
      </c>
      <c r="U24" s="7" t="s">
        <v>111</v>
      </c>
      <c r="V24" s="8" t="n">
        <f>4.5</f>
        <v>4.5</v>
      </c>
      <c r="W24" s="9" t="n">
        <f>34</f>
        <v>34.0</v>
      </c>
      <c r="X24" s="9"/>
      <c r="Y24" s="9" t="n">
        <f>1530</f>
        <v>1530.0</v>
      </c>
      <c r="Z24" s="9"/>
      <c r="AA24" s="9" t="str">
        <f>"－"</f>
        <v>－</v>
      </c>
      <c r="AB24" s="6" t="s">
        <v>58</v>
      </c>
      <c r="AC24" s="10" t="n">
        <f>34</f>
        <v>34.0</v>
      </c>
      <c r="AD24" s="9" t="n">
        <f>1</f>
        <v>1.0</v>
      </c>
    </row>
    <row r="25">
      <c r="A25" s="3" t="s">
        <v>50</v>
      </c>
      <c r="B25" s="3" t="s">
        <v>51</v>
      </c>
      <c r="C25" s="43" t="s">
        <v>52</v>
      </c>
      <c r="D25" s="43" t="s">
        <v>53</v>
      </c>
      <c r="E25" s="3" t="s">
        <v>104</v>
      </c>
      <c r="F25" s="3"/>
      <c r="G25" s="3" t="s">
        <v>112</v>
      </c>
      <c r="H25" s="4" t="s">
        <v>113</v>
      </c>
      <c r="I25" s="5" t="n">
        <v>2000.0</v>
      </c>
      <c r="J25" s="6" t="s">
        <v>114</v>
      </c>
      <c r="K25" s="7" t="s">
        <v>115</v>
      </c>
      <c r="L25" s="6" t="s">
        <v>114</v>
      </c>
      <c r="M25" s="7" t="s">
        <v>115</v>
      </c>
      <c r="N25" s="6"/>
      <c r="O25" s="7"/>
      <c r="P25" s="6" t="s">
        <v>114</v>
      </c>
      <c r="Q25" s="7" t="s">
        <v>115</v>
      </c>
      <c r="R25" s="6"/>
      <c r="S25" s="7"/>
      <c r="T25" s="6" t="s">
        <v>114</v>
      </c>
      <c r="U25" s="7" t="s">
        <v>115</v>
      </c>
      <c r="V25" s="8" t="n">
        <f>50</f>
        <v>50.0</v>
      </c>
      <c r="W25" s="9" t="n">
        <f>10</f>
        <v>10.0</v>
      </c>
      <c r="X25" s="9"/>
      <c r="Y25" s="9" t="n">
        <f>5000</f>
        <v>5000.0</v>
      </c>
      <c r="Z25" s="9"/>
      <c r="AA25" s="9" t="str">
        <f>"－"</f>
        <v>－</v>
      </c>
      <c r="AB25" s="6" t="s">
        <v>58</v>
      </c>
      <c r="AC25" s="10" t="n">
        <f>10</f>
        <v>10.0</v>
      </c>
      <c r="AD25" s="9" t="n">
        <f>1</f>
        <v>1.0</v>
      </c>
    </row>
    <row r="26">
      <c r="A26" s="3" t="s">
        <v>50</v>
      </c>
      <c r="B26" s="3" t="s">
        <v>51</v>
      </c>
      <c r="C26" s="43" t="s">
        <v>52</v>
      </c>
      <c r="D26" s="43" t="s">
        <v>53</v>
      </c>
      <c r="E26" s="3" t="s">
        <v>104</v>
      </c>
      <c r="F26" s="3"/>
      <c r="G26" s="3" t="s">
        <v>116</v>
      </c>
      <c r="H26" s="4" t="s">
        <v>117</v>
      </c>
      <c r="I26" s="5" t="n">
        <v>1900.0</v>
      </c>
      <c r="J26" s="6" t="s">
        <v>118</v>
      </c>
      <c r="K26" s="7" t="s">
        <v>119</v>
      </c>
      <c r="L26" s="6" t="s">
        <v>118</v>
      </c>
      <c r="M26" s="7" t="s">
        <v>119</v>
      </c>
      <c r="N26" s="6"/>
      <c r="O26" s="7"/>
      <c r="P26" s="6" t="s">
        <v>118</v>
      </c>
      <c r="Q26" s="7" t="s">
        <v>119</v>
      </c>
      <c r="R26" s="6"/>
      <c r="S26" s="7"/>
      <c r="T26" s="6" t="s">
        <v>118</v>
      </c>
      <c r="U26" s="7" t="s">
        <v>119</v>
      </c>
      <c r="V26" s="8" t="n">
        <f>82.5</f>
        <v>82.5</v>
      </c>
      <c r="W26" s="9" t="n">
        <f>10</f>
        <v>10.0</v>
      </c>
      <c r="X26" s="9"/>
      <c r="Y26" s="9" t="n">
        <f>8250</f>
        <v>8250.0</v>
      </c>
      <c r="Z26" s="9"/>
      <c r="AA26" s="9" t="n">
        <f>10</f>
        <v>10.0</v>
      </c>
      <c r="AB26" s="6" t="s">
        <v>58</v>
      </c>
      <c r="AC26" s="10" t="str">
        <f>"－"</f>
        <v>－</v>
      </c>
      <c r="AD26" s="9" t="n">
        <f>1</f>
        <v>1.0</v>
      </c>
    </row>
    <row r="27">
      <c r="A27" s="3" t="s">
        <v>50</v>
      </c>
      <c r="B27" s="3" t="s">
        <v>51</v>
      </c>
      <c r="C27" s="43" t="s">
        <v>52</v>
      </c>
      <c r="D27" s="43" t="s">
        <v>53</v>
      </c>
      <c r="E27" s="3" t="s">
        <v>104</v>
      </c>
      <c r="F27" s="3"/>
      <c r="G27" s="3" t="s">
        <v>116</v>
      </c>
      <c r="H27" s="4" t="s">
        <v>117</v>
      </c>
      <c r="I27" s="5" t="n">
        <v>2000.0</v>
      </c>
      <c r="J27" s="6" t="s">
        <v>120</v>
      </c>
      <c r="K27" s="7" t="s">
        <v>121</v>
      </c>
      <c r="L27" s="6" t="s">
        <v>120</v>
      </c>
      <c r="M27" s="7" t="s">
        <v>121</v>
      </c>
      <c r="N27" s="6"/>
      <c r="O27" s="7"/>
      <c r="P27" s="6" t="s">
        <v>120</v>
      </c>
      <c r="Q27" s="7" t="s">
        <v>121</v>
      </c>
      <c r="R27" s="6"/>
      <c r="S27" s="7"/>
      <c r="T27" s="6" t="s">
        <v>120</v>
      </c>
      <c r="U27" s="7" t="s">
        <v>121</v>
      </c>
      <c r="V27" s="8" t="n">
        <f>65.5</f>
        <v>65.5</v>
      </c>
      <c r="W27" s="9" t="n">
        <f>8</f>
        <v>8.0</v>
      </c>
      <c r="X27" s="9"/>
      <c r="Y27" s="9" t="n">
        <f>5240</f>
        <v>5240.0</v>
      </c>
      <c r="Z27" s="9"/>
      <c r="AA27" s="9" t="n">
        <f>8</f>
        <v>8.0</v>
      </c>
      <c r="AB27" s="6" t="s">
        <v>58</v>
      </c>
      <c r="AC27" s="10" t="str">
        <f>"－"</f>
        <v>－</v>
      </c>
      <c r="AD27" s="9" t="n">
        <f>1</f>
        <v>1.0</v>
      </c>
    </row>
    <row r="28">
      <c r="A28" s="3" t="s">
        <v>50</v>
      </c>
      <c r="B28" s="3" t="s">
        <v>51</v>
      </c>
      <c r="C28" s="43" t="s">
        <v>52</v>
      </c>
      <c r="D28" s="43" t="s">
        <v>53</v>
      </c>
      <c r="E28" s="3" t="s">
        <v>104</v>
      </c>
      <c r="F28" s="3"/>
      <c r="G28" s="3" t="s">
        <v>116</v>
      </c>
      <c r="H28" s="4" t="s">
        <v>117</v>
      </c>
      <c r="I28" s="5" t="n">
        <v>2200.0</v>
      </c>
      <c r="J28" s="6" t="s">
        <v>120</v>
      </c>
      <c r="K28" s="7" t="s">
        <v>122</v>
      </c>
      <c r="L28" s="6" t="s">
        <v>120</v>
      </c>
      <c r="M28" s="7" t="s">
        <v>122</v>
      </c>
      <c r="N28" s="6"/>
      <c r="O28" s="7"/>
      <c r="P28" s="6" t="s">
        <v>120</v>
      </c>
      <c r="Q28" s="7" t="s">
        <v>122</v>
      </c>
      <c r="R28" s="6"/>
      <c r="S28" s="7"/>
      <c r="T28" s="6" t="s">
        <v>120</v>
      </c>
      <c r="U28" s="7" t="s">
        <v>122</v>
      </c>
      <c r="V28" s="8" t="n">
        <f>2.9</f>
        <v>2.9</v>
      </c>
      <c r="W28" s="9" t="n">
        <f>36</f>
        <v>36.0</v>
      </c>
      <c r="X28" s="9"/>
      <c r="Y28" s="9" t="n">
        <f>1044</f>
        <v>1044.0</v>
      </c>
      <c r="Z28" s="9"/>
      <c r="AA28" s="9" t="str">
        <f>"－"</f>
        <v>－</v>
      </c>
      <c r="AB28" s="6" t="s">
        <v>58</v>
      </c>
      <c r="AC28" s="10" t="n">
        <f>36</f>
        <v>36.0</v>
      </c>
      <c r="AD28" s="9" t="n">
        <f>1</f>
        <v>1.0</v>
      </c>
    </row>
    <row r="29">
      <c r="A29" s="3" t="s">
        <v>50</v>
      </c>
      <c r="B29" s="3" t="s">
        <v>51</v>
      </c>
      <c r="C29" s="43" t="s">
        <v>52</v>
      </c>
      <c r="D29" s="43" t="s">
        <v>53</v>
      </c>
      <c r="E29" s="3" t="s">
        <v>104</v>
      </c>
      <c r="F29" s="3"/>
      <c r="G29" s="3" t="s">
        <v>84</v>
      </c>
      <c r="H29" s="4" t="s">
        <v>85</v>
      </c>
      <c r="I29" s="5" t="n">
        <v>2000.0</v>
      </c>
      <c r="J29" s="6" t="s">
        <v>123</v>
      </c>
      <c r="K29" s="7" t="s">
        <v>124</v>
      </c>
      <c r="L29" s="6" t="s">
        <v>123</v>
      </c>
      <c r="M29" s="7" t="s">
        <v>124</v>
      </c>
      <c r="N29" s="6"/>
      <c r="O29" s="7"/>
      <c r="P29" s="6" t="s">
        <v>123</v>
      </c>
      <c r="Q29" s="7" t="s">
        <v>124</v>
      </c>
      <c r="R29" s="6"/>
      <c r="S29" s="7"/>
      <c r="T29" s="6" t="s">
        <v>123</v>
      </c>
      <c r="U29" s="7" t="s">
        <v>124</v>
      </c>
      <c r="V29" s="8" t="n">
        <f>36</f>
        <v>36.0</v>
      </c>
      <c r="W29" s="9" t="n">
        <f>15</f>
        <v>15.0</v>
      </c>
      <c r="X29" s="9"/>
      <c r="Y29" s="9" t="n">
        <f>5400</f>
        <v>5400.0</v>
      </c>
      <c r="Z29" s="9"/>
      <c r="AA29" s="9" t="n">
        <f>15</f>
        <v>15.0</v>
      </c>
      <c r="AB29" s="6" t="s">
        <v>58</v>
      </c>
      <c r="AC29" s="10" t="str">
        <f>"－"</f>
        <v>－</v>
      </c>
      <c r="AD29" s="9" t="n">
        <f>1</f>
        <v>1.0</v>
      </c>
    </row>
    <row r="30">
      <c r="A30" s="3" t="s">
        <v>50</v>
      </c>
      <c r="B30" s="3" t="s">
        <v>51</v>
      </c>
      <c r="C30" s="43" t="s">
        <v>52</v>
      </c>
      <c r="D30" s="43" t="s">
        <v>53</v>
      </c>
      <c r="E30" s="3" t="s">
        <v>104</v>
      </c>
      <c r="F30" s="3"/>
      <c r="G30" s="3" t="s">
        <v>88</v>
      </c>
      <c r="H30" s="4" t="s">
        <v>89</v>
      </c>
      <c r="I30" s="5" t="n">
        <v>2000.0</v>
      </c>
      <c r="J30" s="6" t="s">
        <v>92</v>
      </c>
      <c r="K30" s="7" t="s">
        <v>125</v>
      </c>
      <c r="L30" s="6" t="s">
        <v>92</v>
      </c>
      <c r="M30" s="7" t="s">
        <v>125</v>
      </c>
      <c r="N30" s="6"/>
      <c r="O30" s="7"/>
      <c r="P30" s="6" t="s">
        <v>92</v>
      </c>
      <c r="Q30" s="7" t="s">
        <v>125</v>
      </c>
      <c r="R30" s="6"/>
      <c r="S30" s="7"/>
      <c r="T30" s="6" t="s">
        <v>92</v>
      </c>
      <c r="U30" s="7" t="s">
        <v>125</v>
      </c>
      <c r="V30" s="8" t="n">
        <f>65</f>
        <v>65.0</v>
      </c>
      <c r="W30" s="9" t="n">
        <f>9</f>
        <v>9.0</v>
      </c>
      <c r="X30" s="9"/>
      <c r="Y30" s="9" t="n">
        <f>5850</f>
        <v>5850.0</v>
      </c>
      <c r="Z30" s="9"/>
      <c r="AA30" s="9" t="str">
        <f>"－"</f>
        <v>－</v>
      </c>
      <c r="AB30" s="6" t="s">
        <v>58</v>
      </c>
      <c r="AC30" s="10" t="n">
        <f>9</f>
        <v>9.0</v>
      </c>
      <c r="AD30" s="9" t="n">
        <f>1</f>
        <v>1.0</v>
      </c>
    </row>
    <row r="31">
      <c r="A31" s="3" t="s">
        <v>50</v>
      </c>
      <c r="B31" s="3" t="s">
        <v>51</v>
      </c>
      <c r="C31" s="43" t="s">
        <v>52</v>
      </c>
      <c r="D31" s="43" t="s">
        <v>53</v>
      </c>
      <c r="E31" s="3" t="s">
        <v>104</v>
      </c>
      <c r="F31" s="3"/>
      <c r="G31" s="3" t="s">
        <v>96</v>
      </c>
      <c r="H31" s="4" t="s">
        <v>97</v>
      </c>
      <c r="I31" s="5" t="n">
        <v>2000.0</v>
      </c>
      <c r="J31" s="6" t="s">
        <v>98</v>
      </c>
      <c r="K31" s="7" t="s">
        <v>126</v>
      </c>
      <c r="L31" s="6" t="s">
        <v>98</v>
      </c>
      <c r="M31" s="7" t="s">
        <v>126</v>
      </c>
      <c r="N31" s="6"/>
      <c r="O31" s="7"/>
      <c r="P31" s="6" t="s">
        <v>98</v>
      </c>
      <c r="Q31" s="7" t="s">
        <v>126</v>
      </c>
      <c r="R31" s="6"/>
      <c r="S31" s="7"/>
      <c r="T31" s="6" t="s">
        <v>98</v>
      </c>
      <c r="U31" s="7" t="s">
        <v>126</v>
      </c>
      <c r="V31" s="8" t="n">
        <f>56</f>
        <v>56.0</v>
      </c>
      <c r="W31" s="9" t="n">
        <f>8</f>
        <v>8.0</v>
      </c>
      <c r="X31" s="9"/>
      <c r="Y31" s="9" t="n">
        <f>4480</f>
        <v>4480.0</v>
      </c>
      <c r="Z31" s="9"/>
      <c r="AA31" s="9" t="n">
        <f>8</f>
        <v>8.0</v>
      </c>
      <c r="AB31" s="6" t="s">
        <v>58</v>
      </c>
      <c r="AC31" s="10" t="str">
        <f>"－"</f>
        <v>－</v>
      </c>
      <c r="AD31" s="9" t="n">
        <f>1</f>
        <v>1.0</v>
      </c>
    </row>
    <row r="32">
      <c r="A32" s="3" t="s">
        <v>50</v>
      </c>
      <c r="B32" s="3" t="s">
        <v>51</v>
      </c>
      <c r="C32" s="43" t="s">
        <v>52</v>
      </c>
      <c r="D32" s="43" t="s">
        <v>53</v>
      </c>
      <c r="E32" s="3" t="s">
        <v>104</v>
      </c>
      <c r="F32" s="3"/>
      <c r="G32" s="3" t="s">
        <v>127</v>
      </c>
      <c r="H32" s="4" t="s">
        <v>128</v>
      </c>
      <c r="I32" s="5" t="n">
        <v>2000.0</v>
      </c>
      <c r="J32" s="6" t="s">
        <v>129</v>
      </c>
      <c r="K32" s="7" t="s">
        <v>115</v>
      </c>
      <c r="L32" s="6" t="s">
        <v>129</v>
      </c>
      <c r="M32" s="7" t="s">
        <v>115</v>
      </c>
      <c r="N32" s="6"/>
      <c r="O32" s="7"/>
      <c r="P32" s="6" t="s">
        <v>129</v>
      </c>
      <c r="Q32" s="7" t="s">
        <v>115</v>
      </c>
      <c r="R32" s="6"/>
      <c r="S32" s="7"/>
      <c r="T32" s="6" t="s">
        <v>129</v>
      </c>
      <c r="U32" s="7" t="s">
        <v>115</v>
      </c>
      <c r="V32" s="8" t="n">
        <f>50</f>
        <v>50.0</v>
      </c>
      <c r="W32" s="9" t="n">
        <f>12</f>
        <v>12.0</v>
      </c>
      <c r="X32" s="9"/>
      <c r="Y32" s="9" t="n">
        <f>6000</f>
        <v>6000.0</v>
      </c>
      <c r="Z32" s="9"/>
      <c r="AA32" s="9" t="n">
        <f>12</f>
        <v>12.0</v>
      </c>
      <c r="AB32" s="6" t="s">
        <v>58</v>
      </c>
      <c r="AC32" s="10" t="str">
        <f>"－"</f>
        <v>－</v>
      </c>
      <c r="AD32" s="9" t="n">
        <f>1</f>
        <v>1.0</v>
      </c>
    </row>
    <row r="33">
      <c r="A33" s="3" t="s">
        <v>50</v>
      </c>
      <c r="B33" s="3" t="s">
        <v>51</v>
      </c>
      <c r="C33" s="43" t="s">
        <v>52</v>
      </c>
      <c r="D33" s="43" t="s">
        <v>53</v>
      </c>
      <c r="E33" s="3" t="s">
        <v>104</v>
      </c>
      <c r="F33" s="3"/>
      <c r="G33" s="3" t="s">
        <v>100</v>
      </c>
      <c r="H33" s="4" t="s">
        <v>101</v>
      </c>
      <c r="I33" s="5" t="n">
        <v>2000.0</v>
      </c>
      <c r="J33" s="6" t="s">
        <v>102</v>
      </c>
      <c r="K33" s="7" t="s">
        <v>130</v>
      </c>
      <c r="L33" s="6" t="s">
        <v>102</v>
      </c>
      <c r="M33" s="7" t="s">
        <v>130</v>
      </c>
      <c r="N33" s="6"/>
      <c r="O33" s="7"/>
      <c r="P33" s="6" t="s">
        <v>102</v>
      </c>
      <c r="Q33" s="7" t="s">
        <v>130</v>
      </c>
      <c r="R33" s="6"/>
      <c r="S33" s="7"/>
      <c r="T33" s="6" t="s">
        <v>102</v>
      </c>
      <c r="U33" s="7" t="s">
        <v>130</v>
      </c>
      <c r="V33" s="8" t="n">
        <f>67.5</f>
        <v>67.5</v>
      </c>
      <c r="W33" s="9" t="n">
        <f>10</f>
        <v>10.0</v>
      </c>
      <c r="X33" s="9"/>
      <c r="Y33" s="9" t="n">
        <f>6750</f>
        <v>6750.0</v>
      </c>
      <c r="Z33" s="9"/>
      <c r="AA33" s="9" t="str">
        <f>"－"</f>
        <v>－</v>
      </c>
      <c r="AB33" s="6"/>
      <c r="AC33" s="10" t="n">
        <f>10</f>
        <v>10.0</v>
      </c>
      <c r="AD33" s="9" t="n">
        <f>1</f>
        <v>1.0</v>
      </c>
    </row>
    <row r="34">
      <c r="A34" s="3" t="s">
        <v>50</v>
      </c>
      <c r="B34" s="3" t="s">
        <v>131</v>
      </c>
      <c r="C34" s="43" t="s">
        <v>132</v>
      </c>
      <c r="D34" s="43" t="s">
        <v>133</v>
      </c>
      <c r="E34" s="3" t="s">
        <v>54</v>
      </c>
      <c r="F34" s="3"/>
      <c r="G34" s="3" t="s">
        <v>55</v>
      </c>
      <c r="H34" s="4" t="s">
        <v>134</v>
      </c>
      <c r="I34" s="5" t="n">
        <v>27500.0</v>
      </c>
      <c r="J34" s="6"/>
      <c r="K34" s="7" t="s">
        <v>57</v>
      </c>
      <c r="L34" s="6"/>
      <c r="M34" s="7" t="s">
        <v>57</v>
      </c>
      <c r="N34" s="6"/>
      <c r="O34" s="7"/>
      <c r="P34" s="6"/>
      <c r="Q34" s="7" t="s">
        <v>57</v>
      </c>
      <c r="R34" s="6"/>
      <c r="S34" s="7"/>
      <c r="T34" s="6"/>
      <c r="U34" s="7" t="s">
        <v>57</v>
      </c>
      <c r="V34" s="8" t="str">
        <f>"－"</f>
        <v>－</v>
      </c>
      <c r="W34" s="9" t="str">
        <f>"－"</f>
        <v>－</v>
      </c>
      <c r="X34" s="9"/>
      <c r="Y34" s="9" t="str">
        <f>"－"</f>
        <v>－</v>
      </c>
      <c r="Z34" s="9"/>
      <c r="AA34" s="9" t="str">
        <f>"－"</f>
        <v>－</v>
      </c>
      <c r="AB34" s="6" t="s">
        <v>58</v>
      </c>
      <c r="AC34" s="10" t="n">
        <f>10</f>
        <v>10.0</v>
      </c>
      <c r="AD34" s="9" t="str">
        <f>"－"</f>
        <v>－</v>
      </c>
    </row>
    <row r="35">
      <c r="A35" s="3" t="s">
        <v>50</v>
      </c>
      <c r="B35" s="3" t="s">
        <v>131</v>
      </c>
      <c r="C35" s="43" t="s">
        <v>132</v>
      </c>
      <c r="D35" s="43" t="s">
        <v>133</v>
      </c>
      <c r="E35" s="3" t="s">
        <v>54</v>
      </c>
      <c r="F35" s="3"/>
      <c r="G35" s="3" t="s">
        <v>55</v>
      </c>
      <c r="H35" s="4" t="s">
        <v>135</v>
      </c>
      <c r="I35" s="5" t="n">
        <v>28000.0</v>
      </c>
      <c r="J35" s="6"/>
      <c r="K35" s="7" t="s">
        <v>57</v>
      </c>
      <c r="L35" s="6"/>
      <c r="M35" s="7" t="s">
        <v>57</v>
      </c>
      <c r="N35" s="6"/>
      <c r="O35" s="7"/>
      <c r="P35" s="6"/>
      <c r="Q35" s="7" t="s">
        <v>57</v>
      </c>
      <c r="R35" s="6"/>
      <c r="S35" s="7"/>
      <c r="T35" s="6"/>
      <c r="U35" s="7" t="s">
        <v>57</v>
      </c>
      <c r="V35" s="8" t="str">
        <f>"－"</f>
        <v>－</v>
      </c>
      <c r="W35" s="9" t="str">
        <f>"－"</f>
        <v>－</v>
      </c>
      <c r="X35" s="9"/>
      <c r="Y35" s="9" t="str">
        <f>"－"</f>
        <v>－</v>
      </c>
      <c r="Z35" s="9"/>
      <c r="AA35" s="9" t="str">
        <f>"－"</f>
        <v>－</v>
      </c>
      <c r="AB35" s="6" t="s">
        <v>58</v>
      </c>
      <c r="AC35" s="10" t="n">
        <f>57</f>
        <v>57.0</v>
      </c>
      <c r="AD35" s="9" t="str">
        <f>"－"</f>
        <v>－</v>
      </c>
    </row>
    <row r="36">
      <c r="A36" s="3" t="s">
        <v>50</v>
      </c>
      <c r="B36" s="3" t="s">
        <v>131</v>
      </c>
      <c r="C36" s="43" t="s">
        <v>132</v>
      </c>
      <c r="D36" s="43" t="s">
        <v>133</v>
      </c>
      <c r="E36" s="3" t="s">
        <v>54</v>
      </c>
      <c r="F36" s="3"/>
      <c r="G36" s="3" t="s">
        <v>55</v>
      </c>
      <c r="H36" s="4" t="s">
        <v>136</v>
      </c>
      <c r="I36" s="5" t="n">
        <v>28500.0</v>
      </c>
      <c r="J36" s="6" t="s">
        <v>137</v>
      </c>
      <c r="K36" s="7" t="s">
        <v>138</v>
      </c>
      <c r="L36" s="6" t="s">
        <v>137</v>
      </c>
      <c r="M36" s="7" t="s">
        <v>138</v>
      </c>
      <c r="N36" s="6"/>
      <c r="O36" s="7"/>
      <c r="P36" s="6" t="s">
        <v>137</v>
      </c>
      <c r="Q36" s="7" t="s">
        <v>138</v>
      </c>
      <c r="R36" s="6"/>
      <c r="S36" s="7"/>
      <c r="T36" s="6" t="s">
        <v>137</v>
      </c>
      <c r="U36" s="7" t="s">
        <v>138</v>
      </c>
      <c r="V36" s="8" t="n">
        <f>13</f>
        <v>13.0</v>
      </c>
      <c r="W36" s="9" t="n">
        <f>1080</f>
        <v>1080.0</v>
      </c>
      <c r="X36" s="9"/>
      <c r="Y36" s="9" t="n">
        <f>14040</f>
        <v>14040.0</v>
      </c>
      <c r="Z36" s="9"/>
      <c r="AA36" s="9" t="str">
        <f>"－"</f>
        <v>－</v>
      </c>
      <c r="AB36" s="6" t="s">
        <v>58</v>
      </c>
      <c r="AC36" s="10" t="n">
        <f>157</f>
        <v>157.0</v>
      </c>
      <c r="AD36" s="9" t="n">
        <f>1</f>
        <v>1.0</v>
      </c>
    </row>
    <row r="37">
      <c r="A37" s="3" t="s">
        <v>50</v>
      </c>
      <c r="B37" s="3" t="s">
        <v>131</v>
      </c>
      <c r="C37" s="43" t="s">
        <v>132</v>
      </c>
      <c r="D37" s="43" t="s">
        <v>133</v>
      </c>
      <c r="E37" s="3" t="s">
        <v>54</v>
      </c>
      <c r="F37" s="3"/>
      <c r="G37" s="3" t="s">
        <v>55</v>
      </c>
      <c r="H37" s="4" t="s">
        <v>56</v>
      </c>
      <c r="I37" s="5" t="n">
        <v>29000.0</v>
      </c>
      <c r="J37" s="6" t="s">
        <v>139</v>
      </c>
      <c r="K37" s="7" t="s">
        <v>103</v>
      </c>
      <c r="L37" s="6" t="s">
        <v>139</v>
      </c>
      <c r="M37" s="7" t="s">
        <v>140</v>
      </c>
      <c r="N37" s="6"/>
      <c r="O37" s="7"/>
      <c r="P37" s="6" t="s">
        <v>139</v>
      </c>
      <c r="Q37" s="7" t="s">
        <v>103</v>
      </c>
      <c r="R37" s="6"/>
      <c r="S37" s="7"/>
      <c r="T37" s="6" t="s">
        <v>139</v>
      </c>
      <c r="U37" s="7" t="s">
        <v>140</v>
      </c>
      <c r="V37" s="8" t="n">
        <f>134</f>
        <v>134.0</v>
      </c>
      <c r="W37" s="9" t="n">
        <f>2010</f>
        <v>2010.0</v>
      </c>
      <c r="X37" s="9"/>
      <c r="Y37" s="9" t="n">
        <f>71340</f>
        <v>71340.0</v>
      </c>
      <c r="Z37" s="9"/>
      <c r="AA37" s="9" t="str">
        <f>"－"</f>
        <v>－</v>
      </c>
      <c r="AB37" s="6" t="s">
        <v>58</v>
      </c>
      <c r="AC37" s="10" t="n">
        <f>273</f>
        <v>273.0</v>
      </c>
      <c r="AD37" s="9" t="n">
        <f>1</f>
        <v>1.0</v>
      </c>
    </row>
    <row r="38">
      <c r="A38" s="3" t="s">
        <v>50</v>
      </c>
      <c r="B38" s="3" t="s">
        <v>131</v>
      </c>
      <c r="C38" s="43" t="s">
        <v>132</v>
      </c>
      <c r="D38" s="43" t="s">
        <v>133</v>
      </c>
      <c r="E38" s="3" t="s">
        <v>54</v>
      </c>
      <c r="F38" s="3"/>
      <c r="G38" s="3" t="s">
        <v>55</v>
      </c>
      <c r="H38" s="4" t="s">
        <v>56</v>
      </c>
      <c r="I38" s="5" t="n">
        <v>29500.0</v>
      </c>
      <c r="J38" s="6" t="s">
        <v>139</v>
      </c>
      <c r="K38" s="7" t="s">
        <v>141</v>
      </c>
      <c r="L38" s="6" t="s">
        <v>142</v>
      </c>
      <c r="M38" s="7" t="s">
        <v>143</v>
      </c>
      <c r="N38" s="6"/>
      <c r="O38" s="7"/>
      <c r="P38" s="6" t="s">
        <v>139</v>
      </c>
      <c r="Q38" s="7" t="s">
        <v>141</v>
      </c>
      <c r="R38" s="6"/>
      <c r="S38" s="7"/>
      <c r="T38" s="6" t="s">
        <v>142</v>
      </c>
      <c r="U38" s="7" t="s">
        <v>143</v>
      </c>
      <c r="V38" s="8" t="n">
        <f>220</f>
        <v>220.0</v>
      </c>
      <c r="W38" s="9" t="n">
        <f>4000</f>
        <v>4000.0</v>
      </c>
      <c r="X38" s="9"/>
      <c r="Y38" s="9" t="n">
        <f>880000</f>
        <v>880000.0</v>
      </c>
      <c r="Z38" s="9"/>
      <c r="AA38" s="9" t="str">
        <f>"－"</f>
        <v>－</v>
      </c>
      <c r="AB38" s="6" t="s">
        <v>58</v>
      </c>
      <c r="AC38" s="10" t="n">
        <f>100</f>
        <v>100.0</v>
      </c>
      <c r="AD38" s="9" t="n">
        <f>2</f>
        <v>2.0</v>
      </c>
    </row>
    <row r="39">
      <c r="A39" s="3" t="s">
        <v>50</v>
      </c>
      <c r="B39" s="3" t="s">
        <v>131</v>
      </c>
      <c r="C39" s="43" t="s">
        <v>132</v>
      </c>
      <c r="D39" s="43" t="s">
        <v>133</v>
      </c>
      <c r="E39" s="3" t="s">
        <v>54</v>
      </c>
      <c r="F39" s="3"/>
      <c r="G39" s="3" t="s">
        <v>55</v>
      </c>
      <c r="H39" s="4" t="s">
        <v>56</v>
      </c>
      <c r="I39" s="5" t="n">
        <v>30000.0</v>
      </c>
      <c r="J39" s="6"/>
      <c r="K39" s="7" t="s">
        <v>57</v>
      </c>
      <c r="L39" s="6"/>
      <c r="M39" s="7" t="s">
        <v>57</v>
      </c>
      <c r="N39" s="6"/>
      <c r="O39" s="7"/>
      <c r="P39" s="6"/>
      <c r="Q39" s="7" t="s">
        <v>57</v>
      </c>
      <c r="R39" s="6"/>
      <c r="S39" s="7"/>
      <c r="T39" s="6"/>
      <c r="U39" s="7" t="s">
        <v>57</v>
      </c>
      <c r="V39" s="8" t="str">
        <f>"－"</f>
        <v>－</v>
      </c>
      <c r="W39" s="9" t="str">
        <f>"－"</f>
        <v>－</v>
      </c>
      <c r="X39" s="9"/>
      <c r="Y39" s="9" t="str">
        <f>"－"</f>
        <v>－</v>
      </c>
      <c r="Z39" s="9"/>
      <c r="AA39" s="9" t="n">
        <f>1</f>
        <v>1.0</v>
      </c>
      <c r="AB39" s="6" t="s">
        <v>58</v>
      </c>
      <c r="AC39" s="10" t="str">
        <f>"－"</f>
        <v>－</v>
      </c>
      <c r="AD39" s="9" t="str">
        <f>"－"</f>
        <v>－</v>
      </c>
    </row>
    <row r="40">
      <c r="A40" s="3" t="s">
        <v>50</v>
      </c>
      <c r="B40" s="3" t="s">
        <v>131</v>
      </c>
      <c r="C40" s="43" t="s">
        <v>132</v>
      </c>
      <c r="D40" s="43" t="s">
        <v>133</v>
      </c>
      <c r="E40" s="3" t="s">
        <v>54</v>
      </c>
      <c r="F40" s="3"/>
      <c r="G40" s="3" t="s">
        <v>59</v>
      </c>
      <c r="H40" s="4" t="s">
        <v>144</v>
      </c>
      <c r="I40" s="5" t="n">
        <v>27000.0</v>
      </c>
      <c r="J40" s="6" t="s">
        <v>145</v>
      </c>
      <c r="K40" s="7" t="s">
        <v>146</v>
      </c>
      <c r="L40" s="6" t="s">
        <v>145</v>
      </c>
      <c r="M40" s="7" t="s">
        <v>146</v>
      </c>
      <c r="N40" s="6"/>
      <c r="O40" s="7"/>
      <c r="P40" s="6" t="s">
        <v>147</v>
      </c>
      <c r="Q40" s="7" t="s">
        <v>148</v>
      </c>
      <c r="R40" s="6"/>
      <c r="S40" s="7"/>
      <c r="T40" s="6" t="s">
        <v>147</v>
      </c>
      <c r="U40" s="7" t="s">
        <v>148</v>
      </c>
      <c r="V40" s="8" t="n">
        <f>260.75</f>
        <v>260.75</v>
      </c>
      <c r="W40" s="9" t="n">
        <f>4110</f>
        <v>4110.0</v>
      </c>
      <c r="X40" s="9"/>
      <c r="Y40" s="9" t="n">
        <f>1314420</f>
        <v>1314420.0</v>
      </c>
      <c r="Z40" s="9"/>
      <c r="AA40" s="9" t="str">
        <f>"－"</f>
        <v>－</v>
      </c>
      <c r="AB40" s="6" t="s">
        <v>58</v>
      </c>
      <c r="AC40" s="10" t="n">
        <f>10</f>
        <v>10.0</v>
      </c>
      <c r="AD40" s="9" t="n">
        <f>4</f>
        <v>4.0</v>
      </c>
    </row>
    <row r="41">
      <c r="A41" s="3" t="s">
        <v>50</v>
      </c>
      <c r="B41" s="3" t="s">
        <v>131</v>
      </c>
      <c r="C41" s="43" t="s">
        <v>132</v>
      </c>
      <c r="D41" s="43" t="s">
        <v>133</v>
      </c>
      <c r="E41" s="3" t="s">
        <v>54</v>
      </c>
      <c r="F41" s="3"/>
      <c r="G41" s="3" t="s">
        <v>59</v>
      </c>
      <c r="H41" s="4" t="s">
        <v>149</v>
      </c>
      <c r="I41" s="5" t="n">
        <v>27500.0</v>
      </c>
      <c r="J41" s="6" t="s">
        <v>150</v>
      </c>
      <c r="K41" s="7" t="s">
        <v>151</v>
      </c>
      <c r="L41" s="6" t="s">
        <v>150</v>
      </c>
      <c r="M41" s="7" t="s">
        <v>151</v>
      </c>
      <c r="N41" s="6"/>
      <c r="O41" s="7"/>
      <c r="P41" s="6" t="s">
        <v>61</v>
      </c>
      <c r="Q41" s="7" t="s">
        <v>152</v>
      </c>
      <c r="R41" s="6"/>
      <c r="S41" s="7"/>
      <c r="T41" s="6" t="s">
        <v>61</v>
      </c>
      <c r="U41" s="7" t="s">
        <v>152</v>
      </c>
      <c r="V41" s="8" t="n">
        <f>288</f>
        <v>288.0</v>
      </c>
      <c r="W41" s="9" t="n">
        <f>90</f>
        <v>90.0</v>
      </c>
      <c r="X41" s="9"/>
      <c r="Y41" s="9" t="n">
        <f>25920</f>
        <v>25920.0</v>
      </c>
      <c r="Z41" s="9"/>
      <c r="AA41" s="9" t="str">
        <f>"－"</f>
        <v>－</v>
      </c>
      <c r="AB41" s="6" t="s">
        <v>58</v>
      </c>
      <c r="AC41" s="10" t="n">
        <f>30</f>
        <v>30.0</v>
      </c>
      <c r="AD41" s="9" t="n">
        <f>3</f>
        <v>3.0</v>
      </c>
    </row>
    <row r="42">
      <c r="A42" s="3" t="s">
        <v>50</v>
      </c>
      <c r="B42" s="3" t="s">
        <v>131</v>
      </c>
      <c r="C42" s="43" t="s">
        <v>132</v>
      </c>
      <c r="D42" s="43" t="s">
        <v>133</v>
      </c>
      <c r="E42" s="3" t="s">
        <v>54</v>
      </c>
      <c r="F42" s="3"/>
      <c r="G42" s="3" t="s">
        <v>59</v>
      </c>
      <c r="H42" s="4" t="s">
        <v>153</v>
      </c>
      <c r="I42" s="5" t="n">
        <v>28000.0</v>
      </c>
      <c r="J42" s="6" t="s">
        <v>154</v>
      </c>
      <c r="K42" s="7" t="s">
        <v>155</v>
      </c>
      <c r="L42" s="6" t="s">
        <v>156</v>
      </c>
      <c r="M42" s="7" t="s">
        <v>157</v>
      </c>
      <c r="N42" s="6"/>
      <c r="O42" s="7"/>
      <c r="P42" s="6" t="s">
        <v>158</v>
      </c>
      <c r="Q42" s="7" t="s">
        <v>159</v>
      </c>
      <c r="R42" s="6"/>
      <c r="S42" s="7"/>
      <c r="T42" s="6" t="s">
        <v>158</v>
      </c>
      <c r="U42" s="7" t="s">
        <v>159</v>
      </c>
      <c r="V42" s="8" t="n">
        <f>227.8</f>
        <v>227.8</v>
      </c>
      <c r="W42" s="9" t="n">
        <f>2380</f>
        <v>2380.0</v>
      </c>
      <c r="X42" s="9"/>
      <c r="Y42" s="9" t="n">
        <f>370500</f>
        <v>370500.0</v>
      </c>
      <c r="Z42" s="9"/>
      <c r="AA42" s="9" t="str">
        <f>"－"</f>
        <v>－</v>
      </c>
      <c r="AB42" s="6" t="s">
        <v>58</v>
      </c>
      <c r="AC42" s="10" t="n">
        <f>130</f>
        <v>130.0</v>
      </c>
      <c r="AD42" s="9" t="n">
        <f>5</f>
        <v>5.0</v>
      </c>
    </row>
    <row r="43">
      <c r="A43" s="3" t="s">
        <v>50</v>
      </c>
      <c r="B43" s="3" t="s">
        <v>131</v>
      </c>
      <c r="C43" s="43" t="s">
        <v>132</v>
      </c>
      <c r="D43" s="43" t="s">
        <v>133</v>
      </c>
      <c r="E43" s="3" t="s">
        <v>54</v>
      </c>
      <c r="F43" s="3"/>
      <c r="G43" s="3" t="s">
        <v>59</v>
      </c>
      <c r="H43" s="4" t="s">
        <v>60</v>
      </c>
      <c r="I43" s="5" t="n">
        <v>28500.0</v>
      </c>
      <c r="J43" s="6" t="s">
        <v>142</v>
      </c>
      <c r="K43" s="7" t="s">
        <v>160</v>
      </c>
      <c r="L43" s="6" t="s">
        <v>61</v>
      </c>
      <c r="M43" s="7" t="s">
        <v>161</v>
      </c>
      <c r="N43" s="6"/>
      <c r="O43" s="7"/>
      <c r="P43" s="6" t="s">
        <v>142</v>
      </c>
      <c r="Q43" s="7" t="s">
        <v>160</v>
      </c>
      <c r="R43" s="6"/>
      <c r="S43" s="7"/>
      <c r="T43" s="6" t="s">
        <v>61</v>
      </c>
      <c r="U43" s="7" t="s">
        <v>161</v>
      </c>
      <c r="V43" s="8" t="n">
        <f>361.33</f>
        <v>361.33</v>
      </c>
      <c r="W43" s="9" t="n">
        <f>430</f>
        <v>430.0</v>
      </c>
      <c r="X43" s="9"/>
      <c r="Y43" s="9" t="n">
        <f>162780</f>
        <v>162780.0</v>
      </c>
      <c r="Z43" s="9"/>
      <c r="AA43" s="9" t="n">
        <f>80</f>
        <v>80.0</v>
      </c>
      <c r="AB43" s="6" t="s">
        <v>58</v>
      </c>
      <c r="AC43" s="10" t="str">
        <f>"－"</f>
        <v>－</v>
      </c>
      <c r="AD43" s="9" t="n">
        <f>3</f>
        <v>3.0</v>
      </c>
    </row>
    <row r="44">
      <c r="A44" s="3" t="s">
        <v>50</v>
      </c>
      <c r="B44" s="3" t="s">
        <v>131</v>
      </c>
      <c r="C44" s="43" t="s">
        <v>132</v>
      </c>
      <c r="D44" s="43" t="s">
        <v>133</v>
      </c>
      <c r="E44" s="3" t="s">
        <v>54</v>
      </c>
      <c r="F44" s="3"/>
      <c r="G44" s="3" t="s">
        <v>59</v>
      </c>
      <c r="H44" s="4" t="s">
        <v>60</v>
      </c>
      <c r="I44" s="5" t="n">
        <v>29000.0</v>
      </c>
      <c r="J44" s="6" t="s">
        <v>162</v>
      </c>
      <c r="K44" s="7" t="s">
        <v>163</v>
      </c>
      <c r="L44" s="6" t="s">
        <v>65</v>
      </c>
      <c r="M44" s="7" t="s">
        <v>164</v>
      </c>
      <c r="N44" s="6"/>
      <c r="O44" s="7"/>
      <c r="P44" s="6" t="s">
        <v>162</v>
      </c>
      <c r="Q44" s="7" t="s">
        <v>163</v>
      </c>
      <c r="R44" s="6"/>
      <c r="S44" s="7"/>
      <c r="T44" s="6" t="s">
        <v>65</v>
      </c>
      <c r="U44" s="7" t="s">
        <v>164</v>
      </c>
      <c r="V44" s="8" t="n">
        <f>385</f>
        <v>385.0</v>
      </c>
      <c r="W44" s="9" t="n">
        <f>455</f>
        <v>455.0</v>
      </c>
      <c r="X44" s="9"/>
      <c r="Y44" s="9" t="n">
        <f>175960</f>
        <v>175960.0</v>
      </c>
      <c r="Z44" s="9"/>
      <c r="AA44" s="9" t="n">
        <f>455</f>
        <v>455.0</v>
      </c>
      <c r="AB44" s="6" t="s">
        <v>58</v>
      </c>
      <c r="AC44" s="10" t="str">
        <f>"－"</f>
        <v>－</v>
      </c>
      <c r="AD44" s="9" t="n">
        <f>4</f>
        <v>4.0</v>
      </c>
    </row>
    <row r="45">
      <c r="A45" s="3" t="s">
        <v>50</v>
      </c>
      <c r="B45" s="3" t="s">
        <v>131</v>
      </c>
      <c r="C45" s="43" t="s">
        <v>132</v>
      </c>
      <c r="D45" s="43" t="s">
        <v>133</v>
      </c>
      <c r="E45" s="3" t="s">
        <v>54</v>
      </c>
      <c r="F45" s="3"/>
      <c r="G45" s="3" t="s">
        <v>59</v>
      </c>
      <c r="H45" s="4" t="s">
        <v>60</v>
      </c>
      <c r="I45" s="5" t="n">
        <v>29500.0</v>
      </c>
      <c r="J45" s="6" t="s">
        <v>165</v>
      </c>
      <c r="K45" s="7" t="s">
        <v>166</v>
      </c>
      <c r="L45" s="6" t="s">
        <v>165</v>
      </c>
      <c r="M45" s="7" t="s">
        <v>166</v>
      </c>
      <c r="N45" s="6"/>
      <c r="O45" s="7"/>
      <c r="P45" s="6" t="s">
        <v>165</v>
      </c>
      <c r="Q45" s="7" t="s">
        <v>166</v>
      </c>
      <c r="R45" s="6"/>
      <c r="S45" s="7"/>
      <c r="T45" s="6" t="s">
        <v>165</v>
      </c>
      <c r="U45" s="7" t="s">
        <v>166</v>
      </c>
      <c r="V45" s="8" t="n">
        <f>622</f>
        <v>622.0</v>
      </c>
      <c r="W45" s="9" t="n">
        <f>30</f>
        <v>30.0</v>
      </c>
      <c r="X45" s="9"/>
      <c r="Y45" s="9" t="n">
        <f>18660</f>
        <v>18660.0</v>
      </c>
      <c r="Z45" s="9"/>
      <c r="AA45" s="9" t="n">
        <f>30</f>
        <v>30.0</v>
      </c>
      <c r="AB45" s="6" t="s">
        <v>58</v>
      </c>
      <c r="AC45" s="10" t="str">
        <f>"－"</f>
        <v>－</v>
      </c>
      <c r="AD45" s="9" t="n">
        <f>1</f>
        <v>1.0</v>
      </c>
    </row>
    <row r="46">
      <c r="A46" s="3" t="s">
        <v>50</v>
      </c>
      <c r="B46" s="3" t="s">
        <v>131</v>
      </c>
      <c r="C46" s="43" t="s">
        <v>132</v>
      </c>
      <c r="D46" s="43" t="s">
        <v>133</v>
      </c>
      <c r="E46" s="3" t="s">
        <v>54</v>
      </c>
      <c r="F46" s="3"/>
      <c r="G46" s="3" t="s">
        <v>63</v>
      </c>
      <c r="H46" s="4" t="s">
        <v>167</v>
      </c>
      <c r="I46" s="5" t="n">
        <v>26000.0</v>
      </c>
      <c r="J46" s="6" t="s">
        <v>168</v>
      </c>
      <c r="K46" s="7" t="s">
        <v>169</v>
      </c>
      <c r="L46" s="6" t="s">
        <v>170</v>
      </c>
      <c r="M46" s="7" t="s">
        <v>171</v>
      </c>
      <c r="N46" s="6"/>
      <c r="O46" s="7"/>
      <c r="P46" s="6" t="s">
        <v>107</v>
      </c>
      <c r="Q46" s="7" t="s">
        <v>140</v>
      </c>
      <c r="R46" s="6"/>
      <c r="S46" s="7"/>
      <c r="T46" s="6" t="s">
        <v>172</v>
      </c>
      <c r="U46" s="7" t="s">
        <v>173</v>
      </c>
      <c r="V46" s="8" t="n">
        <f>327.8</f>
        <v>327.8</v>
      </c>
      <c r="W46" s="9" t="n">
        <f>186</f>
        <v>186.0</v>
      </c>
      <c r="X46" s="9"/>
      <c r="Y46" s="9" t="n">
        <f>68234</f>
        <v>68234.0</v>
      </c>
      <c r="Z46" s="9"/>
      <c r="AA46" s="9" t="str">
        <f>"－"</f>
        <v>－</v>
      </c>
      <c r="AB46" s="6" t="s">
        <v>58</v>
      </c>
      <c r="AC46" s="10" t="n">
        <f>166</f>
        <v>166.0</v>
      </c>
      <c r="AD46" s="9" t="n">
        <f>5</f>
        <v>5.0</v>
      </c>
    </row>
    <row r="47">
      <c r="A47" s="3" t="s">
        <v>50</v>
      </c>
      <c r="B47" s="3" t="s">
        <v>131</v>
      </c>
      <c r="C47" s="43" t="s">
        <v>132</v>
      </c>
      <c r="D47" s="43" t="s">
        <v>133</v>
      </c>
      <c r="E47" s="3" t="s">
        <v>54</v>
      </c>
      <c r="F47" s="3"/>
      <c r="G47" s="3" t="s">
        <v>63</v>
      </c>
      <c r="H47" s="4" t="s">
        <v>174</v>
      </c>
      <c r="I47" s="5" t="n">
        <v>26500.0</v>
      </c>
      <c r="J47" s="6" t="s">
        <v>145</v>
      </c>
      <c r="K47" s="7" t="s">
        <v>175</v>
      </c>
      <c r="L47" s="6" t="s">
        <v>172</v>
      </c>
      <c r="M47" s="7" t="s">
        <v>176</v>
      </c>
      <c r="N47" s="6"/>
      <c r="O47" s="7"/>
      <c r="P47" s="6" t="s">
        <v>177</v>
      </c>
      <c r="Q47" s="7" t="s">
        <v>178</v>
      </c>
      <c r="R47" s="6"/>
      <c r="S47" s="7"/>
      <c r="T47" s="6" t="s">
        <v>172</v>
      </c>
      <c r="U47" s="7" t="s">
        <v>176</v>
      </c>
      <c r="V47" s="8" t="n">
        <f>440.14</f>
        <v>440.14</v>
      </c>
      <c r="W47" s="9" t="n">
        <f>228</f>
        <v>228.0</v>
      </c>
      <c r="X47" s="9"/>
      <c r="Y47" s="9" t="n">
        <f>69660</f>
        <v>69660.0</v>
      </c>
      <c r="Z47" s="9"/>
      <c r="AA47" s="9" t="str">
        <f>"－"</f>
        <v>－</v>
      </c>
      <c r="AB47" s="6" t="s">
        <v>58</v>
      </c>
      <c r="AC47" s="10" t="n">
        <f>118</f>
        <v>118.0</v>
      </c>
      <c r="AD47" s="9" t="n">
        <f>7</f>
        <v>7.0</v>
      </c>
    </row>
    <row r="48">
      <c r="A48" s="3" t="s">
        <v>50</v>
      </c>
      <c r="B48" s="3" t="s">
        <v>131</v>
      </c>
      <c r="C48" s="43" t="s">
        <v>132</v>
      </c>
      <c r="D48" s="43" t="s">
        <v>133</v>
      </c>
      <c r="E48" s="3" t="s">
        <v>54</v>
      </c>
      <c r="F48" s="3"/>
      <c r="G48" s="3" t="s">
        <v>63</v>
      </c>
      <c r="H48" s="4" t="s">
        <v>179</v>
      </c>
      <c r="I48" s="5" t="n">
        <v>27000.0</v>
      </c>
      <c r="J48" s="6" t="s">
        <v>180</v>
      </c>
      <c r="K48" s="7" t="s">
        <v>181</v>
      </c>
      <c r="L48" s="6" t="s">
        <v>180</v>
      </c>
      <c r="M48" s="7" t="s">
        <v>182</v>
      </c>
      <c r="N48" s="6"/>
      <c r="O48" s="7"/>
      <c r="P48" s="6" t="s">
        <v>168</v>
      </c>
      <c r="Q48" s="7" t="s">
        <v>183</v>
      </c>
      <c r="R48" s="6"/>
      <c r="S48" s="7"/>
      <c r="T48" s="6" t="s">
        <v>177</v>
      </c>
      <c r="U48" s="7" t="s">
        <v>184</v>
      </c>
      <c r="V48" s="8" t="n">
        <f>379.38</f>
        <v>379.38</v>
      </c>
      <c r="W48" s="9" t="n">
        <f>1196</f>
        <v>1196.0</v>
      </c>
      <c r="X48" s="9"/>
      <c r="Y48" s="9" t="n">
        <f>425611</f>
        <v>425611.0</v>
      </c>
      <c r="Z48" s="9"/>
      <c r="AA48" s="9" t="n">
        <f>936</f>
        <v>936.0</v>
      </c>
      <c r="AB48" s="6" t="s">
        <v>58</v>
      </c>
      <c r="AC48" s="10" t="str">
        <f>"－"</f>
        <v>－</v>
      </c>
      <c r="AD48" s="9" t="n">
        <f>8</f>
        <v>8.0</v>
      </c>
    </row>
    <row r="49">
      <c r="A49" s="3" t="s">
        <v>50</v>
      </c>
      <c r="B49" s="3" t="s">
        <v>131</v>
      </c>
      <c r="C49" s="43" t="s">
        <v>132</v>
      </c>
      <c r="D49" s="43" t="s">
        <v>133</v>
      </c>
      <c r="E49" s="3" t="s">
        <v>54</v>
      </c>
      <c r="F49" s="3"/>
      <c r="G49" s="3" t="s">
        <v>63</v>
      </c>
      <c r="H49" s="4" t="s">
        <v>185</v>
      </c>
      <c r="I49" s="5" t="n">
        <v>27500.0</v>
      </c>
      <c r="J49" s="6" t="s">
        <v>105</v>
      </c>
      <c r="K49" s="7" t="s">
        <v>186</v>
      </c>
      <c r="L49" s="6" t="s">
        <v>105</v>
      </c>
      <c r="M49" s="7" t="s">
        <v>187</v>
      </c>
      <c r="N49" s="6"/>
      <c r="O49" s="7"/>
      <c r="P49" s="6" t="s">
        <v>188</v>
      </c>
      <c r="Q49" s="7" t="s">
        <v>189</v>
      </c>
      <c r="R49" s="6"/>
      <c r="S49" s="7"/>
      <c r="T49" s="6" t="s">
        <v>190</v>
      </c>
      <c r="U49" s="7" t="s">
        <v>191</v>
      </c>
      <c r="V49" s="8" t="n">
        <f>410.5</f>
        <v>410.5</v>
      </c>
      <c r="W49" s="9" t="n">
        <f>750</f>
        <v>750.0</v>
      </c>
      <c r="X49" s="9"/>
      <c r="Y49" s="9" t="n">
        <f>272980</f>
        <v>272980.0</v>
      </c>
      <c r="Z49" s="9"/>
      <c r="AA49" s="9" t="n">
        <f>630</f>
        <v>630.0</v>
      </c>
      <c r="AB49" s="6" t="s">
        <v>58</v>
      </c>
      <c r="AC49" s="10" t="str">
        <f>"－"</f>
        <v>－</v>
      </c>
      <c r="AD49" s="9" t="n">
        <f>6</f>
        <v>6.0</v>
      </c>
    </row>
    <row r="50">
      <c r="A50" s="3" t="s">
        <v>50</v>
      </c>
      <c r="B50" s="3" t="s">
        <v>131</v>
      </c>
      <c r="C50" s="43" t="s">
        <v>132</v>
      </c>
      <c r="D50" s="43" t="s">
        <v>133</v>
      </c>
      <c r="E50" s="3" t="s">
        <v>54</v>
      </c>
      <c r="F50" s="3"/>
      <c r="G50" s="3" t="s">
        <v>63</v>
      </c>
      <c r="H50" s="4" t="s">
        <v>64</v>
      </c>
      <c r="I50" s="5" t="n">
        <v>28000.0</v>
      </c>
      <c r="J50" s="6" t="s">
        <v>154</v>
      </c>
      <c r="K50" s="7" t="s">
        <v>192</v>
      </c>
      <c r="L50" s="6" t="s">
        <v>107</v>
      </c>
      <c r="M50" s="7" t="s">
        <v>193</v>
      </c>
      <c r="N50" s="6"/>
      <c r="O50" s="7"/>
      <c r="P50" s="6" t="s">
        <v>154</v>
      </c>
      <c r="Q50" s="7" t="s">
        <v>192</v>
      </c>
      <c r="R50" s="6"/>
      <c r="S50" s="7"/>
      <c r="T50" s="6" t="s">
        <v>107</v>
      </c>
      <c r="U50" s="7" t="s">
        <v>193</v>
      </c>
      <c r="V50" s="8" t="n">
        <f>706.5</f>
        <v>706.5</v>
      </c>
      <c r="W50" s="9" t="n">
        <f>4364</f>
        <v>4364.0</v>
      </c>
      <c r="X50" s="9"/>
      <c r="Y50" s="9" t="n">
        <f>3619668</f>
        <v>3619668.0</v>
      </c>
      <c r="Z50" s="9"/>
      <c r="AA50" s="9" t="n">
        <f>4</f>
        <v>4.0</v>
      </c>
      <c r="AB50" s="6" t="s">
        <v>58</v>
      </c>
      <c r="AC50" s="10" t="str">
        <f>"－"</f>
        <v>－</v>
      </c>
      <c r="AD50" s="9" t="n">
        <f>6</f>
        <v>6.0</v>
      </c>
    </row>
    <row r="51">
      <c r="A51" s="3" t="s">
        <v>50</v>
      </c>
      <c r="B51" s="3" t="s">
        <v>131</v>
      </c>
      <c r="C51" s="43" t="s">
        <v>132</v>
      </c>
      <c r="D51" s="43" t="s">
        <v>133</v>
      </c>
      <c r="E51" s="3" t="s">
        <v>54</v>
      </c>
      <c r="F51" s="3"/>
      <c r="G51" s="3" t="s">
        <v>63</v>
      </c>
      <c r="H51" s="4" t="s">
        <v>64</v>
      </c>
      <c r="I51" s="5" t="n">
        <v>28500.0</v>
      </c>
      <c r="J51" s="6" t="s">
        <v>154</v>
      </c>
      <c r="K51" s="7" t="s">
        <v>194</v>
      </c>
      <c r="L51" s="6" t="s">
        <v>195</v>
      </c>
      <c r="M51" s="7" t="s">
        <v>196</v>
      </c>
      <c r="N51" s="6"/>
      <c r="O51" s="7"/>
      <c r="P51" s="6" t="s">
        <v>154</v>
      </c>
      <c r="Q51" s="7" t="s">
        <v>194</v>
      </c>
      <c r="R51" s="6"/>
      <c r="S51" s="7"/>
      <c r="T51" s="6" t="s">
        <v>195</v>
      </c>
      <c r="U51" s="7" t="s">
        <v>196</v>
      </c>
      <c r="V51" s="8" t="n">
        <f>706.5</f>
        <v>706.5</v>
      </c>
      <c r="W51" s="9" t="n">
        <f>100</f>
        <v>100.0</v>
      </c>
      <c r="X51" s="9"/>
      <c r="Y51" s="9" t="n">
        <f>70650</f>
        <v>70650.0</v>
      </c>
      <c r="Z51" s="9"/>
      <c r="AA51" s="9" t="str">
        <f>"－"</f>
        <v>－</v>
      </c>
      <c r="AB51" s="6" t="s">
        <v>58</v>
      </c>
      <c r="AC51" s="10" t="str">
        <f>"－"</f>
        <v>－</v>
      </c>
      <c r="AD51" s="9" t="n">
        <f>2</f>
        <v>2.0</v>
      </c>
    </row>
    <row r="52">
      <c r="A52" s="3" t="s">
        <v>50</v>
      </c>
      <c r="B52" s="3" t="s">
        <v>131</v>
      </c>
      <c r="C52" s="43" t="s">
        <v>132</v>
      </c>
      <c r="D52" s="43" t="s">
        <v>133</v>
      </c>
      <c r="E52" s="3" t="s">
        <v>54</v>
      </c>
      <c r="F52" s="3"/>
      <c r="G52" s="3" t="s">
        <v>67</v>
      </c>
      <c r="H52" s="4" t="s">
        <v>197</v>
      </c>
      <c r="I52" s="5" t="n">
        <v>25000.0</v>
      </c>
      <c r="J52" s="6" t="s">
        <v>172</v>
      </c>
      <c r="K52" s="7" t="s">
        <v>198</v>
      </c>
      <c r="L52" s="6" t="s">
        <v>199</v>
      </c>
      <c r="M52" s="7" t="s">
        <v>200</v>
      </c>
      <c r="N52" s="6"/>
      <c r="O52" s="7"/>
      <c r="P52" s="6" t="s">
        <v>201</v>
      </c>
      <c r="Q52" s="7" t="s">
        <v>202</v>
      </c>
      <c r="R52" s="6"/>
      <c r="S52" s="7"/>
      <c r="T52" s="6" t="s">
        <v>201</v>
      </c>
      <c r="U52" s="7" t="s">
        <v>202</v>
      </c>
      <c r="V52" s="8" t="n">
        <f>447</f>
        <v>447.0</v>
      </c>
      <c r="W52" s="9" t="n">
        <f>183</f>
        <v>183.0</v>
      </c>
      <c r="X52" s="9"/>
      <c r="Y52" s="9" t="n">
        <f>67439</f>
        <v>67439.0</v>
      </c>
      <c r="Z52" s="9"/>
      <c r="AA52" s="9" t="str">
        <f>"－"</f>
        <v>－</v>
      </c>
      <c r="AB52" s="6" t="s">
        <v>58</v>
      </c>
      <c r="AC52" s="10" t="n">
        <f>43</f>
        <v>43.0</v>
      </c>
      <c r="AD52" s="9" t="n">
        <f>4</f>
        <v>4.0</v>
      </c>
    </row>
    <row r="53">
      <c r="A53" s="3" t="s">
        <v>50</v>
      </c>
      <c r="B53" s="3" t="s">
        <v>131</v>
      </c>
      <c r="C53" s="43" t="s">
        <v>132</v>
      </c>
      <c r="D53" s="43" t="s">
        <v>133</v>
      </c>
      <c r="E53" s="3" t="s">
        <v>54</v>
      </c>
      <c r="F53" s="3"/>
      <c r="G53" s="3" t="s">
        <v>67</v>
      </c>
      <c r="H53" s="4" t="s">
        <v>197</v>
      </c>
      <c r="I53" s="5" t="n">
        <v>25500.0</v>
      </c>
      <c r="J53" s="6" t="s">
        <v>203</v>
      </c>
      <c r="K53" s="7" t="s">
        <v>204</v>
      </c>
      <c r="L53" s="6" t="s">
        <v>203</v>
      </c>
      <c r="M53" s="7" t="s">
        <v>204</v>
      </c>
      <c r="N53" s="6"/>
      <c r="O53" s="7"/>
      <c r="P53" s="6" t="s">
        <v>205</v>
      </c>
      <c r="Q53" s="7" t="s">
        <v>206</v>
      </c>
      <c r="R53" s="6"/>
      <c r="S53" s="7"/>
      <c r="T53" s="6" t="s">
        <v>205</v>
      </c>
      <c r="U53" s="7" t="s">
        <v>206</v>
      </c>
      <c r="V53" s="8" t="n">
        <f>386.67</f>
        <v>386.67</v>
      </c>
      <c r="W53" s="9" t="n">
        <f>150</f>
        <v>150.0</v>
      </c>
      <c r="X53" s="9"/>
      <c r="Y53" s="9" t="n">
        <f>41600</f>
        <v>41600.0</v>
      </c>
      <c r="Z53" s="9"/>
      <c r="AA53" s="9" t="str">
        <f>"－"</f>
        <v>－</v>
      </c>
      <c r="AB53" s="6" t="s">
        <v>58</v>
      </c>
      <c r="AC53" s="10" t="n">
        <f>10</f>
        <v>10.0</v>
      </c>
      <c r="AD53" s="9" t="n">
        <f>3</f>
        <v>3.0</v>
      </c>
    </row>
    <row r="54">
      <c r="A54" s="3" t="s">
        <v>50</v>
      </c>
      <c r="B54" s="3" t="s">
        <v>131</v>
      </c>
      <c r="C54" s="43" t="s">
        <v>132</v>
      </c>
      <c r="D54" s="43" t="s">
        <v>133</v>
      </c>
      <c r="E54" s="3" t="s">
        <v>54</v>
      </c>
      <c r="F54" s="3"/>
      <c r="G54" s="3" t="s">
        <v>67</v>
      </c>
      <c r="H54" s="4" t="s">
        <v>68</v>
      </c>
      <c r="I54" s="5" t="n">
        <v>26000.0</v>
      </c>
      <c r="J54" s="6" t="s">
        <v>107</v>
      </c>
      <c r="K54" s="7" t="s">
        <v>207</v>
      </c>
      <c r="L54" s="6" t="s">
        <v>208</v>
      </c>
      <c r="M54" s="7" t="s">
        <v>209</v>
      </c>
      <c r="N54" s="6"/>
      <c r="O54" s="7"/>
      <c r="P54" s="6" t="s">
        <v>107</v>
      </c>
      <c r="Q54" s="7" t="s">
        <v>207</v>
      </c>
      <c r="R54" s="6"/>
      <c r="S54" s="7"/>
      <c r="T54" s="6" t="s">
        <v>210</v>
      </c>
      <c r="U54" s="7" t="s">
        <v>211</v>
      </c>
      <c r="V54" s="8" t="n">
        <f>620</f>
        <v>620.0</v>
      </c>
      <c r="W54" s="9" t="n">
        <f>4072</f>
        <v>4072.0</v>
      </c>
      <c r="X54" s="9"/>
      <c r="Y54" s="9" t="n">
        <f>2893566</f>
        <v>2893566.0</v>
      </c>
      <c r="Z54" s="9"/>
      <c r="AA54" s="9" t="str">
        <f>"－"</f>
        <v>－</v>
      </c>
      <c r="AB54" s="6" t="s">
        <v>58</v>
      </c>
      <c r="AC54" s="10" t="n">
        <f>70</f>
        <v>70.0</v>
      </c>
      <c r="AD54" s="9" t="n">
        <f>3</f>
        <v>3.0</v>
      </c>
    </row>
    <row r="55">
      <c r="A55" s="3" t="s">
        <v>50</v>
      </c>
      <c r="B55" s="3" t="s">
        <v>131</v>
      </c>
      <c r="C55" s="43" t="s">
        <v>132</v>
      </c>
      <c r="D55" s="43" t="s">
        <v>133</v>
      </c>
      <c r="E55" s="3" t="s">
        <v>54</v>
      </c>
      <c r="F55" s="3"/>
      <c r="G55" s="3" t="s">
        <v>67</v>
      </c>
      <c r="H55" s="4" t="s">
        <v>212</v>
      </c>
      <c r="I55" s="5" t="n">
        <v>26500.0</v>
      </c>
      <c r="J55" s="6" t="s">
        <v>213</v>
      </c>
      <c r="K55" s="7" t="s">
        <v>214</v>
      </c>
      <c r="L55" s="6" t="s">
        <v>213</v>
      </c>
      <c r="M55" s="7" t="s">
        <v>214</v>
      </c>
      <c r="N55" s="6"/>
      <c r="O55" s="7"/>
      <c r="P55" s="6" t="s">
        <v>177</v>
      </c>
      <c r="Q55" s="7" t="s">
        <v>215</v>
      </c>
      <c r="R55" s="6"/>
      <c r="S55" s="7"/>
      <c r="T55" s="6" t="s">
        <v>177</v>
      </c>
      <c r="U55" s="7" t="s">
        <v>215</v>
      </c>
      <c r="V55" s="8" t="n">
        <f>590.5</f>
        <v>590.5</v>
      </c>
      <c r="W55" s="9" t="n">
        <f>80</f>
        <v>80.0</v>
      </c>
      <c r="X55" s="9"/>
      <c r="Y55" s="9" t="n">
        <f>48250</f>
        <v>48250.0</v>
      </c>
      <c r="Z55" s="9"/>
      <c r="AA55" s="9" t="str">
        <f>"－"</f>
        <v>－</v>
      </c>
      <c r="AB55" s="6" t="s">
        <v>58</v>
      </c>
      <c r="AC55" s="10" t="n">
        <f>80</f>
        <v>80.0</v>
      </c>
      <c r="AD55" s="9" t="n">
        <f>2</f>
        <v>2.0</v>
      </c>
    </row>
    <row r="56">
      <c r="A56" s="3" t="s">
        <v>50</v>
      </c>
      <c r="B56" s="3" t="s">
        <v>131</v>
      </c>
      <c r="C56" s="43" t="s">
        <v>132</v>
      </c>
      <c r="D56" s="43" t="s">
        <v>133</v>
      </c>
      <c r="E56" s="3" t="s">
        <v>54</v>
      </c>
      <c r="F56" s="3"/>
      <c r="G56" s="3" t="s">
        <v>67</v>
      </c>
      <c r="H56" s="4" t="s">
        <v>216</v>
      </c>
      <c r="I56" s="5" t="n">
        <v>27000.0</v>
      </c>
      <c r="J56" s="6" t="s">
        <v>107</v>
      </c>
      <c r="K56" s="7" t="s">
        <v>217</v>
      </c>
      <c r="L56" s="6" t="s">
        <v>107</v>
      </c>
      <c r="M56" s="7" t="s">
        <v>217</v>
      </c>
      <c r="N56" s="6"/>
      <c r="O56" s="7"/>
      <c r="P56" s="6" t="s">
        <v>205</v>
      </c>
      <c r="Q56" s="7" t="s">
        <v>202</v>
      </c>
      <c r="R56" s="6"/>
      <c r="S56" s="7"/>
      <c r="T56" s="6" t="s">
        <v>205</v>
      </c>
      <c r="U56" s="7" t="s">
        <v>202</v>
      </c>
      <c r="V56" s="8" t="n">
        <f>216.67</f>
        <v>216.67</v>
      </c>
      <c r="W56" s="9" t="n">
        <f>4230</f>
        <v>4230.0</v>
      </c>
      <c r="X56" s="9"/>
      <c r="Y56" s="9" t="n">
        <f>615970</f>
        <v>615970.0</v>
      </c>
      <c r="Z56" s="9"/>
      <c r="AA56" s="9" t="str">
        <f>"－"</f>
        <v>－</v>
      </c>
      <c r="AB56" s="6" t="s">
        <v>58</v>
      </c>
      <c r="AC56" s="10" t="n">
        <f>1000</f>
        <v>1000.0</v>
      </c>
      <c r="AD56" s="9" t="n">
        <f>6</f>
        <v>6.0</v>
      </c>
    </row>
    <row r="57">
      <c r="A57" s="3" t="s">
        <v>50</v>
      </c>
      <c r="B57" s="3" t="s">
        <v>131</v>
      </c>
      <c r="C57" s="43" t="s">
        <v>132</v>
      </c>
      <c r="D57" s="43" t="s">
        <v>133</v>
      </c>
      <c r="E57" s="3" t="s">
        <v>54</v>
      </c>
      <c r="F57" s="3"/>
      <c r="G57" s="3" t="s">
        <v>67</v>
      </c>
      <c r="H57" s="4" t="s">
        <v>72</v>
      </c>
      <c r="I57" s="5" t="n">
        <v>27500.0</v>
      </c>
      <c r="J57" s="6" t="s">
        <v>107</v>
      </c>
      <c r="K57" s="7" t="s">
        <v>218</v>
      </c>
      <c r="L57" s="6" t="s">
        <v>107</v>
      </c>
      <c r="M57" s="7" t="s">
        <v>218</v>
      </c>
      <c r="N57" s="6"/>
      <c r="O57" s="7"/>
      <c r="P57" s="6" t="s">
        <v>219</v>
      </c>
      <c r="Q57" s="7" t="s">
        <v>220</v>
      </c>
      <c r="R57" s="6"/>
      <c r="S57" s="7"/>
      <c r="T57" s="6" t="s">
        <v>221</v>
      </c>
      <c r="U57" s="7" t="s">
        <v>222</v>
      </c>
      <c r="V57" s="8" t="n">
        <f>472.33</f>
        <v>472.33</v>
      </c>
      <c r="W57" s="9" t="n">
        <f>4010</f>
        <v>4010.0</v>
      </c>
      <c r="X57" s="9"/>
      <c r="Y57" s="9" t="n">
        <f>2436000</f>
        <v>2436000.0</v>
      </c>
      <c r="Z57" s="9"/>
      <c r="AA57" s="9" t="str">
        <f>"－"</f>
        <v>－</v>
      </c>
      <c r="AB57" s="6" t="s">
        <v>58</v>
      </c>
      <c r="AC57" s="10" t="n">
        <f>10</f>
        <v>10.0</v>
      </c>
      <c r="AD57" s="9" t="n">
        <f>3</f>
        <v>3.0</v>
      </c>
    </row>
    <row r="58">
      <c r="A58" s="3" t="s">
        <v>50</v>
      </c>
      <c r="B58" s="3" t="s">
        <v>131</v>
      </c>
      <c r="C58" s="43" t="s">
        <v>132</v>
      </c>
      <c r="D58" s="43" t="s">
        <v>133</v>
      </c>
      <c r="E58" s="3" t="s">
        <v>54</v>
      </c>
      <c r="F58" s="3"/>
      <c r="G58" s="3" t="s">
        <v>67</v>
      </c>
      <c r="H58" s="4" t="s">
        <v>72</v>
      </c>
      <c r="I58" s="5" t="n">
        <v>28000.0</v>
      </c>
      <c r="J58" s="6" t="s">
        <v>223</v>
      </c>
      <c r="K58" s="7" t="s">
        <v>224</v>
      </c>
      <c r="L58" s="6" t="s">
        <v>223</v>
      </c>
      <c r="M58" s="7" t="s">
        <v>224</v>
      </c>
      <c r="N58" s="6"/>
      <c r="O58" s="7"/>
      <c r="P58" s="6" t="s">
        <v>225</v>
      </c>
      <c r="Q58" s="7" t="s">
        <v>226</v>
      </c>
      <c r="R58" s="6"/>
      <c r="S58" s="7"/>
      <c r="T58" s="6" t="s">
        <v>78</v>
      </c>
      <c r="U58" s="7" t="s">
        <v>227</v>
      </c>
      <c r="V58" s="8" t="n">
        <f>207.75</f>
        <v>207.75</v>
      </c>
      <c r="W58" s="9" t="n">
        <f>14251</f>
        <v>14251.0</v>
      </c>
      <c r="X58" s="9"/>
      <c r="Y58" s="9" t="n">
        <f>3263754</f>
        <v>3263754.0</v>
      </c>
      <c r="Z58" s="9"/>
      <c r="AA58" s="9" t="str">
        <f>"－"</f>
        <v>－</v>
      </c>
      <c r="AB58" s="6" t="s">
        <v>58</v>
      </c>
      <c r="AC58" s="10" t="n">
        <f>251</f>
        <v>251.0</v>
      </c>
      <c r="AD58" s="9" t="n">
        <f>8</f>
        <v>8.0</v>
      </c>
    </row>
    <row r="59">
      <c r="A59" s="3" t="s">
        <v>50</v>
      </c>
      <c r="B59" s="3" t="s">
        <v>131</v>
      </c>
      <c r="C59" s="43" t="s">
        <v>132</v>
      </c>
      <c r="D59" s="43" t="s">
        <v>133</v>
      </c>
      <c r="E59" s="3" t="s">
        <v>54</v>
      </c>
      <c r="F59" s="3"/>
      <c r="G59" s="3" t="s">
        <v>67</v>
      </c>
      <c r="H59" s="4" t="s">
        <v>72</v>
      </c>
      <c r="I59" s="5" t="n">
        <v>28500.0</v>
      </c>
      <c r="J59" s="6" t="s">
        <v>228</v>
      </c>
      <c r="K59" s="7" t="s">
        <v>229</v>
      </c>
      <c r="L59" s="6" t="s">
        <v>230</v>
      </c>
      <c r="M59" s="7" t="s">
        <v>231</v>
      </c>
      <c r="N59" s="6"/>
      <c r="O59" s="7"/>
      <c r="P59" s="6" t="s">
        <v>228</v>
      </c>
      <c r="Q59" s="7" t="s">
        <v>229</v>
      </c>
      <c r="R59" s="6"/>
      <c r="S59" s="7"/>
      <c r="T59" s="6" t="s">
        <v>230</v>
      </c>
      <c r="U59" s="7" t="s">
        <v>231</v>
      </c>
      <c r="V59" s="8" t="n">
        <f>338</f>
        <v>338.0</v>
      </c>
      <c r="W59" s="9" t="n">
        <f>6000</f>
        <v>6000.0</v>
      </c>
      <c r="X59" s="9"/>
      <c r="Y59" s="9" t="n">
        <f>2028000</f>
        <v>2028000.0</v>
      </c>
      <c r="Z59" s="9"/>
      <c r="AA59" s="9" t="str">
        <f>"－"</f>
        <v>－</v>
      </c>
      <c r="AB59" s="6" t="s">
        <v>58</v>
      </c>
      <c r="AC59" s="10" t="str">
        <f>"－"</f>
        <v>－</v>
      </c>
      <c r="AD59" s="9" t="n">
        <f>2</f>
        <v>2.0</v>
      </c>
    </row>
    <row r="60">
      <c r="A60" s="3" t="s">
        <v>50</v>
      </c>
      <c r="B60" s="3" t="s">
        <v>131</v>
      </c>
      <c r="C60" s="43" t="s">
        <v>132</v>
      </c>
      <c r="D60" s="43" t="s">
        <v>133</v>
      </c>
      <c r="E60" s="3" t="s">
        <v>54</v>
      </c>
      <c r="F60" s="3"/>
      <c r="G60" s="3" t="s">
        <v>67</v>
      </c>
      <c r="H60" s="4" t="s">
        <v>72</v>
      </c>
      <c r="I60" s="5" t="n">
        <v>29000.0</v>
      </c>
      <c r="J60" s="6" t="s">
        <v>232</v>
      </c>
      <c r="K60" s="7" t="s">
        <v>233</v>
      </c>
      <c r="L60" s="6" t="s">
        <v>232</v>
      </c>
      <c r="M60" s="7" t="s">
        <v>233</v>
      </c>
      <c r="N60" s="6"/>
      <c r="O60" s="7"/>
      <c r="P60" s="6" t="s">
        <v>234</v>
      </c>
      <c r="Q60" s="7" t="s">
        <v>235</v>
      </c>
      <c r="R60" s="6"/>
      <c r="S60" s="7"/>
      <c r="T60" s="6" t="s">
        <v>234</v>
      </c>
      <c r="U60" s="7" t="s">
        <v>235</v>
      </c>
      <c r="V60" s="8" t="n">
        <f>271.5</f>
        <v>271.5</v>
      </c>
      <c r="W60" s="9" t="n">
        <f>200</f>
        <v>200.0</v>
      </c>
      <c r="X60" s="9"/>
      <c r="Y60" s="9" t="n">
        <f>54300</f>
        <v>54300.0</v>
      </c>
      <c r="Z60" s="9"/>
      <c r="AA60" s="9" t="str">
        <f>"－"</f>
        <v>－</v>
      </c>
      <c r="AB60" s="6" t="s">
        <v>58</v>
      </c>
      <c r="AC60" s="10" t="str">
        <f>"－"</f>
        <v>－</v>
      </c>
      <c r="AD60" s="9" t="n">
        <f>2</f>
        <v>2.0</v>
      </c>
    </row>
    <row r="61">
      <c r="A61" s="3" t="s">
        <v>50</v>
      </c>
      <c r="B61" s="3" t="s">
        <v>131</v>
      </c>
      <c r="C61" s="43" t="s">
        <v>132</v>
      </c>
      <c r="D61" s="43" t="s">
        <v>133</v>
      </c>
      <c r="E61" s="3" t="s">
        <v>54</v>
      </c>
      <c r="F61" s="3"/>
      <c r="G61" s="3" t="s">
        <v>112</v>
      </c>
      <c r="H61" s="4" t="s">
        <v>236</v>
      </c>
      <c r="I61" s="5" t="n">
        <v>25000.0</v>
      </c>
      <c r="J61" s="6" t="s">
        <v>69</v>
      </c>
      <c r="K61" s="7" t="s">
        <v>237</v>
      </c>
      <c r="L61" s="6" t="s">
        <v>69</v>
      </c>
      <c r="M61" s="7" t="s">
        <v>237</v>
      </c>
      <c r="N61" s="6"/>
      <c r="O61" s="7"/>
      <c r="P61" s="6" t="s">
        <v>69</v>
      </c>
      <c r="Q61" s="7" t="s">
        <v>237</v>
      </c>
      <c r="R61" s="6"/>
      <c r="S61" s="7"/>
      <c r="T61" s="6" t="s">
        <v>69</v>
      </c>
      <c r="U61" s="7" t="s">
        <v>237</v>
      </c>
      <c r="V61" s="8" t="n">
        <f>685</f>
        <v>685.0</v>
      </c>
      <c r="W61" s="9" t="n">
        <f>20</f>
        <v>20.0</v>
      </c>
      <c r="X61" s="9"/>
      <c r="Y61" s="9" t="n">
        <f>13700</f>
        <v>13700.0</v>
      </c>
      <c r="Z61" s="9"/>
      <c r="AA61" s="9" t="str">
        <f>"－"</f>
        <v>－</v>
      </c>
      <c r="AB61" s="6" t="s">
        <v>58</v>
      </c>
      <c r="AC61" s="10" t="n">
        <f>20</f>
        <v>20.0</v>
      </c>
      <c r="AD61" s="9" t="n">
        <f>1</f>
        <v>1.0</v>
      </c>
    </row>
    <row r="62">
      <c r="A62" s="3" t="s">
        <v>50</v>
      </c>
      <c r="B62" s="3" t="s">
        <v>131</v>
      </c>
      <c r="C62" s="43" t="s">
        <v>132</v>
      </c>
      <c r="D62" s="43" t="s">
        <v>133</v>
      </c>
      <c r="E62" s="3" t="s">
        <v>54</v>
      </c>
      <c r="F62" s="3"/>
      <c r="G62" s="3" t="s">
        <v>112</v>
      </c>
      <c r="H62" s="4" t="s">
        <v>113</v>
      </c>
      <c r="I62" s="5" t="n">
        <v>25500.0</v>
      </c>
      <c r="J62" s="6" t="s">
        <v>238</v>
      </c>
      <c r="K62" s="7" t="s">
        <v>239</v>
      </c>
      <c r="L62" s="6" t="s">
        <v>69</v>
      </c>
      <c r="M62" s="7" t="s">
        <v>240</v>
      </c>
      <c r="N62" s="6"/>
      <c r="O62" s="7"/>
      <c r="P62" s="6" t="s">
        <v>74</v>
      </c>
      <c r="Q62" s="7" t="s">
        <v>161</v>
      </c>
      <c r="R62" s="6"/>
      <c r="S62" s="7"/>
      <c r="T62" s="6" t="s">
        <v>74</v>
      </c>
      <c r="U62" s="7" t="s">
        <v>161</v>
      </c>
      <c r="V62" s="8" t="n">
        <f>673</f>
        <v>673.0</v>
      </c>
      <c r="W62" s="9" t="n">
        <f>220</f>
        <v>220.0</v>
      </c>
      <c r="X62" s="9"/>
      <c r="Y62" s="9" t="n">
        <f>139020</f>
        <v>139020.0</v>
      </c>
      <c r="Z62" s="9"/>
      <c r="AA62" s="9" t="str">
        <f>"－"</f>
        <v>－</v>
      </c>
      <c r="AB62" s="6" t="s">
        <v>58</v>
      </c>
      <c r="AC62" s="10" t="n">
        <f>20</f>
        <v>20.0</v>
      </c>
      <c r="AD62" s="9" t="n">
        <f>3</f>
        <v>3.0</v>
      </c>
    </row>
    <row r="63">
      <c r="A63" s="3" t="s">
        <v>50</v>
      </c>
      <c r="B63" s="3" t="s">
        <v>131</v>
      </c>
      <c r="C63" s="43" t="s">
        <v>132</v>
      </c>
      <c r="D63" s="43" t="s">
        <v>133</v>
      </c>
      <c r="E63" s="3" t="s">
        <v>54</v>
      </c>
      <c r="F63" s="3"/>
      <c r="G63" s="3" t="s">
        <v>112</v>
      </c>
      <c r="H63" s="4" t="s">
        <v>113</v>
      </c>
      <c r="I63" s="5" t="n">
        <v>26000.0</v>
      </c>
      <c r="J63" s="6" t="s">
        <v>203</v>
      </c>
      <c r="K63" s="7" t="s">
        <v>241</v>
      </c>
      <c r="L63" s="6" t="s">
        <v>203</v>
      </c>
      <c r="M63" s="7" t="s">
        <v>241</v>
      </c>
      <c r="N63" s="6"/>
      <c r="O63" s="7"/>
      <c r="P63" s="6" t="s">
        <v>242</v>
      </c>
      <c r="Q63" s="7" t="s">
        <v>243</v>
      </c>
      <c r="R63" s="6"/>
      <c r="S63" s="7"/>
      <c r="T63" s="6" t="s">
        <v>242</v>
      </c>
      <c r="U63" s="7" t="s">
        <v>243</v>
      </c>
      <c r="V63" s="8" t="n">
        <f>532</f>
        <v>532.0</v>
      </c>
      <c r="W63" s="9" t="n">
        <f>40</f>
        <v>40.0</v>
      </c>
      <c r="X63" s="9"/>
      <c r="Y63" s="9" t="n">
        <f>21280</f>
        <v>21280.0</v>
      </c>
      <c r="Z63" s="9"/>
      <c r="AA63" s="9" t="str">
        <f>"－"</f>
        <v>－</v>
      </c>
      <c r="AB63" s="6" t="s">
        <v>58</v>
      </c>
      <c r="AC63" s="10" t="str">
        <f>"－"</f>
        <v>－</v>
      </c>
      <c r="AD63" s="9" t="n">
        <f>2</f>
        <v>2.0</v>
      </c>
    </row>
    <row r="64">
      <c r="A64" s="3" t="s">
        <v>50</v>
      </c>
      <c r="B64" s="3" t="s">
        <v>131</v>
      </c>
      <c r="C64" s="43" t="s">
        <v>132</v>
      </c>
      <c r="D64" s="43" t="s">
        <v>133</v>
      </c>
      <c r="E64" s="3" t="s">
        <v>54</v>
      </c>
      <c r="F64" s="3"/>
      <c r="G64" s="3" t="s">
        <v>112</v>
      </c>
      <c r="H64" s="4" t="s">
        <v>113</v>
      </c>
      <c r="I64" s="5" t="n">
        <v>26500.0</v>
      </c>
      <c r="J64" s="6" t="s">
        <v>74</v>
      </c>
      <c r="K64" s="7" t="s">
        <v>244</v>
      </c>
      <c r="L64" s="6" t="s">
        <v>74</v>
      </c>
      <c r="M64" s="7" t="s">
        <v>244</v>
      </c>
      <c r="N64" s="6"/>
      <c r="O64" s="7"/>
      <c r="P64" s="6" t="s">
        <v>242</v>
      </c>
      <c r="Q64" s="7" t="s">
        <v>245</v>
      </c>
      <c r="R64" s="6"/>
      <c r="S64" s="7"/>
      <c r="T64" s="6" t="s">
        <v>242</v>
      </c>
      <c r="U64" s="7" t="s">
        <v>245</v>
      </c>
      <c r="V64" s="8" t="n">
        <f>290.14</f>
        <v>290.14</v>
      </c>
      <c r="W64" s="9" t="n">
        <f>355</f>
        <v>355.0</v>
      </c>
      <c r="X64" s="9"/>
      <c r="Y64" s="9" t="n">
        <f>104330</f>
        <v>104330.0</v>
      </c>
      <c r="Z64" s="9"/>
      <c r="AA64" s="9" t="str">
        <f>"－"</f>
        <v>－</v>
      </c>
      <c r="AB64" s="6" t="s">
        <v>58</v>
      </c>
      <c r="AC64" s="10" t="n">
        <f>145</f>
        <v>145.0</v>
      </c>
      <c r="AD64" s="9" t="n">
        <f>7</f>
        <v>7.0</v>
      </c>
    </row>
    <row r="65">
      <c r="A65" s="3" t="s">
        <v>50</v>
      </c>
      <c r="B65" s="3" t="s">
        <v>131</v>
      </c>
      <c r="C65" s="43" t="s">
        <v>132</v>
      </c>
      <c r="D65" s="43" t="s">
        <v>133</v>
      </c>
      <c r="E65" s="3" t="s">
        <v>54</v>
      </c>
      <c r="F65" s="3"/>
      <c r="G65" s="3" t="s">
        <v>112</v>
      </c>
      <c r="H65" s="4" t="s">
        <v>113</v>
      </c>
      <c r="I65" s="5" t="n">
        <v>27000.0</v>
      </c>
      <c r="J65" s="6" t="s">
        <v>78</v>
      </c>
      <c r="K65" s="7" t="s">
        <v>151</v>
      </c>
      <c r="L65" s="6" t="s">
        <v>246</v>
      </c>
      <c r="M65" s="7" t="s">
        <v>247</v>
      </c>
      <c r="N65" s="6"/>
      <c r="O65" s="7"/>
      <c r="P65" s="6" t="s">
        <v>242</v>
      </c>
      <c r="Q65" s="7" t="s">
        <v>248</v>
      </c>
      <c r="R65" s="6"/>
      <c r="S65" s="7"/>
      <c r="T65" s="6" t="s">
        <v>242</v>
      </c>
      <c r="U65" s="7" t="s">
        <v>248</v>
      </c>
      <c r="V65" s="8" t="n">
        <f>325.22</f>
        <v>325.22</v>
      </c>
      <c r="W65" s="9" t="n">
        <f>614</f>
        <v>614.0</v>
      </c>
      <c r="X65" s="9"/>
      <c r="Y65" s="9" t="n">
        <f>193681</f>
        <v>193681.0</v>
      </c>
      <c r="Z65" s="9"/>
      <c r="AA65" s="9" t="n">
        <f>414</f>
        <v>414.0</v>
      </c>
      <c r="AB65" s="6" t="s">
        <v>58</v>
      </c>
      <c r="AC65" s="10" t="str">
        <f>"－"</f>
        <v>－</v>
      </c>
      <c r="AD65" s="9" t="n">
        <f>9</f>
        <v>9.0</v>
      </c>
    </row>
    <row r="66">
      <c r="A66" s="3" t="s">
        <v>50</v>
      </c>
      <c r="B66" s="3" t="s">
        <v>131</v>
      </c>
      <c r="C66" s="43" t="s">
        <v>132</v>
      </c>
      <c r="D66" s="43" t="s">
        <v>133</v>
      </c>
      <c r="E66" s="3" t="s">
        <v>54</v>
      </c>
      <c r="F66" s="3"/>
      <c r="G66" s="3" t="s">
        <v>112</v>
      </c>
      <c r="H66" s="4" t="s">
        <v>113</v>
      </c>
      <c r="I66" s="5" t="n">
        <v>27500.0</v>
      </c>
      <c r="J66" s="6" t="s">
        <v>234</v>
      </c>
      <c r="K66" s="7" t="s">
        <v>249</v>
      </c>
      <c r="L66" s="6" t="s">
        <v>250</v>
      </c>
      <c r="M66" s="7" t="s">
        <v>251</v>
      </c>
      <c r="N66" s="6"/>
      <c r="O66" s="7"/>
      <c r="P66" s="6" t="s">
        <v>120</v>
      </c>
      <c r="Q66" s="7" t="s">
        <v>252</v>
      </c>
      <c r="R66" s="6"/>
      <c r="S66" s="7"/>
      <c r="T66" s="6" t="s">
        <v>242</v>
      </c>
      <c r="U66" s="7" t="s">
        <v>253</v>
      </c>
      <c r="V66" s="8" t="n">
        <f>431.92</f>
        <v>431.92</v>
      </c>
      <c r="W66" s="9" t="n">
        <f>12231</f>
        <v>12231.0</v>
      </c>
      <c r="X66" s="9"/>
      <c r="Y66" s="9" t="n">
        <f>5641895</f>
        <v>5641895.0</v>
      </c>
      <c r="Z66" s="9"/>
      <c r="AA66" s="9" t="n">
        <f>151</f>
        <v>151.0</v>
      </c>
      <c r="AB66" s="6" t="s">
        <v>58</v>
      </c>
      <c r="AC66" s="10" t="str">
        <f>"－"</f>
        <v>－</v>
      </c>
      <c r="AD66" s="9" t="n">
        <f>13</f>
        <v>13.0</v>
      </c>
    </row>
    <row r="67">
      <c r="A67" s="3" t="s">
        <v>50</v>
      </c>
      <c r="B67" s="3" t="s">
        <v>131</v>
      </c>
      <c r="C67" s="43" t="s">
        <v>132</v>
      </c>
      <c r="D67" s="43" t="s">
        <v>133</v>
      </c>
      <c r="E67" s="3" t="s">
        <v>54</v>
      </c>
      <c r="F67" s="3"/>
      <c r="G67" s="3" t="s">
        <v>112</v>
      </c>
      <c r="H67" s="4" t="s">
        <v>254</v>
      </c>
      <c r="I67" s="5" t="n">
        <v>28000.0</v>
      </c>
      <c r="J67" s="6" t="s">
        <v>228</v>
      </c>
      <c r="K67" s="7" t="s">
        <v>255</v>
      </c>
      <c r="L67" s="6" t="s">
        <v>242</v>
      </c>
      <c r="M67" s="7" t="s">
        <v>256</v>
      </c>
      <c r="N67" s="6"/>
      <c r="O67" s="7"/>
      <c r="P67" s="6" t="s">
        <v>257</v>
      </c>
      <c r="Q67" s="7" t="s">
        <v>258</v>
      </c>
      <c r="R67" s="6"/>
      <c r="S67" s="7"/>
      <c r="T67" s="6" t="s">
        <v>242</v>
      </c>
      <c r="U67" s="7" t="s">
        <v>256</v>
      </c>
      <c r="V67" s="8" t="n">
        <f>649</f>
        <v>649.0</v>
      </c>
      <c r="W67" s="9" t="n">
        <f>12102</f>
        <v>12102.0</v>
      </c>
      <c r="X67" s="9"/>
      <c r="Y67" s="9" t="n">
        <f>6429620</f>
        <v>6429620.0</v>
      </c>
      <c r="Z67" s="9"/>
      <c r="AA67" s="9" t="str">
        <f>"－"</f>
        <v>－</v>
      </c>
      <c r="AB67" s="6" t="s">
        <v>58</v>
      </c>
      <c r="AC67" s="10" t="str">
        <f>"－"</f>
        <v>－</v>
      </c>
      <c r="AD67" s="9" t="n">
        <f>7</f>
        <v>7.0</v>
      </c>
    </row>
    <row r="68">
      <c r="A68" s="3" t="s">
        <v>50</v>
      </c>
      <c r="B68" s="3" t="s">
        <v>131</v>
      </c>
      <c r="C68" s="43" t="s">
        <v>132</v>
      </c>
      <c r="D68" s="43" t="s">
        <v>133</v>
      </c>
      <c r="E68" s="3" t="s">
        <v>54</v>
      </c>
      <c r="F68" s="3"/>
      <c r="G68" s="3" t="s">
        <v>112</v>
      </c>
      <c r="H68" s="4" t="s">
        <v>254</v>
      </c>
      <c r="I68" s="5" t="n">
        <v>28500.0</v>
      </c>
      <c r="J68" s="6" t="s">
        <v>78</v>
      </c>
      <c r="K68" s="7" t="s">
        <v>259</v>
      </c>
      <c r="L68" s="6" t="s">
        <v>260</v>
      </c>
      <c r="M68" s="7" t="s">
        <v>261</v>
      </c>
      <c r="N68" s="6"/>
      <c r="O68" s="7"/>
      <c r="P68" s="6" t="s">
        <v>114</v>
      </c>
      <c r="Q68" s="7" t="s">
        <v>262</v>
      </c>
      <c r="R68" s="6"/>
      <c r="S68" s="7"/>
      <c r="T68" s="6" t="s">
        <v>120</v>
      </c>
      <c r="U68" s="7" t="s">
        <v>263</v>
      </c>
      <c r="V68" s="8" t="n">
        <f>774.25</f>
        <v>774.25</v>
      </c>
      <c r="W68" s="9" t="n">
        <f>16000</f>
        <v>16000.0</v>
      </c>
      <c r="X68" s="9"/>
      <c r="Y68" s="9" t="n">
        <f>12388000</f>
        <v>1.2388E7</v>
      </c>
      <c r="Z68" s="9"/>
      <c r="AA68" s="9" t="str">
        <f>"－"</f>
        <v>－</v>
      </c>
      <c r="AB68" s="6" t="s">
        <v>58</v>
      </c>
      <c r="AC68" s="10" t="str">
        <f>"－"</f>
        <v>－</v>
      </c>
      <c r="AD68" s="9" t="n">
        <f>8</f>
        <v>8.0</v>
      </c>
    </row>
    <row r="69">
      <c r="A69" s="3" t="s">
        <v>50</v>
      </c>
      <c r="B69" s="3" t="s">
        <v>131</v>
      </c>
      <c r="C69" s="43" t="s">
        <v>132</v>
      </c>
      <c r="D69" s="43" t="s">
        <v>133</v>
      </c>
      <c r="E69" s="3" t="s">
        <v>54</v>
      </c>
      <c r="F69" s="3"/>
      <c r="G69" s="3" t="s">
        <v>112</v>
      </c>
      <c r="H69" s="4" t="s">
        <v>264</v>
      </c>
      <c r="I69" s="5" t="n">
        <v>29000.0</v>
      </c>
      <c r="J69" s="6" t="s">
        <v>232</v>
      </c>
      <c r="K69" s="7" t="s">
        <v>265</v>
      </c>
      <c r="L69" s="6" t="s">
        <v>266</v>
      </c>
      <c r="M69" s="7" t="s">
        <v>267</v>
      </c>
      <c r="N69" s="6"/>
      <c r="O69" s="7"/>
      <c r="P69" s="6" t="s">
        <v>232</v>
      </c>
      <c r="Q69" s="7" t="s">
        <v>265</v>
      </c>
      <c r="R69" s="6"/>
      <c r="S69" s="7"/>
      <c r="T69" s="6" t="s">
        <v>266</v>
      </c>
      <c r="U69" s="7" t="s">
        <v>267</v>
      </c>
      <c r="V69" s="8" t="n">
        <f>861</f>
        <v>861.0</v>
      </c>
      <c r="W69" s="9" t="n">
        <f>4000</f>
        <v>4000.0</v>
      </c>
      <c r="X69" s="9"/>
      <c r="Y69" s="9" t="n">
        <f>3444000</f>
        <v>3444000.0</v>
      </c>
      <c r="Z69" s="9"/>
      <c r="AA69" s="9" t="str">
        <f>"－"</f>
        <v>－</v>
      </c>
      <c r="AB69" s="6" t="s">
        <v>58</v>
      </c>
      <c r="AC69" s="10" t="str">
        <f>"－"</f>
        <v>－</v>
      </c>
      <c r="AD69" s="9" t="n">
        <f>2</f>
        <v>2.0</v>
      </c>
    </row>
    <row r="70">
      <c r="A70" s="3" t="s">
        <v>50</v>
      </c>
      <c r="B70" s="3" t="s">
        <v>131</v>
      </c>
      <c r="C70" s="43" t="s">
        <v>132</v>
      </c>
      <c r="D70" s="43" t="s">
        <v>133</v>
      </c>
      <c r="E70" s="3" t="s">
        <v>54</v>
      </c>
      <c r="F70" s="3"/>
      <c r="G70" s="3" t="s">
        <v>116</v>
      </c>
      <c r="H70" s="4" t="s">
        <v>268</v>
      </c>
      <c r="I70" s="5" t="n">
        <v>24500.0</v>
      </c>
      <c r="J70" s="6" t="s">
        <v>269</v>
      </c>
      <c r="K70" s="7" t="s">
        <v>270</v>
      </c>
      <c r="L70" s="6" t="s">
        <v>269</v>
      </c>
      <c r="M70" s="7" t="s">
        <v>270</v>
      </c>
      <c r="N70" s="6"/>
      <c r="O70" s="7"/>
      <c r="P70" s="6" t="s">
        <v>269</v>
      </c>
      <c r="Q70" s="7" t="s">
        <v>270</v>
      </c>
      <c r="R70" s="6"/>
      <c r="S70" s="7"/>
      <c r="T70" s="6" t="s">
        <v>269</v>
      </c>
      <c r="U70" s="7" t="s">
        <v>270</v>
      </c>
      <c r="V70" s="8" t="n">
        <f>122</f>
        <v>122.0</v>
      </c>
      <c r="W70" s="9" t="n">
        <f>10</f>
        <v>10.0</v>
      </c>
      <c r="X70" s="9"/>
      <c r="Y70" s="9" t="n">
        <f>1220</f>
        <v>1220.0</v>
      </c>
      <c r="Z70" s="9"/>
      <c r="AA70" s="9" t="str">
        <f>"－"</f>
        <v>－</v>
      </c>
      <c r="AB70" s="6" t="s">
        <v>58</v>
      </c>
      <c r="AC70" s="10" t="n">
        <f>10</f>
        <v>10.0</v>
      </c>
      <c r="AD70" s="9" t="n">
        <f>1</f>
        <v>1.0</v>
      </c>
    </row>
    <row r="71">
      <c r="A71" s="3" t="s">
        <v>50</v>
      </c>
      <c r="B71" s="3" t="s">
        <v>131</v>
      </c>
      <c r="C71" s="43" t="s">
        <v>132</v>
      </c>
      <c r="D71" s="43" t="s">
        <v>133</v>
      </c>
      <c r="E71" s="3" t="s">
        <v>54</v>
      </c>
      <c r="F71" s="3"/>
      <c r="G71" s="3" t="s">
        <v>116</v>
      </c>
      <c r="H71" s="4" t="s">
        <v>167</v>
      </c>
      <c r="I71" s="5" t="n">
        <v>26000.0</v>
      </c>
      <c r="J71" s="6" t="s">
        <v>271</v>
      </c>
      <c r="K71" s="7" t="s">
        <v>272</v>
      </c>
      <c r="L71" s="6" t="s">
        <v>242</v>
      </c>
      <c r="M71" s="7" t="s">
        <v>273</v>
      </c>
      <c r="N71" s="6"/>
      <c r="O71" s="7"/>
      <c r="P71" s="6" t="s">
        <v>274</v>
      </c>
      <c r="Q71" s="7" t="s">
        <v>275</v>
      </c>
      <c r="R71" s="6"/>
      <c r="S71" s="7"/>
      <c r="T71" s="6" t="s">
        <v>274</v>
      </c>
      <c r="U71" s="7" t="s">
        <v>275</v>
      </c>
      <c r="V71" s="8" t="n">
        <f>355</f>
        <v>355.0</v>
      </c>
      <c r="W71" s="9" t="n">
        <f>146</f>
        <v>146.0</v>
      </c>
      <c r="X71" s="9"/>
      <c r="Y71" s="9" t="n">
        <f>46610</f>
        <v>46610.0</v>
      </c>
      <c r="Z71" s="9"/>
      <c r="AA71" s="9" t="str">
        <f>"－"</f>
        <v>－</v>
      </c>
      <c r="AB71" s="6" t="s">
        <v>58</v>
      </c>
      <c r="AC71" s="10" t="n">
        <f>46</f>
        <v>46.0</v>
      </c>
      <c r="AD71" s="9" t="n">
        <f>4</f>
        <v>4.0</v>
      </c>
    </row>
    <row r="72">
      <c r="A72" s="3" t="s">
        <v>50</v>
      </c>
      <c r="B72" s="3" t="s">
        <v>131</v>
      </c>
      <c r="C72" s="43" t="s">
        <v>132</v>
      </c>
      <c r="D72" s="43" t="s">
        <v>133</v>
      </c>
      <c r="E72" s="3" t="s">
        <v>54</v>
      </c>
      <c r="F72" s="3"/>
      <c r="G72" s="3" t="s">
        <v>116</v>
      </c>
      <c r="H72" s="4" t="s">
        <v>167</v>
      </c>
      <c r="I72" s="5" t="n">
        <v>26500.0</v>
      </c>
      <c r="J72" s="6" t="s">
        <v>276</v>
      </c>
      <c r="K72" s="7" t="s">
        <v>277</v>
      </c>
      <c r="L72" s="6" t="s">
        <v>278</v>
      </c>
      <c r="M72" s="7" t="s">
        <v>279</v>
      </c>
      <c r="N72" s="6"/>
      <c r="O72" s="7"/>
      <c r="P72" s="6" t="s">
        <v>280</v>
      </c>
      <c r="Q72" s="7" t="s">
        <v>281</v>
      </c>
      <c r="R72" s="6"/>
      <c r="S72" s="7"/>
      <c r="T72" s="6" t="s">
        <v>280</v>
      </c>
      <c r="U72" s="7" t="s">
        <v>281</v>
      </c>
      <c r="V72" s="8" t="n">
        <f>369.38</f>
        <v>369.38</v>
      </c>
      <c r="W72" s="9" t="n">
        <f>4299</f>
        <v>4299.0</v>
      </c>
      <c r="X72" s="9"/>
      <c r="Y72" s="9" t="n">
        <f>810850</f>
        <v>810850.0</v>
      </c>
      <c r="Z72" s="9"/>
      <c r="AA72" s="9" t="str">
        <f>"－"</f>
        <v>－</v>
      </c>
      <c r="AB72" s="6" t="s">
        <v>58</v>
      </c>
      <c r="AC72" s="10" t="n">
        <f>99</f>
        <v>99.0</v>
      </c>
      <c r="AD72" s="9" t="n">
        <f>8</f>
        <v>8.0</v>
      </c>
    </row>
    <row r="73">
      <c r="A73" s="3" t="s">
        <v>50</v>
      </c>
      <c r="B73" s="3" t="s">
        <v>131</v>
      </c>
      <c r="C73" s="43" t="s">
        <v>132</v>
      </c>
      <c r="D73" s="43" t="s">
        <v>133</v>
      </c>
      <c r="E73" s="3" t="s">
        <v>54</v>
      </c>
      <c r="F73" s="3"/>
      <c r="G73" s="3" t="s">
        <v>116</v>
      </c>
      <c r="H73" s="4" t="s">
        <v>144</v>
      </c>
      <c r="I73" s="5" t="n">
        <v>27000.0</v>
      </c>
      <c r="J73" s="6" t="s">
        <v>282</v>
      </c>
      <c r="K73" s="7" t="s">
        <v>283</v>
      </c>
      <c r="L73" s="6" t="s">
        <v>242</v>
      </c>
      <c r="M73" s="7" t="s">
        <v>284</v>
      </c>
      <c r="N73" s="6"/>
      <c r="O73" s="7"/>
      <c r="P73" s="6" t="s">
        <v>285</v>
      </c>
      <c r="Q73" s="7" t="s">
        <v>202</v>
      </c>
      <c r="R73" s="6"/>
      <c r="S73" s="7"/>
      <c r="T73" s="6" t="s">
        <v>285</v>
      </c>
      <c r="U73" s="7" t="s">
        <v>202</v>
      </c>
      <c r="V73" s="8" t="n">
        <f>423.5</f>
        <v>423.5</v>
      </c>
      <c r="W73" s="9" t="n">
        <f>8343</f>
        <v>8343.0</v>
      </c>
      <c r="X73" s="9"/>
      <c r="Y73" s="9" t="n">
        <f>2145212</f>
        <v>2145212.0</v>
      </c>
      <c r="Z73" s="9"/>
      <c r="AA73" s="9" t="str">
        <f>"－"</f>
        <v>－</v>
      </c>
      <c r="AB73" s="6" t="s">
        <v>58</v>
      </c>
      <c r="AC73" s="10" t="n">
        <f>2000</f>
        <v>2000.0</v>
      </c>
      <c r="AD73" s="9" t="n">
        <f>12</f>
        <v>12.0</v>
      </c>
    </row>
    <row r="74">
      <c r="A74" s="3" t="s">
        <v>50</v>
      </c>
      <c r="B74" s="3" t="s">
        <v>131</v>
      </c>
      <c r="C74" s="43" t="s">
        <v>132</v>
      </c>
      <c r="D74" s="43" t="s">
        <v>133</v>
      </c>
      <c r="E74" s="3" t="s">
        <v>54</v>
      </c>
      <c r="F74" s="3"/>
      <c r="G74" s="3" t="s">
        <v>116</v>
      </c>
      <c r="H74" s="4" t="s">
        <v>117</v>
      </c>
      <c r="I74" s="5" t="n">
        <v>27500.0</v>
      </c>
      <c r="J74" s="6" t="s">
        <v>278</v>
      </c>
      <c r="K74" s="7" t="s">
        <v>286</v>
      </c>
      <c r="L74" s="6" t="s">
        <v>278</v>
      </c>
      <c r="M74" s="7" t="s">
        <v>286</v>
      </c>
      <c r="N74" s="6"/>
      <c r="O74" s="7"/>
      <c r="P74" s="6" t="s">
        <v>287</v>
      </c>
      <c r="Q74" s="7" t="s">
        <v>288</v>
      </c>
      <c r="R74" s="6"/>
      <c r="S74" s="7"/>
      <c r="T74" s="6" t="s">
        <v>289</v>
      </c>
      <c r="U74" s="7" t="s">
        <v>290</v>
      </c>
      <c r="V74" s="8" t="n">
        <f>601.14</f>
        <v>601.14</v>
      </c>
      <c r="W74" s="9" t="n">
        <f>16130</f>
        <v>16130.0</v>
      </c>
      <c r="X74" s="9"/>
      <c r="Y74" s="9" t="n">
        <f>9286330</f>
        <v>9286330.0</v>
      </c>
      <c r="Z74" s="9"/>
      <c r="AA74" s="9" t="str">
        <f>"－"</f>
        <v>－</v>
      </c>
      <c r="AB74" s="6" t="s">
        <v>58</v>
      </c>
      <c r="AC74" s="10" t="n">
        <f>130</f>
        <v>130.0</v>
      </c>
      <c r="AD74" s="9" t="n">
        <f>7</f>
        <v>7.0</v>
      </c>
    </row>
    <row r="75">
      <c r="A75" s="3" t="s">
        <v>50</v>
      </c>
      <c r="B75" s="3" t="s">
        <v>131</v>
      </c>
      <c r="C75" s="43" t="s">
        <v>132</v>
      </c>
      <c r="D75" s="43" t="s">
        <v>133</v>
      </c>
      <c r="E75" s="3" t="s">
        <v>54</v>
      </c>
      <c r="F75" s="3"/>
      <c r="G75" s="3" t="s">
        <v>116</v>
      </c>
      <c r="H75" s="4" t="s">
        <v>117</v>
      </c>
      <c r="I75" s="5" t="n">
        <v>28000.0</v>
      </c>
      <c r="J75" s="6" t="s">
        <v>291</v>
      </c>
      <c r="K75" s="7" t="s">
        <v>224</v>
      </c>
      <c r="L75" s="6" t="s">
        <v>292</v>
      </c>
      <c r="M75" s="7" t="s">
        <v>293</v>
      </c>
      <c r="N75" s="6"/>
      <c r="O75" s="7"/>
      <c r="P75" s="6" t="s">
        <v>291</v>
      </c>
      <c r="Q75" s="7" t="s">
        <v>224</v>
      </c>
      <c r="R75" s="6"/>
      <c r="S75" s="7"/>
      <c r="T75" s="6" t="s">
        <v>292</v>
      </c>
      <c r="U75" s="7" t="s">
        <v>293</v>
      </c>
      <c r="V75" s="8" t="n">
        <f>767.5</f>
        <v>767.5</v>
      </c>
      <c r="W75" s="9" t="n">
        <f>4000</f>
        <v>4000.0</v>
      </c>
      <c r="X75" s="9"/>
      <c r="Y75" s="9" t="n">
        <f>3070000</f>
        <v>3070000.0</v>
      </c>
      <c r="Z75" s="9"/>
      <c r="AA75" s="9" t="str">
        <f>"－"</f>
        <v>－</v>
      </c>
      <c r="AB75" s="6" t="s">
        <v>58</v>
      </c>
      <c r="AC75" s="10" t="str">
        <f>"－"</f>
        <v>－</v>
      </c>
      <c r="AD75" s="9" t="n">
        <f>2</f>
        <v>2.0</v>
      </c>
    </row>
    <row r="76">
      <c r="A76" s="3" t="s">
        <v>50</v>
      </c>
      <c r="B76" s="3" t="s">
        <v>131</v>
      </c>
      <c r="C76" s="43" t="s">
        <v>132</v>
      </c>
      <c r="D76" s="43" t="s">
        <v>133</v>
      </c>
      <c r="E76" s="3" t="s">
        <v>54</v>
      </c>
      <c r="F76" s="3"/>
      <c r="G76" s="3" t="s">
        <v>294</v>
      </c>
      <c r="H76" s="4" t="s">
        <v>295</v>
      </c>
      <c r="I76" s="5" t="n">
        <v>26000.0</v>
      </c>
      <c r="J76" s="6" t="s">
        <v>118</v>
      </c>
      <c r="K76" s="7" t="s">
        <v>296</v>
      </c>
      <c r="L76" s="6" t="s">
        <v>297</v>
      </c>
      <c r="M76" s="7" t="s">
        <v>298</v>
      </c>
      <c r="N76" s="6"/>
      <c r="O76" s="7"/>
      <c r="P76" s="6" t="s">
        <v>299</v>
      </c>
      <c r="Q76" s="7" t="s">
        <v>300</v>
      </c>
      <c r="R76" s="6"/>
      <c r="S76" s="7"/>
      <c r="T76" s="6" t="s">
        <v>299</v>
      </c>
      <c r="U76" s="7" t="s">
        <v>300</v>
      </c>
      <c r="V76" s="8" t="n">
        <f>423.5</f>
        <v>423.5</v>
      </c>
      <c r="W76" s="9" t="n">
        <f>795</f>
        <v>795.0</v>
      </c>
      <c r="X76" s="9"/>
      <c r="Y76" s="9" t="n">
        <f>337605</f>
        <v>337605.0</v>
      </c>
      <c r="Z76" s="9"/>
      <c r="AA76" s="9" t="str">
        <f>"－"</f>
        <v>－</v>
      </c>
      <c r="AB76" s="6" t="s">
        <v>58</v>
      </c>
      <c r="AC76" s="10" t="n">
        <f>295</f>
        <v>295.0</v>
      </c>
      <c r="AD76" s="9" t="n">
        <f>8</f>
        <v>8.0</v>
      </c>
    </row>
    <row r="77">
      <c r="A77" s="3" t="s">
        <v>50</v>
      </c>
      <c r="B77" s="3" t="s">
        <v>131</v>
      </c>
      <c r="C77" s="43" t="s">
        <v>132</v>
      </c>
      <c r="D77" s="43" t="s">
        <v>133</v>
      </c>
      <c r="E77" s="3" t="s">
        <v>54</v>
      </c>
      <c r="F77" s="3"/>
      <c r="G77" s="3" t="s">
        <v>294</v>
      </c>
      <c r="H77" s="4" t="s">
        <v>295</v>
      </c>
      <c r="I77" s="5" t="n">
        <v>26500.0</v>
      </c>
      <c r="J77" s="6" t="s">
        <v>292</v>
      </c>
      <c r="K77" s="7" t="s">
        <v>301</v>
      </c>
      <c r="L77" s="6" t="s">
        <v>292</v>
      </c>
      <c r="M77" s="7" t="s">
        <v>240</v>
      </c>
      <c r="N77" s="6"/>
      <c r="O77" s="7"/>
      <c r="P77" s="6" t="s">
        <v>302</v>
      </c>
      <c r="Q77" s="7" t="s">
        <v>303</v>
      </c>
      <c r="R77" s="6"/>
      <c r="S77" s="7"/>
      <c r="T77" s="6" t="s">
        <v>302</v>
      </c>
      <c r="U77" s="7" t="s">
        <v>303</v>
      </c>
      <c r="V77" s="8" t="n">
        <f>497.75</f>
        <v>497.75</v>
      </c>
      <c r="W77" s="9" t="n">
        <f>784</f>
        <v>784.0</v>
      </c>
      <c r="X77" s="9"/>
      <c r="Y77" s="9" t="n">
        <f>342920</f>
        <v>342920.0</v>
      </c>
      <c r="Z77" s="9"/>
      <c r="AA77" s="9" t="str">
        <f>"－"</f>
        <v>－</v>
      </c>
      <c r="AB77" s="6" t="s">
        <v>58</v>
      </c>
      <c r="AC77" s="10" t="n">
        <f>384</f>
        <v>384.0</v>
      </c>
      <c r="AD77" s="9" t="n">
        <f>8</f>
        <v>8.0</v>
      </c>
    </row>
    <row r="78">
      <c r="A78" s="3" t="s">
        <v>50</v>
      </c>
      <c r="B78" s="3" t="s">
        <v>131</v>
      </c>
      <c r="C78" s="43" t="s">
        <v>132</v>
      </c>
      <c r="D78" s="43" t="s">
        <v>133</v>
      </c>
      <c r="E78" s="3" t="s">
        <v>54</v>
      </c>
      <c r="F78" s="3"/>
      <c r="G78" s="3" t="s">
        <v>294</v>
      </c>
      <c r="H78" s="4" t="s">
        <v>295</v>
      </c>
      <c r="I78" s="5" t="n">
        <v>27000.0</v>
      </c>
      <c r="J78" s="6" t="s">
        <v>289</v>
      </c>
      <c r="K78" s="7" t="s">
        <v>304</v>
      </c>
      <c r="L78" s="6" t="s">
        <v>289</v>
      </c>
      <c r="M78" s="7" t="s">
        <v>304</v>
      </c>
      <c r="N78" s="6"/>
      <c r="O78" s="7"/>
      <c r="P78" s="6" t="s">
        <v>305</v>
      </c>
      <c r="Q78" s="7" t="s">
        <v>95</v>
      </c>
      <c r="R78" s="6"/>
      <c r="S78" s="7"/>
      <c r="T78" s="6" t="s">
        <v>305</v>
      </c>
      <c r="U78" s="7" t="s">
        <v>95</v>
      </c>
      <c r="V78" s="8" t="n">
        <f>433</f>
        <v>433.0</v>
      </c>
      <c r="W78" s="9" t="n">
        <f>12444</f>
        <v>12444.0</v>
      </c>
      <c r="X78" s="9"/>
      <c r="Y78" s="9" t="n">
        <f>5271696</f>
        <v>5271696.0</v>
      </c>
      <c r="Z78" s="9"/>
      <c r="AA78" s="9" t="str">
        <f>"－"</f>
        <v>－</v>
      </c>
      <c r="AB78" s="6" t="s">
        <v>58</v>
      </c>
      <c r="AC78" s="10" t="n">
        <f>2304</f>
        <v>2304.0</v>
      </c>
      <c r="AD78" s="9" t="n">
        <f>11</f>
        <v>11.0</v>
      </c>
    </row>
    <row r="79">
      <c r="A79" s="3" t="s">
        <v>50</v>
      </c>
      <c r="B79" s="3" t="s">
        <v>131</v>
      </c>
      <c r="C79" s="43" t="s">
        <v>132</v>
      </c>
      <c r="D79" s="43" t="s">
        <v>133</v>
      </c>
      <c r="E79" s="3" t="s">
        <v>54</v>
      </c>
      <c r="F79" s="3"/>
      <c r="G79" s="3" t="s">
        <v>294</v>
      </c>
      <c r="H79" s="4" t="s">
        <v>295</v>
      </c>
      <c r="I79" s="5" t="n">
        <v>27500.0</v>
      </c>
      <c r="J79" s="6" t="s">
        <v>289</v>
      </c>
      <c r="K79" s="7" t="s">
        <v>306</v>
      </c>
      <c r="L79" s="6" t="s">
        <v>289</v>
      </c>
      <c r="M79" s="7" t="s">
        <v>306</v>
      </c>
      <c r="N79" s="6"/>
      <c r="O79" s="7"/>
      <c r="P79" s="6" t="s">
        <v>307</v>
      </c>
      <c r="Q79" s="7" t="s">
        <v>308</v>
      </c>
      <c r="R79" s="6"/>
      <c r="S79" s="7"/>
      <c r="T79" s="6" t="s">
        <v>309</v>
      </c>
      <c r="U79" s="7" t="s">
        <v>310</v>
      </c>
      <c r="V79" s="8" t="n">
        <f>629.88</f>
        <v>629.88</v>
      </c>
      <c r="W79" s="9" t="n">
        <f>12463</f>
        <v>12463.0</v>
      </c>
      <c r="X79" s="9"/>
      <c r="Y79" s="9" t="n">
        <f>8930988</f>
        <v>8930988.0</v>
      </c>
      <c r="Z79" s="9"/>
      <c r="AA79" s="9" t="n">
        <f>463</f>
        <v>463.0</v>
      </c>
      <c r="AB79" s="6" t="s">
        <v>58</v>
      </c>
      <c r="AC79" s="10" t="str">
        <f>"－"</f>
        <v>－</v>
      </c>
      <c r="AD79" s="9" t="n">
        <f>8</f>
        <v>8.0</v>
      </c>
    </row>
    <row r="80">
      <c r="A80" s="3" t="s">
        <v>50</v>
      </c>
      <c r="B80" s="3" t="s">
        <v>131</v>
      </c>
      <c r="C80" s="43" t="s">
        <v>132</v>
      </c>
      <c r="D80" s="43" t="s">
        <v>133</v>
      </c>
      <c r="E80" s="3" t="s">
        <v>54</v>
      </c>
      <c r="F80" s="3"/>
      <c r="G80" s="3" t="s">
        <v>294</v>
      </c>
      <c r="H80" s="4" t="s">
        <v>311</v>
      </c>
      <c r="I80" s="5" t="n">
        <v>28500.0</v>
      </c>
      <c r="J80" s="6" t="s">
        <v>307</v>
      </c>
      <c r="K80" s="7" t="s">
        <v>312</v>
      </c>
      <c r="L80" s="6" t="s">
        <v>307</v>
      </c>
      <c r="M80" s="7" t="s">
        <v>312</v>
      </c>
      <c r="N80" s="6"/>
      <c r="O80" s="7"/>
      <c r="P80" s="6" t="s">
        <v>307</v>
      </c>
      <c r="Q80" s="7" t="s">
        <v>312</v>
      </c>
      <c r="R80" s="6"/>
      <c r="S80" s="7"/>
      <c r="T80" s="6" t="s">
        <v>307</v>
      </c>
      <c r="U80" s="7" t="s">
        <v>312</v>
      </c>
      <c r="V80" s="8" t="n">
        <f>526</f>
        <v>526.0</v>
      </c>
      <c r="W80" s="9" t="n">
        <f>2000</f>
        <v>2000.0</v>
      </c>
      <c r="X80" s="9"/>
      <c r="Y80" s="9" t="n">
        <f>1052000</f>
        <v>1052000.0</v>
      </c>
      <c r="Z80" s="9"/>
      <c r="AA80" s="9" t="n">
        <f>2000</f>
        <v>2000.0</v>
      </c>
      <c r="AB80" s="6" t="s">
        <v>58</v>
      </c>
      <c r="AC80" s="10" t="str">
        <f>"－"</f>
        <v>－</v>
      </c>
      <c r="AD80" s="9" t="n">
        <f>1</f>
        <v>1.0</v>
      </c>
    </row>
    <row r="81">
      <c r="A81" s="3" t="s">
        <v>50</v>
      </c>
      <c r="B81" s="3" t="s">
        <v>131</v>
      </c>
      <c r="C81" s="43" t="s">
        <v>132</v>
      </c>
      <c r="D81" s="43" t="s">
        <v>133</v>
      </c>
      <c r="E81" s="3" t="s">
        <v>54</v>
      </c>
      <c r="F81" s="3"/>
      <c r="G81" s="3" t="s">
        <v>80</v>
      </c>
      <c r="H81" s="4" t="s">
        <v>313</v>
      </c>
      <c r="I81" s="5" t="n">
        <v>26000.0</v>
      </c>
      <c r="J81" s="6" t="s">
        <v>314</v>
      </c>
      <c r="K81" s="7" t="s">
        <v>315</v>
      </c>
      <c r="L81" s="6" t="s">
        <v>316</v>
      </c>
      <c r="M81" s="7" t="s">
        <v>317</v>
      </c>
      <c r="N81" s="6"/>
      <c r="O81" s="7"/>
      <c r="P81" s="6" t="s">
        <v>318</v>
      </c>
      <c r="Q81" s="7" t="s">
        <v>319</v>
      </c>
      <c r="R81" s="6"/>
      <c r="S81" s="7"/>
      <c r="T81" s="6" t="s">
        <v>318</v>
      </c>
      <c r="U81" s="7" t="s">
        <v>319</v>
      </c>
      <c r="V81" s="8" t="n">
        <f>366</f>
        <v>366.0</v>
      </c>
      <c r="W81" s="9" t="n">
        <f>1509</f>
        <v>1509.0</v>
      </c>
      <c r="X81" s="9"/>
      <c r="Y81" s="9" t="n">
        <f>790494</f>
        <v>790494.0</v>
      </c>
      <c r="Z81" s="9"/>
      <c r="AA81" s="9" t="str">
        <f>"－"</f>
        <v>－</v>
      </c>
      <c r="AB81" s="6" t="s">
        <v>58</v>
      </c>
      <c r="AC81" s="10" t="n">
        <f>97</f>
        <v>97.0</v>
      </c>
      <c r="AD81" s="9" t="n">
        <f>7</f>
        <v>7.0</v>
      </c>
    </row>
    <row r="82">
      <c r="A82" s="3" t="s">
        <v>50</v>
      </c>
      <c r="B82" s="3" t="s">
        <v>131</v>
      </c>
      <c r="C82" s="43" t="s">
        <v>132</v>
      </c>
      <c r="D82" s="43" t="s">
        <v>133</v>
      </c>
      <c r="E82" s="3" t="s">
        <v>54</v>
      </c>
      <c r="F82" s="3"/>
      <c r="G82" s="3" t="s">
        <v>80</v>
      </c>
      <c r="H82" s="4" t="s">
        <v>320</v>
      </c>
      <c r="I82" s="5" t="n">
        <v>26500.0</v>
      </c>
      <c r="J82" s="6" t="s">
        <v>321</v>
      </c>
      <c r="K82" s="7" t="s">
        <v>322</v>
      </c>
      <c r="L82" s="6" t="s">
        <v>323</v>
      </c>
      <c r="M82" s="7" t="s">
        <v>324</v>
      </c>
      <c r="N82" s="6"/>
      <c r="O82" s="7"/>
      <c r="P82" s="6" t="s">
        <v>325</v>
      </c>
      <c r="Q82" s="7" t="s">
        <v>326</v>
      </c>
      <c r="R82" s="6"/>
      <c r="S82" s="7"/>
      <c r="T82" s="6" t="s">
        <v>325</v>
      </c>
      <c r="U82" s="7" t="s">
        <v>327</v>
      </c>
      <c r="V82" s="8" t="n">
        <f>716.43</f>
        <v>716.43</v>
      </c>
      <c r="W82" s="9" t="n">
        <f>4486</f>
        <v>4486.0</v>
      </c>
      <c r="X82" s="9"/>
      <c r="Y82" s="9" t="n">
        <f>3059090</f>
        <v>3059090.0</v>
      </c>
      <c r="Z82" s="9"/>
      <c r="AA82" s="9" t="str">
        <f>"－"</f>
        <v>－</v>
      </c>
      <c r="AB82" s="6" t="s">
        <v>58</v>
      </c>
      <c r="AC82" s="10" t="n">
        <f>86</f>
        <v>86.0</v>
      </c>
      <c r="AD82" s="9" t="n">
        <f>7</f>
        <v>7.0</v>
      </c>
    </row>
    <row r="83">
      <c r="A83" s="3" t="s">
        <v>50</v>
      </c>
      <c r="B83" s="3" t="s">
        <v>131</v>
      </c>
      <c r="C83" s="43" t="s">
        <v>132</v>
      </c>
      <c r="D83" s="43" t="s">
        <v>133</v>
      </c>
      <c r="E83" s="3" t="s">
        <v>54</v>
      </c>
      <c r="F83" s="3"/>
      <c r="G83" s="3" t="s">
        <v>80</v>
      </c>
      <c r="H83" s="4" t="s">
        <v>328</v>
      </c>
      <c r="I83" s="5" t="n">
        <v>27000.0</v>
      </c>
      <c r="J83" s="6" t="s">
        <v>314</v>
      </c>
      <c r="K83" s="7" t="s">
        <v>329</v>
      </c>
      <c r="L83" s="6" t="s">
        <v>330</v>
      </c>
      <c r="M83" s="7" t="s">
        <v>331</v>
      </c>
      <c r="N83" s="6"/>
      <c r="O83" s="7"/>
      <c r="P83" s="6" t="s">
        <v>332</v>
      </c>
      <c r="Q83" s="7" t="s">
        <v>248</v>
      </c>
      <c r="R83" s="6"/>
      <c r="S83" s="7"/>
      <c r="T83" s="6" t="s">
        <v>332</v>
      </c>
      <c r="U83" s="7" t="s">
        <v>248</v>
      </c>
      <c r="V83" s="8" t="n">
        <f>450.33</f>
        <v>450.33</v>
      </c>
      <c r="W83" s="9" t="n">
        <f>10126</f>
        <v>10126.0</v>
      </c>
      <c r="X83" s="9"/>
      <c r="Y83" s="9" t="n">
        <f>3487940</f>
        <v>3487940.0</v>
      </c>
      <c r="Z83" s="9"/>
      <c r="AA83" s="9" t="str">
        <f>"－"</f>
        <v>－</v>
      </c>
      <c r="AB83" s="6" t="s">
        <v>58</v>
      </c>
      <c r="AC83" s="10" t="n">
        <f>3126</f>
        <v>3126.0</v>
      </c>
      <c r="AD83" s="9" t="n">
        <f>6</f>
        <v>6.0</v>
      </c>
    </row>
    <row r="84">
      <c r="A84" s="3" t="s">
        <v>50</v>
      </c>
      <c r="B84" s="3" t="s">
        <v>131</v>
      </c>
      <c r="C84" s="43" t="s">
        <v>132</v>
      </c>
      <c r="D84" s="43" t="s">
        <v>133</v>
      </c>
      <c r="E84" s="3" t="s">
        <v>54</v>
      </c>
      <c r="F84" s="3"/>
      <c r="G84" s="3" t="s">
        <v>80</v>
      </c>
      <c r="H84" s="4" t="s">
        <v>328</v>
      </c>
      <c r="I84" s="5" t="n">
        <v>27500.0</v>
      </c>
      <c r="J84" s="6" t="s">
        <v>333</v>
      </c>
      <c r="K84" s="7" t="s">
        <v>334</v>
      </c>
      <c r="L84" s="6" t="s">
        <v>335</v>
      </c>
      <c r="M84" s="7" t="s">
        <v>336</v>
      </c>
      <c r="N84" s="6"/>
      <c r="O84" s="7"/>
      <c r="P84" s="6" t="s">
        <v>337</v>
      </c>
      <c r="Q84" s="7" t="s">
        <v>275</v>
      </c>
      <c r="R84" s="6"/>
      <c r="S84" s="7"/>
      <c r="T84" s="6" t="s">
        <v>338</v>
      </c>
      <c r="U84" s="7" t="s">
        <v>339</v>
      </c>
      <c r="V84" s="8" t="n">
        <f>136.6</f>
        <v>136.6</v>
      </c>
      <c r="W84" s="9" t="n">
        <f>5349</f>
        <v>5349.0</v>
      </c>
      <c r="X84" s="9"/>
      <c r="Y84" s="9" t="n">
        <f>746828</f>
        <v>746828.0</v>
      </c>
      <c r="Z84" s="9"/>
      <c r="AA84" s="9" t="str">
        <f>"－"</f>
        <v>－</v>
      </c>
      <c r="AB84" s="6" t="s">
        <v>58</v>
      </c>
      <c r="AC84" s="10" t="n">
        <f>49</f>
        <v>49.0</v>
      </c>
      <c r="AD84" s="9" t="n">
        <f>5</f>
        <v>5.0</v>
      </c>
    </row>
    <row r="85">
      <c r="A85" s="3" t="s">
        <v>50</v>
      </c>
      <c r="B85" s="3" t="s">
        <v>131</v>
      </c>
      <c r="C85" s="43" t="s">
        <v>132</v>
      </c>
      <c r="D85" s="43" t="s">
        <v>133</v>
      </c>
      <c r="E85" s="3" t="s">
        <v>54</v>
      </c>
      <c r="F85" s="3"/>
      <c r="G85" s="3" t="s">
        <v>80</v>
      </c>
      <c r="H85" s="4" t="s">
        <v>340</v>
      </c>
      <c r="I85" s="5" t="n">
        <v>28000.0</v>
      </c>
      <c r="J85" s="6" t="s">
        <v>341</v>
      </c>
      <c r="K85" s="7" t="s">
        <v>342</v>
      </c>
      <c r="L85" s="6" t="s">
        <v>332</v>
      </c>
      <c r="M85" s="7" t="s">
        <v>343</v>
      </c>
      <c r="N85" s="6"/>
      <c r="O85" s="7"/>
      <c r="P85" s="6" t="s">
        <v>344</v>
      </c>
      <c r="Q85" s="7" t="s">
        <v>345</v>
      </c>
      <c r="R85" s="6"/>
      <c r="S85" s="7"/>
      <c r="T85" s="6" t="s">
        <v>344</v>
      </c>
      <c r="U85" s="7" t="s">
        <v>345</v>
      </c>
      <c r="V85" s="8" t="n">
        <f>234.5</f>
        <v>234.5</v>
      </c>
      <c r="W85" s="9" t="n">
        <f>10000</f>
        <v>10000.0</v>
      </c>
      <c r="X85" s="9"/>
      <c r="Y85" s="9" t="n">
        <f>2328000</f>
        <v>2328000.0</v>
      </c>
      <c r="Z85" s="9"/>
      <c r="AA85" s="9" t="str">
        <f>"－"</f>
        <v>－</v>
      </c>
      <c r="AB85" s="6" t="s">
        <v>58</v>
      </c>
      <c r="AC85" s="10" t="str">
        <f>"－"</f>
        <v>－</v>
      </c>
      <c r="AD85" s="9" t="n">
        <f>4</f>
        <v>4.0</v>
      </c>
    </row>
    <row r="86">
      <c r="A86" s="3" t="s">
        <v>50</v>
      </c>
      <c r="B86" s="3" t="s">
        <v>131</v>
      </c>
      <c r="C86" s="43" t="s">
        <v>132</v>
      </c>
      <c r="D86" s="43" t="s">
        <v>133</v>
      </c>
      <c r="E86" s="3" t="s">
        <v>54</v>
      </c>
      <c r="F86" s="3"/>
      <c r="G86" s="3" t="s">
        <v>80</v>
      </c>
      <c r="H86" s="4" t="s">
        <v>81</v>
      </c>
      <c r="I86" s="5" t="n">
        <v>28500.0</v>
      </c>
      <c r="J86" s="6" t="s">
        <v>337</v>
      </c>
      <c r="K86" s="7" t="s">
        <v>346</v>
      </c>
      <c r="L86" s="6" t="s">
        <v>337</v>
      </c>
      <c r="M86" s="7" t="s">
        <v>346</v>
      </c>
      <c r="N86" s="6"/>
      <c r="O86" s="7"/>
      <c r="P86" s="6" t="s">
        <v>347</v>
      </c>
      <c r="Q86" s="7" t="s">
        <v>348</v>
      </c>
      <c r="R86" s="6"/>
      <c r="S86" s="7"/>
      <c r="T86" s="6" t="s">
        <v>347</v>
      </c>
      <c r="U86" s="7" t="s">
        <v>348</v>
      </c>
      <c r="V86" s="8" t="n">
        <f>270</f>
        <v>270.0</v>
      </c>
      <c r="W86" s="9" t="n">
        <f>8000</f>
        <v>8000.0</v>
      </c>
      <c r="X86" s="9"/>
      <c r="Y86" s="9" t="n">
        <f>1915000</f>
        <v>1915000.0</v>
      </c>
      <c r="Z86" s="9"/>
      <c r="AA86" s="9" t="str">
        <f>"－"</f>
        <v>－</v>
      </c>
      <c r="AB86" s="6" t="s">
        <v>58</v>
      </c>
      <c r="AC86" s="10" t="str">
        <f>"－"</f>
        <v>－</v>
      </c>
      <c r="AD86" s="9" t="n">
        <f>3</f>
        <v>3.0</v>
      </c>
    </row>
    <row r="87">
      <c r="A87" s="3" t="s">
        <v>50</v>
      </c>
      <c r="B87" s="3" t="s">
        <v>131</v>
      </c>
      <c r="C87" s="43" t="s">
        <v>132</v>
      </c>
      <c r="D87" s="43" t="s">
        <v>133</v>
      </c>
      <c r="E87" s="3" t="s">
        <v>54</v>
      </c>
      <c r="F87" s="3"/>
      <c r="G87" s="3" t="s">
        <v>84</v>
      </c>
      <c r="H87" s="4" t="s">
        <v>167</v>
      </c>
      <c r="I87" s="5" t="n">
        <v>26000.0</v>
      </c>
      <c r="J87" s="6" t="s">
        <v>123</v>
      </c>
      <c r="K87" s="7" t="s">
        <v>349</v>
      </c>
      <c r="L87" s="6" t="s">
        <v>325</v>
      </c>
      <c r="M87" s="7" t="s">
        <v>350</v>
      </c>
      <c r="N87" s="6"/>
      <c r="O87" s="7"/>
      <c r="P87" s="6" t="s">
        <v>123</v>
      </c>
      <c r="Q87" s="7" t="s">
        <v>349</v>
      </c>
      <c r="R87" s="6"/>
      <c r="S87" s="7"/>
      <c r="T87" s="6" t="s">
        <v>351</v>
      </c>
      <c r="U87" s="7" t="s">
        <v>352</v>
      </c>
      <c r="V87" s="8" t="n">
        <f>479</f>
        <v>479.0</v>
      </c>
      <c r="W87" s="9" t="n">
        <f>290</f>
        <v>290.0</v>
      </c>
      <c r="X87" s="9"/>
      <c r="Y87" s="9" t="n">
        <f>142620</f>
        <v>142620.0</v>
      </c>
      <c r="Z87" s="9"/>
      <c r="AA87" s="9" t="str">
        <f>"－"</f>
        <v>－</v>
      </c>
      <c r="AB87" s="6" t="s">
        <v>58</v>
      </c>
      <c r="AC87" s="10" t="n">
        <f>50</f>
        <v>50.0</v>
      </c>
      <c r="AD87" s="9" t="n">
        <f>3</f>
        <v>3.0</v>
      </c>
    </row>
    <row r="88">
      <c r="A88" s="3" t="s">
        <v>50</v>
      </c>
      <c r="B88" s="3" t="s">
        <v>131</v>
      </c>
      <c r="C88" s="43" t="s">
        <v>132</v>
      </c>
      <c r="D88" s="43" t="s">
        <v>133</v>
      </c>
      <c r="E88" s="3" t="s">
        <v>54</v>
      </c>
      <c r="F88" s="3"/>
      <c r="G88" s="3" t="s">
        <v>84</v>
      </c>
      <c r="H88" s="4" t="s">
        <v>167</v>
      </c>
      <c r="I88" s="5" t="n">
        <v>26500.0</v>
      </c>
      <c r="J88" s="6" t="s">
        <v>123</v>
      </c>
      <c r="K88" s="7" t="s">
        <v>353</v>
      </c>
      <c r="L88" s="6" t="s">
        <v>325</v>
      </c>
      <c r="M88" s="7" t="s">
        <v>354</v>
      </c>
      <c r="N88" s="6"/>
      <c r="O88" s="7"/>
      <c r="P88" s="6" t="s">
        <v>86</v>
      </c>
      <c r="Q88" s="7" t="s">
        <v>143</v>
      </c>
      <c r="R88" s="6"/>
      <c r="S88" s="7"/>
      <c r="T88" s="6" t="s">
        <v>86</v>
      </c>
      <c r="U88" s="7" t="s">
        <v>143</v>
      </c>
      <c r="V88" s="8" t="n">
        <f>536.67</f>
        <v>536.67</v>
      </c>
      <c r="W88" s="9" t="n">
        <f>1120</f>
        <v>1120.0</v>
      </c>
      <c r="X88" s="9"/>
      <c r="Y88" s="9" t="n">
        <f>522120</f>
        <v>522120.0</v>
      </c>
      <c r="Z88" s="9"/>
      <c r="AA88" s="9" t="str">
        <f>"－"</f>
        <v>－</v>
      </c>
      <c r="AB88" s="6" t="s">
        <v>58</v>
      </c>
      <c r="AC88" s="10" t="str">
        <f>"－"</f>
        <v>－</v>
      </c>
      <c r="AD88" s="9" t="n">
        <f>3</f>
        <v>3.0</v>
      </c>
    </row>
    <row r="89">
      <c r="A89" s="3" t="s">
        <v>50</v>
      </c>
      <c r="B89" s="3" t="s">
        <v>131</v>
      </c>
      <c r="C89" s="43" t="s">
        <v>132</v>
      </c>
      <c r="D89" s="43" t="s">
        <v>133</v>
      </c>
      <c r="E89" s="3" t="s">
        <v>54</v>
      </c>
      <c r="F89" s="3"/>
      <c r="G89" s="3" t="s">
        <v>84</v>
      </c>
      <c r="H89" s="4" t="s">
        <v>144</v>
      </c>
      <c r="I89" s="5" t="n">
        <v>27000.0</v>
      </c>
      <c r="J89" s="6" t="s">
        <v>332</v>
      </c>
      <c r="K89" s="7" t="s">
        <v>355</v>
      </c>
      <c r="L89" s="6" t="s">
        <v>332</v>
      </c>
      <c r="M89" s="7" t="s">
        <v>355</v>
      </c>
      <c r="N89" s="6"/>
      <c r="O89" s="7"/>
      <c r="P89" s="6" t="s">
        <v>332</v>
      </c>
      <c r="Q89" s="7" t="s">
        <v>355</v>
      </c>
      <c r="R89" s="6"/>
      <c r="S89" s="7"/>
      <c r="T89" s="6" t="s">
        <v>332</v>
      </c>
      <c r="U89" s="7" t="s">
        <v>355</v>
      </c>
      <c r="V89" s="8" t="n">
        <f>283</f>
        <v>283.0</v>
      </c>
      <c r="W89" s="9" t="n">
        <f>50</f>
        <v>50.0</v>
      </c>
      <c r="X89" s="9"/>
      <c r="Y89" s="9" t="n">
        <f>14150</f>
        <v>14150.0</v>
      </c>
      <c r="Z89" s="9"/>
      <c r="AA89" s="9" t="str">
        <f>"－"</f>
        <v>－</v>
      </c>
      <c r="AB89" s="6" t="s">
        <v>58</v>
      </c>
      <c r="AC89" s="10" t="n">
        <f>50</f>
        <v>50.0</v>
      </c>
      <c r="AD89" s="9" t="n">
        <f>1</f>
        <v>1.0</v>
      </c>
    </row>
    <row r="90">
      <c r="A90" s="3" t="s">
        <v>50</v>
      </c>
      <c r="B90" s="3" t="s">
        <v>131</v>
      </c>
      <c r="C90" s="43" t="s">
        <v>132</v>
      </c>
      <c r="D90" s="43" t="s">
        <v>133</v>
      </c>
      <c r="E90" s="3" t="s">
        <v>54</v>
      </c>
      <c r="F90" s="3"/>
      <c r="G90" s="3" t="s">
        <v>84</v>
      </c>
      <c r="H90" s="4" t="s">
        <v>149</v>
      </c>
      <c r="I90" s="5" t="n">
        <v>27500.0</v>
      </c>
      <c r="J90" s="6" t="s">
        <v>338</v>
      </c>
      <c r="K90" s="7" t="s">
        <v>356</v>
      </c>
      <c r="L90" s="6" t="s">
        <v>338</v>
      </c>
      <c r="M90" s="7" t="s">
        <v>356</v>
      </c>
      <c r="N90" s="6"/>
      <c r="O90" s="7"/>
      <c r="P90" s="6" t="s">
        <v>357</v>
      </c>
      <c r="Q90" s="7" t="s">
        <v>319</v>
      </c>
      <c r="R90" s="6"/>
      <c r="S90" s="7"/>
      <c r="T90" s="6" t="s">
        <v>357</v>
      </c>
      <c r="U90" s="7" t="s">
        <v>319</v>
      </c>
      <c r="V90" s="8" t="n">
        <f>205.25</f>
        <v>205.25</v>
      </c>
      <c r="W90" s="9" t="n">
        <f>6195</f>
        <v>6195.0</v>
      </c>
      <c r="X90" s="9"/>
      <c r="Y90" s="9" t="n">
        <f>1089860</f>
        <v>1089860.0</v>
      </c>
      <c r="Z90" s="9"/>
      <c r="AA90" s="9" t="str">
        <f>"－"</f>
        <v>－</v>
      </c>
      <c r="AB90" s="6" t="s">
        <v>58</v>
      </c>
      <c r="AC90" s="10" t="n">
        <f>165</f>
        <v>165.0</v>
      </c>
      <c r="AD90" s="9" t="n">
        <f>4</f>
        <v>4.0</v>
      </c>
    </row>
    <row r="91">
      <c r="A91" s="3" t="s">
        <v>50</v>
      </c>
      <c r="B91" s="3" t="s">
        <v>131</v>
      </c>
      <c r="C91" s="43" t="s">
        <v>132</v>
      </c>
      <c r="D91" s="43" t="s">
        <v>133</v>
      </c>
      <c r="E91" s="3" t="s">
        <v>54</v>
      </c>
      <c r="F91" s="3"/>
      <c r="G91" s="3" t="s">
        <v>84</v>
      </c>
      <c r="H91" s="4" t="s">
        <v>358</v>
      </c>
      <c r="I91" s="5" t="n">
        <v>28000.0</v>
      </c>
      <c r="J91" s="6" t="s">
        <v>359</v>
      </c>
      <c r="K91" s="7" t="s">
        <v>360</v>
      </c>
      <c r="L91" s="6" t="s">
        <v>359</v>
      </c>
      <c r="M91" s="7" t="s">
        <v>360</v>
      </c>
      <c r="N91" s="6"/>
      <c r="O91" s="7"/>
      <c r="P91" s="6" t="s">
        <v>361</v>
      </c>
      <c r="Q91" s="7" t="s">
        <v>362</v>
      </c>
      <c r="R91" s="6"/>
      <c r="S91" s="7"/>
      <c r="T91" s="6" t="s">
        <v>363</v>
      </c>
      <c r="U91" s="7" t="s">
        <v>364</v>
      </c>
      <c r="V91" s="8" t="n">
        <f>194.11</f>
        <v>194.11</v>
      </c>
      <c r="W91" s="9" t="n">
        <f>726</f>
        <v>726.0</v>
      </c>
      <c r="X91" s="9"/>
      <c r="Y91" s="9" t="n">
        <f>159852</f>
        <v>159852.0</v>
      </c>
      <c r="Z91" s="9"/>
      <c r="AA91" s="9" t="str">
        <f>"－"</f>
        <v>－</v>
      </c>
      <c r="AB91" s="6" t="s">
        <v>58</v>
      </c>
      <c r="AC91" s="10" t="n">
        <f>286</f>
        <v>286.0</v>
      </c>
      <c r="AD91" s="9" t="n">
        <f>9</f>
        <v>9.0</v>
      </c>
    </row>
    <row r="92">
      <c r="A92" s="3" t="s">
        <v>50</v>
      </c>
      <c r="B92" s="3" t="s">
        <v>131</v>
      </c>
      <c r="C92" s="43" t="s">
        <v>132</v>
      </c>
      <c r="D92" s="43" t="s">
        <v>133</v>
      </c>
      <c r="E92" s="3" t="s">
        <v>54</v>
      </c>
      <c r="F92" s="3"/>
      <c r="G92" s="3" t="s">
        <v>84</v>
      </c>
      <c r="H92" s="4" t="s">
        <v>85</v>
      </c>
      <c r="I92" s="5" t="n">
        <v>28500.0</v>
      </c>
      <c r="J92" s="6" t="s">
        <v>365</v>
      </c>
      <c r="K92" s="7" t="s">
        <v>366</v>
      </c>
      <c r="L92" s="6" t="s">
        <v>365</v>
      </c>
      <c r="M92" s="7" t="s">
        <v>366</v>
      </c>
      <c r="N92" s="6"/>
      <c r="O92" s="7"/>
      <c r="P92" s="6" t="s">
        <v>367</v>
      </c>
      <c r="Q92" s="7" t="s">
        <v>368</v>
      </c>
      <c r="R92" s="6"/>
      <c r="S92" s="7"/>
      <c r="T92" s="6" t="s">
        <v>357</v>
      </c>
      <c r="U92" s="7" t="s">
        <v>369</v>
      </c>
      <c r="V92" s="8" t="n">
        <f>294.08</f>
        <v>294.08</v>
      </c>
      <c r="W92" s="9" t="n">
        <f>16285</f>
        <v>16285.0</v>
      </c>
      <c r="X92" s="9"/>
      <c r="Y92" s="9" t="n">
        <f>5574223</f>
        <v>5574223.0</v>
      </c>
      <c r="Z92" s="9"/>
      <c r="AA92" s="9" t="str">
        <f>"－"</f>
        <v>－</v>
      </c>
      <c r="AB92" s="6" t="s">
        <v>58</v>
      </c>
      <c r="AC92" s="10" t="n">
        <f>285</f>
        <v>285.0</v>
      </c>
      <c r="AD92" s="9" t="n">
        <f>12</f>
        <v>12.0</v>
      </c>
    </row>
    <row r="93">
      <c r="A93" s="3" t="s">
        <v>50</v>
      </c>
      <c r="B93" s="3" t="s">
        <v>131</v>
      </c>
      <c r="C93" s="43" t="s">
        <v>132</v>
      </c>
      <c r="D93" s="43" t="s">
        <v>133</v>
      </c>
      <c r="E93" s="3" t="s">
        <v>54</v>
      </c>
      <c r="F93" s="3"/>
      <c r="G93" s="3" t="s">
        <v>84</v>
      </c>
      <c r="H93" s="4" t="s">
        <v>85</v>
      </c>
      <c r="I93" s="5" t="n">
        <v>29000.0</v>
      </c>
      <c r="J93" s="6" t="s">
        <v>370</v>
      </c>
      <c r="K93" s="7" t="s">
        <v>371</v>
      </c>
      <c r="L93" s="6" t="s">
        <v>372</v>
      </c>
      <c r="M93" s="7" t="s">
        <v>157</v>
      </c>
      <c r="N93" s="6"/>
      <c r="O93" s="7"/>
      <c r="P93" s="6" t="s">
        <v>367</v>
      </c>
      <c r="Q93" s="7" t="s">
        <v>373</v>
      </c>
      <c r="R93" s="6"/>
      <c r="S93" s="7"/>
      <c r="T93" s="6" t="s">
        <v>367</v>
      </c>
      <c r="U93" s="7" t="s">
        <v>373</v>
      </c>
      <c r="V93" s="8" t="n">
        <f>289.25</f>
        <v>289.25</v>
      </c>
      <c r="W93" s="9" t="n">
        <f>6000</f>
        <v>6000.0</v>
      </c>
      <c r="X93" s="9"/>
      <c r="Y93" s="9" t="n">
        <f>1730000</f>
        <v>1730000.0</v>
      </c>
      <c r="Z93" s="9"/>
      <c r="AA93" s="9" t="str">
        <f>"－"</f>
        <v>－</v>
      </c>
      <c r="AB93" s="6" t="s">
        <v>58</v>
      </c>
      <c r="AC93" s="10" t="str">
        <f>"－"</f>
        <v>－</v>
      </c>
      <c r="AD93" s="9" t="n">
        <f>4</f>
        <v>4.0</v>
      </c>
    </row>
    <row r="94">
      <c r="A94" s="3" t="s">
        <v>50</v>
      </c>
      <c r="B94" s="3" t="s">
        <v>131</v>
      </c>
      <c r="C94" s="43" t="s">
        <v>132</v>
      </c>
      <c r="D94" s="43" t="s">
        <v>133</v>
      </c>
      <c r="E94" s="3" t="s">
        <v>54</v>
      </c>
      <c r="F94" s="3"/>
      <c r="G94" s="3" t="s">
        <v>84</v>
      </c>
      <c r="H94" s="4" t="s">
        <v>85</v>
      </c>
      <c r="I94" s="5" t="n">
        <v>29500.0</v>
      </c>
      <c r="J94" s="6" t="s">
        <v>374</v>
      </c>
      <c r="K94" s="7" t="s">
        <v>375</v>
      </c>
      <c r="L94" s="6" t="s">
        <v>376</v>
      </c>
      <c r="M94" s="7" t="s">
        <v>377</v>
      </c>
      <c r="N94" s="6"/>
      <c r="O94" s="7"/>
      <c r="P94" s="6" t="s">
        <v>367</v>
      </c>
      <c r="Q94" s="7" t="s">
        <v>378</v>
      </c>
      <c r="R94" s="6"/>
      <c r="S94" s="7"/>
      <c r="T94" s="6" t="s">
        <v>361</v>
      </c>
      <c r="U94" s="7" t="s">
        <v>379</v>
      </c>
      <c r="V94" s="8" t="n">
        <f>639.57</f>
        <v>639.57</v>
      </c>
      <c r="W94" s="9" t="n">
        <f>18000</f>
        <v>18000.0</v>
      </c>
      <c r="X94" s="9"/>
      <c r="Y94" s="9" t="n">
        <f>10748000</f>
        <v>1.0748E7</v>
      </c>
      <c r="Z94" s="9"/>
      <c r="AA94" s="9" t="str">
        <f>"－"</f>
        <v>－</v>
      </c>
      <c r="AB94" s="6" t="s">
        <v>58</v>
      </c>
      <c r="AC94" s="10" t="str">
        <f>"－"</f>
        <v>－</v>
      </c>
      <c r="AD94" s="9" t="n">
        <f>7</f>
        <v>7.0</v>
      </c>
    </row>
    <row r="95">
      <c r="A95" s="3" t="s">
        <v>50</v>
      </c>
      <c r="B95" s="3" t="s">
        <v>131</v>
      </c>
      <c r="C95" s="43" t="s">
        <v>132</v>
      </c>
      <c r="D95" s="43" t="s">
        <v>133</v>
      </c>
      <c r="E95" s="3" t="s">
        <v>54</v>
      </c>
      <c r="F95" s="3"/>
      <c r="G95" s="3" t="s">
        <v>88</v>
      </c>
      <c r="H95" s="4" t="s">
        <v>380</v>
      </c>
      <c r="I95" s="5" t="n">
        <v>27000.0</v>
      </c>
      <c r="J95" s="6" t="s">
        <v>98</v>
      </c>
      <c r="K95" s="7" t="s">
        <v>334</v>
      </c>
      <c r="L95" s="6" t="s">
        <v>381</v>
      </c>
      <c r="M95" s="7" t="s">
        <v>382</v>
      </c>
      <c r="N95" s="6"/>
      <c r="O95" s="7"/>
      <c r="P95" s="6" t="s">
        <v>383</v>
      </c>
      <c r="Q95" s="7" t="s">
        <v>384</v>
      </c>
      <c r="R95" s="6"/>
      <c r="S95" s="7"/>
      <c r="T95" s="6" t="s">
        <v>383</v>
      </c>
      <c r="U95" s="7" t="s">
        <v>384</v>
      </c>
      <c r="V95" s="8" t="n">
        <f>268.88</f>
        <v>268.88</v>
      </c>
      <c r="W95" s="9" t="n">
        <f>514</f>
        <v>514.0</v>
      </c>
      <c r="X95" s="9"/>
      <c r="Y95" s="9" t="n">
        <f>130270</f>
        <v>130270.0</v>
      </c>
      <c r="Z95" s="9"/>
      <c r="AA95" s="9" t="str">
        <f>"－"</f>
        <v>－</v>
      </c>
      <c r="AB95" s="6" t="s">
        <v>58</v>
      </c>
      <c r="AC95" s="10" t="n">
        <f>494</f>
        <v>494.0</v>
      </c>
      <c r="AD95" s="9" t="n">
        <f>8</f>
        <v>8.0</v>
      </c>
    </row>
    <row r="96">
      <c r="A96" s="3" t="s">
        <v>50</v>
      </c>
      <c r="B96" s="3" t="s">
        <v>131</v>
      </c>
      <c r="C96" s="43" t="s">
        <v>132</v>
      </c>
      <c r="D96" s="43" t="s">
        <v>133</v>
      </c>
      <c r="E96" s="3" t="s">
        <v>54</v>
      </c>
      <c r="F96" s="3"/>
      <c r="G96" s="3" t="s">
        <v>88</v>
      </c>
      <c r="H96" s="4" t="s">
        <v>89</v>
      </c>
      <c r="I96" s="5" t="n">
        <v>27500.0</v>
      </c>
      <c r="J96" s="6" t="s">
        <v>361</v>
      </c>
      <c r="K96" s="7" t="s">
        <v>385</v>
      </c>
      <c r="L96" s="6" t="s">
        <v>363</v>
      </c>
      <c r="M96" s="7" t="s">
        <v>386</v>
      </c>
      <c r="N96" s="6"/>
      <c r="O96" s="7"/>
      <c r="P96" s="6" t="s">
        <v>94</v>
      </c>
      <c r="Q96" s="7" t="s">
        <v>387</v>
      </c>
      <c r="R96" s="6"/>
      <c r="S96" s="7"/>
      <c r="T96" s="6" t="s">
        <v>388</v>
      </c>
      <c r="U96" s="7" t="s">
        <v>389</v>
      </c>
      <c r="V96" s="8" t="n">
        <f>343</f>
        <v>343.0</v>
      </c>
      <c r="W96" s="9" t="n">
        <f>10987</f>
        <v>10987.0</v>
      </c>
      <c r="X96" s="9"/>
      <c r="Y96" s="9" t="n">
        <f>4707720</f>
        <v>4707720.0</v>
      </c>
      <c r="Z96" s="9"/>
      <c r="AA96" s="9" t="n">
        <f>967</f>
        <v>967.0</v>
      </c>
      <c r="AB96" s="6" t="s">
        <v>58</v>
      </c>
      <c r="AC96" s="10" t="str">
        <f>"－"</f>
        <v>－</v>
      </c>
      <c r="AD96" s="9" t="n">
        <f>12</f>
        <v>12.0</v>
      </c>
    </row>
    <row r="97">
      <c r="A97" s="3" t="s">
        <v>50</v>
      </c>
      <c r="B97" s="3" t="s">
        <v>131</v>
      </c>
      <c r="C97" s="43" t="s">
        <v>132</v>
      </c>
      <c r="D97" s="43" t="s">
        <v>133</v>
      </c>
      <c r="E97" s="3" t="s">
        <v>54</v>
      </c>
      <c r="F97" s="3"/>
      <c r="G97" s="3" t="s">
        <v>88</v>
      </c>
      <c r="H97" s="4" t="s">
        <v>89</v>
      </c>
      <c r="I97" s="5" t="n">
        <v>28000.0</v>
      </c>
      <c r="J97" s="6" t="s">
        <v>374</v>
      </c>
      <c r="K97" s="7" t="s">
        <v>169</v>
      </c>
      <c r="L97" s="6" t="s">
        <v>390</v>
      </c>
      <c r="M97" s="7" t="s">
        <v>304</v>
      </c>
      <c r="N97" s="6"/>
      <c r="O97" s="7"/>
      <c r="P97" s="6" t="s">
        <v>374</v>
      </c>
      <c r="Q97" s="7" t="s">
        <v>169</v>
      </c>
      <c r="R97" s="6"/>
      <c r="S97" s="7"/>
      <c r="T97" s="6" t="s">
        <v>390</v>
      </c>
      <c r="U97" s="7" t="s">
        <v>304</v>
      </c>
      <c r="V97" s="8" t="n">
        <f>506.56</f>
        <v>506.56</v>
      </c>
      <c r="W97" s="9" t="n">
        <f>10775</f>
        <v>10775.0</v>
      </c>
      <c r="X97" s="9"/>
      <c r="Y97" s="9" t="n">
        <f>5786942</f>
        <v>5786942.0</v>
      </c>
      <c r="Z97" s="9"/>
      <c r="AA97" s="9" t="n">
        <f>775</f>
        <v>775.0</v>
      </c>
      <c r="AB97" s="6" t="s">
        <v>58</v>
      </c>
      <c r="AC97" s="10" t="str">
        <f>"－"</f>
        <v>－</v>
      </c>
      <c r="AD97" s="9" t="n">
        <f>9</f>
        <v>9.0</v>
      </c>
    </row>
    <row r="98">
      <c r="A98" s="3" t="s">
        <v>50</v>
      </c>
      <c r="B98" s="3" t="s">
        <v>131</v>
      </c>
      <c r="C98" s="43" t="s">
        <v>132</v>
      </c>
      <c r="D98" s="43" t="s">
        <v>133</v>
      </c>
      <c r="E98" s="3" t="s">
        <v>54</v>
      </c>
      <c r="F98" s="3"/>
      <c r="G98" s="3" t="s">
        <v>88</v>
      </c>
      <c r="H98" s="4" t="s">
        <v>89</v>
      </c>
      <c r="I98" s="5" t="n">
        <v>28500.0</v>
      </c>
      <c r="J98" s="6" t="s">
        <v>374</v>
      </c>
      <c r="K98" s="7" t="s">
        <v>391</v>
      </c>
      <c r="L98" s="6" t="s">
        <v>392</v>
      </c>
      <c r="M98" s="7" t="s">
        <v>393</v>
      </c>
      <c r="N98" s="6"/>
      <c r="O98" s="7"/>
      <c r="P98" s="6" t="s">
        <v>394</v>
      </c>
      <c r="Q98" s="7" t="s">
        <v>288</v>
      </c>
      <c r="R98" s="6"/>
      <c r="S98" s="7"/>
      <c r="T98" s="6" t="s">
        <v>98</v>
      </c>
      <c r="U98" s="7" t="s">
        <v>395</v>
      </c>
      <c r="V98" s="8" t="n">
        <f>485.11</f>
        <v>485.11</v>
      </c>
      <c r="W98" s="9" t="n">
        <f>10606</f>
        <v>10606.0</v>
      </c>
      <c r="X98" s="9"/>
      <c r="Y98" s="9" t="n">
        <f>5764640</f>
        <v>5764640.0</v>
      </c>
      <c r="Z98" s="9"/>
      <c r="AA98" s="9" t="n">
        <f>606</f>
        <v>606.0</v>
      </c>
      <c r="AB98" s="6" t="s">
        <v>58</v>
      </c>
      <c r="AC98" s="10" t="str">
        <f>"－"</f>
        <v>－</v>
      </c>
      <c r="AD98" s="9" t="n">
        <f>9</f>
        <v>9.0</v>
      </c>
    </row>
    <row r="99">
      <c r="A99" s="3" t="s">
        <v>50</v>
      </c>
      <c r="B99" s="3" t="s">
        <v>131</v>
      </c>
      <c r="C99" s="43" t="s">
        <v>132</v>
      </c>
      <c r="D99" s="43" t="s">
        <v>133</v>
      </c>
      <c r="E99" s="3" t="s">
        <v>54</v>
      </c>
      <c r="F99" s="3"/>
      <c r="G99" s="3" t="s">
        <v>88</v>
      </c>
      <c r="H99" s="4" t="s">
        <v>89</v>
      </c>
      <c r="I99" s="5" t="n">
        <v>29000.0</v>
      </c>
      <c r="J99" s="6" t="s">
        <v>396</v>
      </c>
      <c r="K99" s="7" t="s">
        <v>397</v>
      </c>
      <c r="L99" s="6" t="s">
        <v>396</v>
      </c>
      <c r="M99" s="7" t="s">
        <v>397</v>
      </c>
      <c r="N99" s="6"/>
      <c r="O99" s="7"/>
      <c r="P99" s="6" t="s">
        <v>394</v>
      </c>
      <c r="Q99" s="7" t="s">
        <v>171</v>
      </c>
      <c r="R99" s="6"/>
      <c r="S99" s="7"/>
      <c r="T99" s="6" t="s">
        <v>394</v>
      </c>
      <c r="U99" s="7" t="s">
        <v>171</v>
      </c>
      <c r="V99" s="8" t="n">
        <f>456</f>
        <v>456.0</v>
      </c>
      <c r="W99" s="9" t="n">
        <f>117</f>
        <v>117.0</v>
      </c>
      <c r="X99" s="9"/>
      <c r="Y99" s="9" t="n">
        <f>55874</f>
        <v>55874.0</v>
      </c>
      <c r="Z99" s="9"/>
      <c r="AA99" s="9" t="n">
        <f>117</f>
        <v>117.0</v>
      </c>
      <c r="AB99" s="6" t="s">
        <v>58</v>
      </c>
      <c r="AC99" s="10" t="str">
        <f>"－"</f>
        <v>－</v>
      </c>
      <c r="AD99" s="9" t="n">
        <f>2</f>
        <v>2.0</v>
      </c>
    </row>
    <row r="100">
      <c r="A100" s="3" t="s">
        <v>50</v>
      </c>
      <c r="B100" s="3" t="s">
        <v>131</v>
      </c>
      <c r="C100" s="43" t="s">
        <v>132</v>
      </c>
      <c r="D100" s="43" t="s">
        <v>133</v>
      </c>
      <c r="E100" s="3" t="s">
        <v>54</v>
      </c>
      <c r="F100" s="3"/>
      <c r="G100" s="3" t="s">
        <v>96</v>
      </c>
      <c r="H100" s="4" t="s">
        <v>398</v>
      </c>
      <c r="I100" s="5" t="n">
        <v>27000.0</v>
      </c>
      <c r="J100" s="6" t="s">
        <v>399</v>
      </c>
      <c r="K100" s="7" t="s">
        <v>400</v>
      </c>
      <c r="L100" s="6" t="s">
        <v>399</v>
      </c>
      <c r="M100" s="7" t="s">
        <v>400</v>
      </c>
      <c r="N100" s="6"/>
      <c r="O100" s="7"/>
      <c r="P100" s="6" t="s">
        <v>399</v>
      </c>
      <c r="Q100" s="7" t="s">
        <v>400</v>
      </c>
      <c r="R100" s="6"/>
      <c r="S100" s="7"/>
      <c r="T100" s="6" t="s">
        <v>399</v>
      </c>
      <c r="U100" s="7" t="s">
        <v>400</v>
      </c>
      <c r="V100" s="8" t="n">
        <f>192</f>
        <v>192.0</v>
      </c>
      <c r="W100" s="9" t="n">
        <f>100</f>
        <v>100.0</v>
      </c>
      <c r="X100" s="9"/>
      <c r="Y100" s="9" t="n">
        <f>19200</f>
        <v>19200.0</v>
      </c>
      <c r="Z100" s="9"/>
      <c r="AA100" s="9" t="str">
        <f>"－"</f>
        <v>－</v>
      </c>
      <c r="AB100" s="6" t="s">
        <v>58</v>
      </c>
      <c r="AC100" s="10" t="n">
        <f>100</f>
        <v>100.0</v>
      </c>
      <c r="AD100" s="9" t="n">
        <f>1</f>
        <v>1.0</v>
      </c>
    </row>
    <row r="101">
      <c r="A101" s="3" t="s">
        <v>50</v>
      </c>
      <c r="B101" s="3" t="s">
        <v>131</v>
      </c>
      <c r="C101" s="43" t="s">
        <v>132</v>
      </c>
      <c r="D101" s="43" t="s">
        <v>133</v>
      </c>
      <c r="E101" s="3" t="s">
        <v>54</v>
      </c>
      <c r="F101" s="3"/>
      <c r="G101" s="3" t="s">
        <v>96</v>
      </c>
      <c r="H101" s="4" t="s">
        <v>97</v>
      </c>
      <c r="I101" s="5" t="n">
        <v>27500.0</v>
      </c>
      <c r="J101" s="6" t="s">
        <v>98</v>
      </c>
      <c r="K101" s="7" t="s">
        <v>327</v>
      </c>
      <c r="L101" s="6" t="s">
        <v>401</v>
      </c>
      <c r="M101" s="7" t="s">
        <v>402</v>
      </c>
      <c r="N101" s="6"/>
      <c r="O101" s="7"/>
      <c r="P101" s="6" t="s">
        <v>403</v>
      </c>
      <c r="Q101" s="7" t="s">
        <v>404</v>
      </c>
      <c r="R101" s="6"/>
      <c r="S101" s="7"/>
      <c r="T101" s="6" t="s">
        <v>403</v>
      </c>
      <c r="U101" s="7" t="s">
        <v>227</v>
      </c>
      <c r="V101" s="8" t="n">
        <f>494.53</f>
        <v>494.53</v>
      </c>
      <c r="W101" s="9" t="n">
        <f>24638</f>
        <v>24638.0</v>
      </c>
      <c r="X101" s="9"/>
      <c r="Y101" s="9" t="n">
        <f>14195986</f>
        <v>1.4195986E7</v>
      </c>
      <c r="Z101" s="9"/>
      <c r="AA101" s="9" t="str">
        <f>"－"</f>
        <v>－</v>
      </c>
      <c r="AB101" s="6" t="s">
        <v>58</v>
      </c>
      <c r="AC101" s="10" t="n">
        <f>818</f>
        <v>818.0</v>
      </c>
      <c r="AD101" s="9" t="n">
        <f>15</f>
        <v>15.0</v>
      </c>
    </row>
    <row r="102">
      <c r="A102" s="3" t="s">
        <v>50</v>
      </c>
      <c r="B102" s="3" t="s">
        <v>131</v>
      </c>
      <c r="C102" s="43" t="s">
        <v>132</v>
      </c>
      <c r="D102" s="43" t="s">
        <v>133</v>
      </c>
      <c r="E102" s="3" t="s">
        <v>54</v>
      </c>
      <c r="F102" s="3"/>
      <c r="G102" s="3" t="s">
        <v>96</v>
      </c>
      <c r="H102" s="4" t="s">
        <v>97</v>
      </c>
      <c r="I102" s="5" t="n">
        <v>28000.0</v>
      </c>
      <c r="J102" s="6" t="s">
        <v>94</v>
      </c>
      <c r="K102" s="7" t="s">
        <v>405</v>
      </c>
      <c r="L102" s="6" t="s">
        <v>406</v>
      </c>
      <c r="M102" s="7" t="s">
        <v>354</v>
      </c>
      <c r="N102" s="6"/>
      <c r="O102" s="7"/>
      <c r="P102" s="6" t="s">
        <v>129</v>
      </c>
      <c r="Q102" s="7" t="s">
        <v>336</v>
      </c>
      <c r="R102" s="6"/>
      <c r="S102" s="7"/>
      <c r="T102" s="6" t="s">
        <v>129</v>
      </c>
      <c r="U102" s="7" t="s">
        <v>336</v>
      </c>
      <c r="V102" s="8" t="n">
        <f>452.75</f>
        <v>452.75</v>
      </c>
      <c r="W102" s="9" t="n">
        <f>12420</f>
        <v>12420.0</v>
      </c>
      <c r="X102" s="9"/>
      <c r="Y102" s="9" t="n">
        <f>5646340</f>
        <v>5646340.0</v>
      </c>
      <c r="Z102" s="9"/>
      <c r="AA102" s="9" t="str">
        <f>"－"</f>
        <v>－</v>
      </c>
      <c r="AB102" s="6" t="s">
        <v>58</v>
      </c>
      <c r="AC102" s="10" t="n">
        <f>20</f>
        <v>20.0</v>
      </c>
      <c r="AD102" s="9" t="n">
        <f>8</f>
        <v>8.0</v>
      </c>
    </row>
    <row r="103">
      <c r="A103" s="3" t="s">
        <v>50</v>
      </c>
      <c r="B103" s="3" t="s">
        <v>131</v>
      </c>
      <c r="C103" s="43" t="s">
        <v>132</v>
      </c>
      <c r="D103" s="43" t="s">
        <v>133</v>
      </c>
      <c r="E103" s="3" t="s">
        <v>54</v>
      </c>
      <c r="F103" s="3"/>
      <c r="G103" s="3" t="s">
        <v>96</v>
      </c>
      <c r="H103" s="4" t="s">
        <v>97</v>
      </c>
      <c r="I103" s="5" t="n">
        <v>28500.0</v>
      </c>
      <c r="J103" s="6" t="s">
        <v>381</v>
      </c>
      <c r="K103" s="7" t="s">
        <v>407</v>
      </c>
      <c r="L103" s="6" t="s">
        <v>381</v>
      </c>
      <c r="M103" s="7" t="s">
        <v>407</v>
      </c>
      <c r="N103" s="6"/>
      <c r="O103" s="7"/>
      <c r="P103" s="6" t="s">
        <v>408</v>
      </c>
      <c r="Q103" s="7" t="s">
        <v>364</v>
      </c>
      <c r="R103" s="6"/>
      <c r="S103" s="7"/>
      <c r="T103" s="6" t="s">
        <v>408</v>
      </c>
      <c r="U103" s="7" t="s">
        <v>364</v>
      </c>
      <c r="V103" s="8" t="n">
        <f>705.5</f>
        <v>705.5</v>
      </c>
      <c r="W103" s="9" t="n">
        <f>2280</f>
        <v>2280.0</v>
      </c>
      <c r="X103" s="9"/>
      <c r="Y103" s="9" t="n">
        <f>833400</f>
        <v>833400.0</v>
      </c>
      <c r="Z103" s="9"/>
      <c r="AA103" s="9" t="n">
        <f>1280</f>
        <v>1280.0</v>
      </c>
      <c r="AB103" s="6" t="s">
        <v>58</v>
      </c>
      <c r="AC103" s="10" t="str">
        <f>"－"</f>
        <v>－</v>
      </c>
      <c r="AD103" s="9" t="n">
        <f>4</f>
        <v>4.0</v>
      </c>
    </row>
    <row r="104">
      <c r="A104" s="3" t="s">
        <v>50</v>
      </c>
      <c r="B104" s="3" t="s">
        <v>131</v>
      </c>
      <c r="C104" s="43" t="s">
        <v>132</v>
      </c>
      <c r="D104" s="43" t="s">
        <v>133</v>
      </c>
      <c r="E104" s="3" t="s">
        <v>54</v>
      </c>
      <c r="F104" s="3"/>
      <c r="G104" s="3" t="s">
        <v>127</v>
      </c>
      <c r="H104" s="4" t="s">
        <v>128</v>
      </c>
      <c r="I104" s="5" t="n">
        <v>27000.0</v>
      </c>
      <c r="J104" s="6" t="s">
        <v>409</v>
      </c>
      <c r="K104" s="7" t="s">
        <v>410</v>
      </c>
      <c r="L104" s="6" t="s">
        <v>411</v>
      </c>
      <c r="M104" s="7" t="s">
        <v>412</v>
      </c>
      <c r="N104" s="6"/>
      <c r="O104" s="7"/>
      <c r="P104" s="6" t="s">
        <v>413</v>
      </c>
      <c r="Q104" s="7" t="s">
        <v>414</v>
      </c>
      <c r="R104" s="6"/>
      <c r="S104" s="7"/>
      <c r="T104" s="6" t="s">
        <v>413</v>
      </c>
      <c r="U104" s="7" t="s">
        <v>414</v>
      </c>
      <c r="V104" s="8" t="n">
        <f>312</f>
        <v>312.0</v>
      </c>
      <c r="W104" s="9" t="n">
        <f>870</f>
        <v>870.0</v>
      </c>
      <c r="X104" s="9"/>
      <c r="Y104" s="9" t="n">
        <f>223040</f>
        <v>223040.0</v>
      </c>
      <c r="Z104" s="9"/>
      <c r="AA104" s="9" t="str">
        <f>"－"</f>
        <v>－</v>
      </c>
      <c r="AB104" s="6" t="s">
        <v>58</v>
      </c>
      <c r="AC104" s="10" t="n">
        <f>470</f>
        <v>470.0</v>
      </c>
      <c r="AD104" s="9" t="n">
        <f>4</f>
        <v>4.0</v>
      </c>
    </row>
    <row r="105">
      <c r="A105" s="3" t="s">
        <v>50</v>
      </c>
      <c r="B105" s="3" t="s">
        <v>131</v>
      </c>
      <c r="C105" s="43" t="s">
        <v>132</v>
      </c>
      <c r="D105" s="43" t="s">
        <v>133</v>
      </c>
      <c r="E105" s="3" t="s">
        <v>54</v>
      </c>
      <c r="F105" s="3"/>
      <c r="G105" s="3" t="s">
        <v>127</v>
      </c>
      <c r="H105" s="4" t="s">
        <v>128</v>
      </c>
      <c r="I105" s="5" t="n">
        <v>27500.0</v>
      </c>
      <c r="J105" s="6" t="s">
        <v>415</v>
      </c>
      <c r="K105" s="7" t="s">
        <v>416</v>
      </c>
      <c r="L105" s="6" t="s">
        <v>415</v>
      </c>
      <c r="M105" s="7" t="s">
        <v>416</v>
      </c>
      <c r="N105" s="6"/>
      <c r="O105" s="7"/>
      <c r="P105" s="6" t="s">
        <v>417</v>
      </c>
      <c r="Q105" s="7" t="s">
        <v>418</v>
      </c>
      <c r="R105" s="6"/>
      <c r="S105" s="7"/>
      <c r="T105" s="6" t="s">
        <v>417</v>
      </c>
      <c r="U105" s="7" t="s">
        <v>418</v>
      </c>
      <c r="V105" s="8" t="n">
        <f>351.42</f>
        <v>351.42</v>
      </c>
      <c r="W105" s="9" t="n">
        <f>6824</f>
        <v>6824.0</v>
      </c>
      <c r="X105" s="9"/>
      <c r="Y105" s="9" t="n">
        <f>3473690</f>
        <v>3473690.0</v>
      </c>
      <c r="Z105" s="9"/>
      <c r="AA105" s="9" t="str">
        <f>"－"</f>
        <v>－</v>
      </c>
      <c r="AB105" s="6" t="s">
        <v>58</v>
      </c>
      <c r="AC105" s="10" t="n">
        <f>224</f>
        <v>224.0</v>
      </c>
      <c r="AD105" s="9" t="n">
        <f>12</f>
        <v>12.0</v>
      </c>
    </row>
    <row r="106">
      <c r="A106" s="3" t="s">
        <v>50</v>
      </c>
      <c r="B106" s="3" t="s">
        <v>131</v>
      </c>
      <c r="C106" s="43" t="s">
        <v>132</v>
      </c>
      <c r="D106" s="43" t="s">
        <v>133</v>
      </c>
      <c r="E106" s="3" t="s">
        <v>54</v>
      </c>
      <c r="F106" s="3"/>
      <c r="G106" s="3" t="s">
        <v>127</v>
      </c>
      <c r="H106" s="4" t="s">
        <v>128</v>
      </c>
      <c r="I106" s="5" t="n">
        <v>28000.0</v>
      </c>
      <c r="J106" s="6" t="s">
        <v>403</v>
      </c>
      <c r="K106" s="7" t="s">
        <v>419</v>
      </c>
      <c r="L106" s="6" t="s">
        <v>403</v>
      </c>
      <c r="M106" s="7" t="s">
        <v>419</v>
      </c>
      <c r="N106" s="6"/>
      <c r="O106" s="7"/>
      <c r="P106" s="6" t="s">
        <v>420</v>
      </c>
      <c r="Q106" s="7" t="s">
        <v>421</v>
      </c>
      <c r="R106" s="6"/>
      <c r="S106" s="7"/>
      <c r="T106" s="6" t="s">
        <v>420</v>
      </c>
      <c r="U106" s="7" t="s">
        <v>421</v>
      </c>
      <c r="V106" s="8" t="n">
        <f>226.36</f>
        <v>226.36</v>
      </c>
      <c r="W106" s="9" t="n">
        <f>8468</f>
        <v>8468.0</v>
      </c>
      <c r="X106" s="9"/>
      <c r="Y106" s="9" t="n">
        <f>2694790</f>
        <v>2694790.0</v>
      </c>
      <c r="Z106" s="9"/>
      <c r="AA106" s="9" t="str">
        <f>"－"</f>
        <v>－</v>
      </c>
      <c r="AB106" s="6" t="s">
        <v>58</v>
      </c>
      <c r="AC106" s="10" t="n">
        <f>154</f>
        <v>154.0</v>
      </c>
      <c r="AD106" s="9" t="n">
        <f>11</f>
        <v>11.0</v>
      </c>
    </row>
    <row r="107">
      <c r="A107" s="3" t="s">
        <v>50</v>
      </c>
      <c r="B107" s="3" t="s">
        <v>131</v>
      </c>
      <c r="C107" s="43" t="s">
        <v>132</v>
      </c>
      <c r="D107" s="43" t="s">
        <v>133</v>
      </c>
      <c r="E107" s="3" t="s">
        <v>54</v>
      </c>
      <c r="F107" s="3"/>
      <c r="G107" s="3" t="s">
        <v>127</v>
      </c>
      <c r="H107" s="4" t="s">
        <v>128</v>
      </c>
      <c r="I107" s="5" t="n">
        <v>28500.0</v>
      </c>
      <c r="J107" s="6" t="s">
        <v>422</v>
      </c>
      <c r="K107" s="7" t="s">
        <v>343</v>
      </c>
      <c r="L107" s="6" t="s">
        <v>422</v>
      </c>
      <c r="M107" s="7" t="s">
        <v>343</v>
      </c>
      <c r="N107" s="6"/>
      <c r="O107" s="7"/>
      <c r="P107" s="6" t="s">
        <v>423</v>
      </c>
      <c r="Q107" s="7" t="s">
        <v>424</v>
      </c>
      <c r="R107" s="6"/>
      <c r="S107" s="7"/>
      <c r="T107" s="6" t="s">
        <v>423</v>
      </c>
      <c r="U107" s="7" t="s">
        <v>424</v>
      </c>
      <c r="V107" s="8" t="n">
        <f>188</f>
        <v>188.0</v>
      </c>
      <c r="W107" s="9" t="n">
        <f>4000</f>
        <v>4000.0</v>
      </c>
      <c r="X107" s="9"/>
      <c r="Y107" s="9" t="n">
        <f>752000</f>
        <v>752000.0</v>
      </c>
      <c r="Z107" s="9"/>
      <c r="AA107" s="9" t="str">
        <f>"－"</f>
        <v>－</v>
      </c>
      <c r="AB107" s="6" t="s">
        <v>58</v>
      </c>
      <c r="AC107" s="10" t="str">
        <f>"－"</f>
        <v>－</v>
      </c>
      <c r="AD107" s="9" t="n">
        <f>2</f>
        <v>2.0</v>
      </c>
    </row>
    <row r="108">
      <c r="A108" s="3" t="s">
        <v>50</v>
      </c>
      <c r="B108" s="3" t="s">
        <v>131</v>
      </c>
      <c r="C108" s="43" t="s">
        <v>132</v>
      </c>
      <c r="D108" s="43" t="s">
        <v>133</v>
      </c>
      <c r="E108" s="3" t="s">
        <v>54</v>
      </c>
      <c r="F108" s="3"/>
      <c r="G108" s="3" t="s">
        <v>127</v>
      </c>
      <c r="H108" s="4" t="s">
        <v>128</v>
      </c>
      <c r="I108" s="5" t="n">
        <v>29000.0</v>
      </c>
      <c r="J108" s="6" t="s">
        <v>423</v>
      </c>
      <c r="K108" s="7" t="s">
        <v>425</v>
      </c>
      <c r="L108" s="6" t="s">
        <v>426</v>
      </c>
      <c r="M108" s="7" t="s">
        <v>427</v>
      </c>
      <c r="N108" s="6"/>
      <c r="O108" s="7"/>
      <c r="P108" s="6" t="s">
        <v>423</v>
      </c>
      <c r="Q108" s="7" t="s">
        <v>425</v>
      </c>
      <c r="R108" s="6"/>
      <c r="S108" s="7"/>
      <c r="T108" s="6" t="s">
        <v>426</v>
      </c>
      <c r="U108" s="7" t="s">
        <v>427</v>
      </c>
      <c r="V108" s="8" t="n">
        <f>245.5</f>
        <v>245.5</v>
      </c>
      <c r="W108" s="9" t="n">
        <f>4000</f>
        <v>4000.0</v>
      </c>
      <c r="X108" s="9"/>
      <c r="Y108" s="9" t="n">
        <f>982000</f>
        <v>982000.0</v>
      </c>
      <c r="Z108" s="9"/>
      <c r="AA108" s="9" t="str">
        <f>"－"</f>
        <v>－</v>
      </c>
      <c r="AB108" s="6" t="s">
        <v>58</v>
      </c>
      <c r="AC108" s="10" t="str">
        <f>"－"</f>
        <v>－</v>
      </c>
      <c r="AD108" s="9" t="n">
        <f>2</f>
        <v>2.0</v>
      </c>
    </row>
    <row r="109">
      <c r="A109" s="3" t="s">
        <v>50</v>
      </c>
      <c r="B109" s="3" t="s">
        <v>131</v>
      </c>
      <c r="C109" s="43" t="s">
        <v>132</v>
      </c>
      <c r="D109" s="43" t="s">
        <v>133</v>
      </c>
      <c r="E109" s="3" t="s">
        <v>54</v>
      </c>
      <c r="F109" s="3"/>
      <c r="G109" s="3" t="s">
        <v>127</v>
      </c>
      <c r="H109" s="4" t="s">
        <v>428</v>
      </c>
      <c r="I109" s="5" t="n">
        <v>29500.0</v>
      </c>
      <c r="J109" s="6" t="s">
        <v>429</v>
      </c>
      <c r="K109" s="7" t="s">
        <v>430</v>
      </c>
      <c r="L109" s="6" t="s">
        <v>431</v>
      </c>
      <c r="M109" s="7" t="s">
        <v>432</v>
      </c>
      <c r="N109" s="6"/>
      <c r="O109" s="7"/>
      <c r="P109" s="6" t="s">
        <v>429</v>
      </c>
      <c r="Q109" s="7" t="s">
        <v>430</v>
      </c>
      <c r="R109" s="6"/>
      <c r="S109" s="7"/>
      <c r="T109" s="6" t="s">
        <v>431</v>
      </c>
      <c r="U109" s="7" t="s">
        <v>432</v>
      </c>
      <c r="V109" s="8" t="n">
        <f>779.5</f>
        <v>779.5</v>
      </c>
      <c r="W109" s="9" t="n">
        <f>2000</f>
        <v>2000.0</v>
      </c>
      <c r="X109" s="9"/>
      <c r="Y109" s="9" t="n">
        <f>1559000</f>
        <v>1559000.0</v>
      </c>
      <c r="Z109" s="9"/>
      <c r="AA109" s="9" t="str">
        <f>"－"</f>
        <v>－</v>
      </c>
      <c r="AB109" s="6" t="s">
        <v>58</v>
      </c>
      <c r="AC109" s="10" t="str">
        <f>"－"</f>
        <v>－</v>
      </c>
      <c r="AD109" s="9" t="n">
        <f>2</f>
        <v>2.0</v>
      </c>
    </row>
    <row r="110">
      <c r="A110" s="3" t="s">
        <v>50</v>
      </c>
      <c r="B110" s="3" t="s">
        <v>131</v>
      </c>
      <c r="C110" s="43" t="s">
        <v>132</v>
      </c>
      <c r="D110" s="43" t="s">
        <v>133</v>
      </c>
      <c r="E110" s="3" t="s">
        <v>54</v>
      </c>
      <c r="F110" s="3"/>
      <c r="G110" s="3" t="s">
        <v>100</v>
      </c>
      <c r="H110" s="4" t="s">
        <v>433</v>
      </c>
      <c r="I110" s="5" t="n">
        <v>26000.0</v>
      </c>
      <c r="J110" s="6" t="s">
        <v>434</v>
      </c>
      <c r="K110" s="7" t="s">
        <v>435</v>
      </c>
      <c r="L110" s="6" t="s">
        <v>434</v>
      </c>
      <c r="M110" s="7" t="s">
        <v>435</v>
      </c>
      <c r="N110" s="6"/>
      <c r="O110" s="7"/>
      <c r="P110" s="6" t="s">
        <v>434</v>
      </c>
      <c r="Q110" s="7" t="s">
        <v>435</v>
      </c>
      <c r="R110" s="6"/>
      <c r="S110" s="7"/>
      <c r="T110" s="6" t="s">
        <v>434</v>
      </c>
      <c r="U110" s="7" t="s">
        <v>435</v>
      </c>
      <c r="V110" s="8" t="n">
        <f>84</f>
        <v>84.0</v>
      </c>
      <c r="W110" s="9" t="n">
        <f>50</f>
        <v>50.0</v>
      </c>
      <c r="X110" s="9"/>
      <c r="Y110" s="9" t="n">
        <f>4200</f>
        <v>4200.0</v>
      </c>
      <c r="Z110" s="9"/>
      <c r="AA110" s="9" t="str">
        <f>"－"</f>
        <v>－</v>
      </c>
      <c r="AB110" s="6"/>
      <c r="AC110" s="10" t="n">
        <f>50</f>
        <v>50.0</v>
      </c>
      <c r="AD110" s="9" t="n">
        <f>1</f>
        <v>1.0</v>
      </c>
    </row>
    <row r="111">
      <c r="A111" s="3" t="s">
        <v>50</v>
      </c>
      <c r="B111" s="3" t="s">
        <v>131</v>
      </c>
      <c r="C111" s="43" t="s">
        <v>132</v>
      </c>
      <c r="D111" s="43" t="s">
        <v>133</v>
      </c>
      <c r="E111" s="3" t="s">
        <v>54</v>
      </c>
      <c r="F111" s="3"/>
      <c r="G111" s="3" t="s">
        <v>100</v>
      </c>
      <c r="H111" s="4" t="s">
        <v>436</v>
      </c>
      <c r="I111" s="5" t="n">
        <v>26500.0</v>
      </c>
      <c r="J111" s="6" t="s">
        <v>437</v>
      </c>
      <c r="K111" s="7" t="s">
        <v>438</v>
      </c>
      <c r="L111" s="6" t="s">
        <v>437</v>
      </c>
      <c r="M111" s="7" t="s">
        <v>439</v>
      </c>
      <c r="N111" s="6"/>
      <c r="O111" s="7"/>
      <c r="P111" s="6" t="s">
        <v>440</v>
      </c>
      <c r="Q111" s="7" t="s">
        <v>441</v>
      </c>
      <c r="R111" s="6"/>
      <c r="S111" s="7"/>
      <c r="T111" s="6" t="s">
        <v>440</v>
      </c>
      <c r="U111" s="7" t="s">
        <v>441</v>
      </c>
      <c r="V111" s="8" t="n">
        <f>223</f>
        <v>223.0</v>
      </c>
      <c r="W111" s="9" t="n">
        <f>2060</f>
        <v>2060.0</v>
      </c>
      <c r="X111" s="9"/>
      <c r="Y111" s="9" t="n">
        <f>357750</f>
        <v>357750.0</v>
      </c>
      <c r="Z111" s="9"/>
      <c r="AA111" s="9" t="str">
        <f>"－"</f>
        <v>－</v>
      </c>
      <c r="AB111" s="6"/>
      <c r="AC111" s="10" t="n">
        <f>2000</f>
        <v>2000.0</v>
      </c>
      <c r="AD111" s="9" t="n">
        <f>2</f>
        <v>2.0</v>
      </c>
    </row>
    <row r="112">
      <c r="A112" s="3" t="s">
        <v>50</v>
      </c>
      <c r="B112" s="3" t="s">
        <v>131</v>
      </c>
      <c r="C112" s="43" t="s">
        <v>132</v>
      </c>
      <c r="D112" s="43" t="s">
        <v>133</v>
      </c>
      <c r="E112" s="3" t="s">
        <v>54</v>
      </c>
      <c r="F112" s="3"/>
      <c r="G112" s="3" t="s">
        <v>100</v>
      </c>
      <c r="H112" s="4" t="s">
        <v>442</v>
      </c>
      <c r="I112" s="5" t="n">
        <v>27000.0</v>
      </c>
      <c r="J112" s="6" t="s">
        <v>437</v>
      </c>
      <c r="K112" s="7" t="s">
        <v>146</v>
      </c>
      <c r="L112" s="6" t="s">
        <v>437</v>
      </c>
      <c r="M112" s="7" t="s">
        <v>443</v>
      </c>
      <c r="N112" s="6"/>
      <c r="O112" s="7"/>
      <c r="P112" s="6" t="s">
        <v>444</v>
      </c>
      <c r="Q112" s="7" t="s">
        <v>445</v>
      </c>
      <c r="R112" s="6"/>
      <c r="S112" s="7"/>
      <c r="T112" s="6" t="s">
        <v>444</v>
      </c>
      <c r="U112" s="7" t="s">
        <v>445</v>
      </c>
      <c r="V112" s="8" t="n">
        <f>382.5</f>
        <v>382.5</v>
      </c>
      <c r="W112" s="9" t="n">
        <f>95</f>
        <v>95.0</v>
      </c>
      <c r="X112" s="9"/>
      <c r="Y112" s="9" t="n">
        <f>35775</f>
        <v>35775.0</v>
      </c>
      <c r="Z112" s="9"/>
      <c r="AA112" s="9" t="str">
        <f>"－"</f>
        <v>－</v>
      </c>
      <c r="AB112" s="6"/>
      <c r="AC112" s="10" t="n">
        <f>95</f>
        <v>95.0</v>
      </c>
      <c r="AD112" s="9" t="n">
        <f>2</f>
        <v>2.0</v>
      </c>
    </row>
    <row r="113">
      <c r="A113" s="3" t="s">
        <v>50</v>
      </c>
      <c r="B113" s="3" t="s">
        <v>131</v>
      </c>
      <c r="C113" s="43" t="s">
        <v>132</v>
      </c>
      <c r="D113" s="43" t="s">
        <v>133</v>
      </c>
      <c r="E113" s="3" t="s">
        <v>54</v>
      </c>
      <c r="F113" s="3"/>
      <c r="G113" s="3" t="s">
        <v>100</v>
      </c>
      <c r="H113" s="4" t="s">
        <v>101</v>
      </c>
      <c r="I113" s="5" t="n">
        <v>27500.0</v>
      </c>
      <c r="J113" s="6" t="s">
        <v>422</v>
      </c>
      <c r="K113" s="7" t="s">
        <v>446</v>
      </c>
      <c r="L113" s="6" t="s">
        <v>447</v>
      </c>
      <c r="M113" s="7" t="s">
        <v>448</v>
      </c>
      <c r="N113" s="6"/>
      <c r="O113" s="7"/>
      <c r="P113" s="6" t="s">
        <v>449</v>
      </c>
      <c r="Q113" s="7" t="s">
        <v>450</v>
      </c>
      <c r="R113" s="6"/>
      <c r="S113" s="7"/>
      <c r="T113" s="6" t="s">
        <v>447</v>
      </c>
      <c r="U113" s="7" t="s">
        <v>251</v>
      </c>
      <c r="V113" s="8" t="n">
        <f>315.13</f>
        <v>315.13</v>
      </c>
      <c r="W113" s="9" t="n">
        <f>836</f>
        <v>836.0</v>
      </c>
      <c r="X113" s="9"/>
      <c r="Y113" s="9" t="n">
        <f>277993</f>
        <v>277993.0</v>
      </c>
      <c r="Z113" s="9"/>
      <c r="AA113" s="9" t="str">
        <f>"－"</f>
        <v>－</v>
      </c>
      <c r="AB113" s="6"/>
      <c r="AC113" s="10" t="n">
        <f>836</f>
        <v>836.0</v>
      </c>
      <c r="AD113" s="9" t="n">
        <f>8</f>
        <v>8.0</v>
      </c>
    </row>
    <row r="114">
      <c r="A114" s="3" t="s">
        <v>50</v>
      </c>
      <c r="B114" s="3" t="s">
        <v>131</v>
      </c>
      <c r="C114" s="43" t="s">
        <v>132</v>
      </c>
      <c r="D114" s="43" t="s">
        <v>133</v>
      </c>
      <c r="E114" s="3" t="s">
        <v>54</v>
      </c>
      <c r="F114" s="3"/>
      <c r="G114" s="3" t="s">
        <v>100</v>
      </c>
      <c r="H114" s="4" t="s">
        <v>101</v>
      </c>
      <c r="I114" s="5" t="n">
        <v>28000.0</v>
      </c>
      <c r="J114" s="6" t="s">
        <v>429</v>
      </c>
      <c r="K114" s="7" t="s">
        <v>451</v>
      </c>
      <c r="L114" s="6" t="s">
        <v>429</v>
      </c>
      <c r="M114" s="7" t="s">
        <v>451</v>
      </c>
      <c r="N114" s="6"/>
      <c r="O114" s="7"/>
      <c r="P114" s="6" t="s">
        <v>452</v>
      </c>
      <c r="Q114" s="7" t="s">
        <v>345</v>
      </c>
      <c r="R114" s="6"/>
      <c r="S114" s="7"/>
      <c r="T114" s="6" t="s">
        <v>453</v>
      </c>
      <c r="U114" s="7" t="s">
        <v>445</v>
      </c>
      <c r="V114" s="8" t="n">
        <f>353.6</f>
        <v>353.6</v>
      </c>
      <c r="W114" s="9" t="n">
        <f>1256</f>
        <v>1256.0</v>
      </c>
      <c r="X114" s="9"/>
      <c r="Y114" s="9" t="n">
        <f>480570</f>
        <v>480570.0</v>
      </c>
      <c r="Z114" s="9"/>
      <c r="AA114" s="9" t="str">
        <f>"－"</f>
        <v>－</v>
      </c>
      <c r="AB114" s="6"/>
      <c r="AC114" s="10" t="n">
        <f>696</f>
        <v>696.0</v>
      </c>
      <c r="AD114" s="9" t="n">
        <f>10</f>
        <v>10.0</v>
      </c>
    </row>
    <row r="115">
      <c r="A115" s="3" t="s">
        <v>50</v>
      </c>
      <c r="B115" s="3" t="s">
        <v>131</v>
      </c>
      <c r="C115" s="43" t="s">
        <v>132</v>
      </c>
      <c r="D115" s="43" t="s">
        <v>133</v>
      </c>
      <c r="E115" s="3" t="s">
        <v>54</v>
      </c>
      <c r="F115" s="3"/>
      <c r="G115" s="3" t="s">
        <v>100</v>
      </c>
      <c r="H115" s="4" t="s">
        <v>101</v>
      </c>
      <c r="I115" s="5" t="n">
        <v>28500.0</v>
      </c>
      <c r="J115" s="6" t="s">
        <v>426</v>
      </c>
      <c r="K115" s="7" t="s">
        <v>454</v>
      </c>
      <c r="L115" s="6" t="s">
        <v>420</v>
      </c>
      <c r="M115" s="7" t="s">
        <v>455</v>
      </c>
      <c r="N115" s="6"/>
      <c r="O115" s="7"/>
      <c r="P115" s="6" t="s">
        <v>452</v>
      </c>
      <c r="Q115" s="7" t="s">
        <v>183</v>
      </c>
      <c r="R115" s="6"/>
      <c r="S115" s="7"/>
      <c r="T115" s="6" t="s">
        <v>452</v>
      </c>
      <c r="U115" s="7" t="s">
        <v>456</v>
      </c>
      <c r="V115" s="8" t="n">
        <f>428.57</f>
        <v>428.57</v>
      </c>
      <c r="W115" s="9" t="n">
        <f>10180</f>
        <v>10180.0</v>
      </c>
      <c r="X115" s="9"/>
      <c r="Y115" s="9" t="n">
        <f>3710170</f>
        <v>3710170.0</v>
      </c>
      <c r="Z115" s="9"/>
      <c r="AA115" s="9" t="str">
        <f>"－"</f>
        <v>－</v>
      </c>
      <c r="AB115" s="6"/>
      <c r="AC115" s="10" t="n">
        <f>4195</f>
        <v>4195.0</v>
      </c>
      <c r="AD115" s="9" t="n">
        <f>7</f>
        <v>7.0</v>
      </c>
    </row>
    <row r="116">
      <c r="A116" s="3" t="s">
        <v>50</v>
      </c>
      <c r="B116" s="3" t="s">
        <v>131</v>
      </c>
      <c r="C116" s="43" t="s">
        <v>132</v>
      </c>
      <c r="D116" s="43" t="s">
        <v>133</v>
      </c>
      <c r="E116" s="3" t="s">
        <v>54</v>
      </c>
      <c r="F116" s="3"/>
      <c r="G116" s="3" t="s">
        <v>457</v>
      </c>
      <c r="H116" s="4" t="s">
        <v>433</v>
      </c>
      <c r="I116" s="5" t="n">
        <v>26000.0</v>
      </c>
      <c r="J116" s="6" t="s">
        <v>444</v>
      </c>
      <c r="K116" s="7" t="s">
        <v>288</v>
      </c>
      <c r="L116" s="6" t="s">
        <v>440</v>
      </c>
      <c r="M116" s="7" t="s">
        <v>458</v>
      </c>
      <c r="N116" s="6"/>
      <c r="O116" s="7"/>
      <c r="P116" s="6" t="s">
        <v>440</v>
      </c>
      <c r="Q116" s="7" t="s">
        <v>300</v>
      </c>
      <c r="R116" s="6"/>
      <c r="S116" s="7"/>
      <c r="T116" s="6" t="s">
        <v>440</v>
      </c>
      <c r="U116" s="7" t="s">
        <v>458</v>
      </c>
      <c r="V116" s="8" t="n">
        <f>317.5</f>
        <v>317.5</v>
      </c>
      <c r="W116" s="9" t="n">
        <f>2200</f>
        <v>2200.0</v>
      </c>
      <c r="X116" s="9"/>
      <c r="Y116" s="9" t="n">
        <f>722400</f>
        <v>722400.0</v>
      </c>
      <c r="Z116" s="9"/>
      <c r="AA116" s="9" t="str">
        <f>"－"</f>
        <v>－</v>
      </c>
      <c r="AB116" s="6"/>
      <c r="AC116" s="10" t="n">
        <f>2000</f>
        <v>2000.0</v>
      </c>
      <c r="AD116" s="9" t="n">
        <f>2</f>
        <v>2.0</v>
      </c>
    </row>
    <row r="117">
      <c r="A117" s="3" t="s">
        <v>50</v>
      </c>
      <c r="B117" s="3" t="s">
        <v>131</v>
      </c>
      <c r="C117" s="43" t="s">
        <v>132</v>
      </c>
      <c r="D117" s="43" t="s">
        <v>133</v>
      </c>
      <c r="E117" s="3" t="s">
        <v>54</v>
      </c>
      <c r="F117" s="3"/>
      <c r="G117" s="3" t="s">
        <v>457</v>
      </c>
      <c r="H117" s="4" t="s">
        <v>436</v>
      </c>
      <c r="I117" s="5" t="n">
        <v>26500.0</v>
      </c>
      <c r="J117" s="6" t="s">
        <v>437</v>
      </c>
      <c r="K117" s="7" t="s">
        <v>459</v>
      </c>
      <c r="L117" s="6" t="s">
        <v>437</v>
      </c>
      <c r="M117" s="7" t="s">
        <v>459</v>
      </c>
      <c r="N117" s="6"/>
      <c r="O117" s="7"/>
      <c r="P117" s="6" t="s">
        <v>460</v>
      </c>
      <c r="Q117" s="7" t="s">
        <v>461</v>
      </c>
      <c r="R117" s="6"/>
      <c r="S117" s="7"/>
      <c r="T117" s="6" t="s">
        <v>440</v>
      </c>
      <c r="U117" s="7" t="s">
        <v>462</v>
      </c>
      <c r="V117" s="8" t="n">
        <f>469</f>
        <v>469.0</v>
      </c>
      <c r="W117" s="9" t="n">
        <f>210</f>
        <v>210.0</v>
      </c>
      <c r="X117" s="9"/>
      <c r="Y117" s="9" t="n">
        <f>102800</f>
        <v>102800.0</v>
      </c>
      <c r="Z117" s="9"/>
      <c r="AA117" s="9" t="str">
        <f>"－"</f>
        <v>－</v>
      </c>
      <c r="AB117" s="6"/>
      <c r="AC117" s="10" t="n">
        <f>210</f>
        <v>210.0</v>
      </c>
      <c r="AD117" s="9" t="n">
        <f>3</f>
        <v>3.0</v>
      </c>
    </row>
    <row r="118">
      <c r="A118" s="3" t="s">
        <v>50</v>
      </c>
      <c r="B118" s="3" t="s">
        <v>131</v>
      </c>
      <c r="C118" s="43" t="s">
        <v>132</v>
      </c>
      <c r="D118" s="43" t="s">
        <v>133</v>
      </c>
      <c r="E118" s="3" t="s">
        <v>54</v>
      </c>
      <c r="F118" s="3"/>
      <c r="G118" s="3" t="s">
        <v>457</v>
      </c>
      <c r="H118" s="4" t="s">
        <v>442</v>
      </c>
      <c r="I118" s="5" t="n">
        <v>27000.0</v>
      </c>
      <c r="J118" s="6" t="s">
        <v>437</v>
      </c>
      <c r="K118" s="7" t="s">
        <v>463</v>
      </c>
      <c r="L118" s="6" t="s">
        <v>437</v>
      </c>
      <c r="M118" s="7" t="s">
        <v>463</v>
      </c>
      <c r="N118" s="6"/>
      <c r="O118" s="7"/>
      <c r="P118" s="6" t="s">
        <v>444</v>
      </c>
      <c r="Q118" s="7" t="s">
        <v>464</v>
      </c>
      <c r="R118" s="6"/>
      <c r="S118" s="7"/>
      <c r="T118" s="6" t="s">
        <v>444</v>
      </c>
      <c r="U118" s="7" t="s">
        <v>464</v>
      </c>
      <c r="V118" s="8" t="n">
        <f>659.5</f>
        <v>659.5</v>
      </c>
      <c r="W118" s="9" t="n">
        <f>2050</f>
        <v>2050.0</v>
      </c>
      <c r="X118" s="9"/>
      <c r="Y118" s="9" t="n">
        <f>1247650</f>
        <v>1247650.0</v>
      </c>
      <c r="Z118" s="9"/>
      <c r="AA118" s="9" t="str">
        <f>"－"</f>
        <v>－</v>
      </c>
      <c r="AB118" s="6"/>
      <c r="AC118" s="10" t="n">
        <f>2050</f>
        <v>2050.0</v>
      </c>
      <c r="AD118" s="9" t="n">
        <f>2</f>
        <v>2.0</v>
      </c>
    </row>
    <row r="119">
      <c r="A119" s="3" t="s">
        <v>50</v>
      </c>
      <c r="B119" s="3" t="s">
        <v>131</v>
      </c>
      <c r="C119" s="43" t="s">
        <v>132</v>
      </c>
      <c r="D119" s="43" t="s">
        <v>133</v>
      </c>
      <c r="E119" s="3" t="s">
        <v>54</v>
      </c>
      <c r="F119" s="3"/>
      <c r="G119" s="3" t="s">
        <v>457</v>
      </c>
      <c r="H119" s="4" t="s">
        <v>465</v>
      </c>
      <c r="I119" s="5" t="n">
        <v>27500.0</v>
      </c>
      <c r="J119" s="6" t="s">
        <v>466</v>
      </c>
      <c r="K119" s="7" t="s">
        <v>467</v>
      </c>
      <c r="L119" s="6" t="s">
        <v>437</v>
      </c>
      <c r="M119" s="7" t="s">
        <v>468</v>
      </c>
      <c r="N119" s="6"/>
      <c r="O119" s="7"/>
      <c r="P119" s="6" t="s">
        <v>466</v>
      </c>
      <c r="Q119" s="7" t="s">
        <v>467</v>
      </c>
      <c r="R119" s="6"/>
      <c r="S119" s="7"/>
      <c r="T119" s="6" t="s">
        <v>437</v>
      </c>
      <c r="U119" s="7" t="s">
        <v>468</v>
      </c>
      <c r="V119" s="8" t="n">
        <f>664.33</f>
        <v>664.33</v>
      </c>
      <c r="W119" s="9" t="n">
        <f>743</f>
        <v>743.0</v>
      </c>
      <c r="X119" s="9"/>
      <c r="Y119" s="9" t="n">
        <f>391552</f>
        <v>391552.0</v>
      </c>
      <c r="Z119" s="9"/>
      <c r="AA119" s="9" t="str">
        <f>"－"</f>
        <v>－</v>
      </c>
      <c r="AB119" s="6"/>
      <c r="AC119" s="10" t="n">
        <f>743</f>
        <v>743.0</v>
      </c>
      <c r="AD119" s="9" t="n">
        <f>6</f>
        <v>6.0</v>
      </c>
    </row>
    <row r="120">
      <c r="A120" s="3" t="s">
        <v>50</v>
      </c>
      <c r="B120" s="3" t="s">
        <v>131</v>
      </c>
      <c r="C120" s="43" t="s">
        <v>132</v>
      </c>
      <c r="D120" s="43" t="s">
        <v>133</v>
      </c>
      <c r="E120" s="3" t="s">
        <v>54</v>
      </c>
      <c r="F120" s="3"/>
      <c r="G120" s="3" t="s">
        <v>457</v>
      </c>
      <c r="H120" s="4" t="s">
        <v>465</v>
      </c>
      <c r="I120" s="5" t="n">
        <v>28000.0</v>
      </c>
      <c r="J120" s="6" t="s">
        <v>469</v>
      </c>
      <c r="K120" s="7" t="s">
        <v>310</v>
      </c>
      <c r="L120" s="6" t="s">
        <v>469</v>
      </c>
      <c r="M120" s="7" t="s">
        <v>470</v>
      </c>
      <c r="N120" s="6"/>
      <c r="O120" s="7"/>
      <c r="P120" s="6" t="s">
        <v>469</v>
      </c>
      <c r="Q120" s="7" t="s">
        <v>310</v>
      </c>
      <c r="R120" s="6"/>
      <c r="S120" s="7"/>
      <c r="T120" s="6" t="s">
        <v>469</v>
      </c>
      <c r="U120" s="7" t="s">
        <v>470</v>
      </c>
      <c r="V120" s="8" t="n">
        <f>681</f>
        <v>681.0</v>
      </c>
      <c r="W120" s="9" t="n">
        <f>20</f>
        <v>20.0</v>
      </c>
      <c r="X120" s="9"/>
      <c r="Y120" s="9" t="n">
        <f>12250</f>
        <v>12250.0</v>
      </c>
      <c r="Z120" s="9"/>
      <c r="AA120" s="9" t="str">
        <f>"－"</f>
        <v>－</v>
      </c>
      <c r="AB120" s="6"/>
      <c r="AC120" s="10" t="n">
        <f>20</f>
        <v>20.0</v>
      </c>
      <c r="AD120" s="9" t="n">
        <f>1</f>
        <v>1.0</v>
      </c>
    </row>
    <row r="121">
      <c r="A121" s="3" t="s">
        <v>50</v>
      </c>
      <c r="B121" s="3" t="s">
        <v>131</v>
      </c>
      <c r="C121" s="43" t="s">
        <v>132</v>
      </c>
      <c r="D121" s="43" t="s">
        <v>133</v>
      </c>
      <c r="E121" s="3" t="s">
        <v>104</v>
      </c>
      <c r="F121" s="3"/>
      <c r="G121" s="3" t="s">
        <v>55</v>
      </c>
      <c r="H121" s="4" t="s">
        <v>56</v>
      </c>
      <c r="I121" s="5" t="n">
        <v>29500.0</v>
      </c>
      <c r="J121" s="6" t="s">
        <v>142</v>
      </c>
      <c r="K121" s="7" t="s">
        <v>471</v>
      </c>
      <c r="L121" s="6" t="s">
        <v>137</v>
      </c>
      <c r="M121" s="7" t="s">
        <v>472</v>
      </c>
      <c r="N121" s="6"/>
      <c r="O121" s="7"/>
      <c r="P121" s="6" t="s">
        <v>473</v>
      </c>
      <c r="Q121" s="7" t="s">
        <v>226</v>
      </c>
      <c r="R121" s="6"/>
      <c r="S121" s="7"/>
      <c r="T121" s="6" t="s">
        <v>473</v>
      </c>
      <c r="U121" s="7" t="s">
        <v>226</v>
      </c>
      <c r="V121" s="8" t="n">
        <f>183.5</f>
        <v>183.5</v>
      </c>
      <c r="W121" s="9" t="n">
        <f>14000</f>
        <v>14000.0</v>
      </c>
      <c r="X121" s="9"/>
      <c r="Y121" s="9" t="n">
        <f>2314000</f>
        <v>2314000.0</v>
      </c>
      <c r="Z121" s="9"/>
      <c r="AA121" s="9" t="n">
        <f>1999</f>
        <v>1999.0</v>
      </c>
      <c r="AB121" s="6" t="s">
        <v>58</v>
      </c>
      <c r="AC121" s="10" t="n">
        <f>1</f>
        <v>1.0</v>
      </c>
      <c r="AD121" s="9" t="n">
        <f>4</f>
        <v>4.0</v>
      </c>
    </row>
    <row r="122">
      <c r="A122" s="3" t="s">
        <v>50</v>
      </c>
      <c r="B122" s="3" t="s">
        <v>131</v>
      </c>
      <c r="C122" s="43" t="s">
        <v>132</v>
      </c>
      <c r="D122" s="43" t="s">
        <v>133</v>
      </c>
      <c r="E122" s="3" t="s">
        <v>104</v>
      </c>
      <c r="F122" s="3"/>
      <c r="G122" s="3" t="s">
        <v>55</v>
      </c>
      <c r="H122" s="4" t="s">
        <v>56</v>
      </c>
      <c r="I122" s="5" t="n">
        <v>30000.0</v>
      </c>
      <c r="J122" s="6" t="s">
        <v>474</v>
      </c>
      <c r="K122" s="7" t="s">
        <v>475</v>
      </c>
      <c r="L122" s="6" t="s">
        <v>474</v>
      </c>
      <c r="M122" s="7" t="s">
        <v>475</v>
      </c>
      <c r="N122" s="6"/>
      <c r="O122" s="7"/>
      <c r="P122" s="6" t="s">
        <v>139</v>
      </c>
      <c r="Q122" s="7" t="s">
        <v>476</v>
      </c>
      <c r="R122" s="6"/>
      <c r="S122" s="7"/>
      <c r="T122" s="6" t="s">
        <v>139</v>
      </c>
      <c r="U122" s="7" t="s">
        <v>476</v>
      </c>
      <c r="V122" s="8" t="n">
        <f>273.5</f>
        <v>273.5</v>
      </c>
      <c r="W122" s="9" t="n">
        <f>6030</f>
        <v>6030.0</v>
      </c>
      <c r="X122" s="9"/>
      <c r="Y122" s="9" t="n">
        <f>1268300</f>
        <v>1268300.0</v>
      </c>
      <c r="Z122" s="9"/>
      <c r="AA122" s="9" t="str">
        <f>"－"</f>
        <v>－</v>
      </c>
      <c r="AB122" s="6" t="s">
        <v>58</v>
      </c>
      <c r="AC122" s="10" t="n">
        <f>301</f>
        <v>301.0</v>
      </c>
      <c r="AD122" s="9" t="n">
        <f>2</f>
        <v>2.0</v>
      </c>
    </row>
    <row r="123">
      <c r="A123" s="3" t="s">
        <v>50</v>
      </c>
      <c r="B123" s="3" t="s">
        <v>131</v>
      </c>
      <c r="C123" s="43" t="s">
        <v>132</v>
      </c>
      <c r="D123" s="43" t="s">
        <v>133</v>
      </c>
      <c r="E123" s="3" t="s">
        <v>104</v>
      </c>
      <c r="F123" s="3"/>
      <c r="G123" s="3" t="s">
        <v>55</v>
      </c>
      <c r="H123" s="4" t="s">
        <v>56</v>
      </c>
      <c r="I123" s="5" t="n">
        <v>31000.0</v>
      </c>
      <c r="J123" s="6"/>
      <c r="K123" s="7" t="s">
        <v>57</v>
      </c>
      <c r="L123" s="6"/>
      <c r="M123" s="7" t="s">
        <v>57</v>
      </c>
      <c r="N123" s="6"/>
      <c r="O123" s="7"/>
      <c r="P123" s="6"/>
      <c r="Q123" s="7" t="s">
        <v>57</v>
      </c>
      <c r="R123" s="6"/>
      <c r="S123" s="7"/>
      <c r="T123" s="6"/>
      <c r="U123" s="7" t="s">
        <v>57</v>
      </c>
      <c r="V123" s="8" t="str">
        <f>"－"</f>
        <v>－</v>
      </c>
      <c r="W123" s="9" t="str">
        <f>"－"</f>
        <v>－</v>
      </c>
      <c r="X123" s="9"/>
      <c r="Y123" s="9" t="str">
        <f>"－"</f>
        <v>－</v>
      </c>
      <c r="Z123" s="9"/>
      <c r="AA123" s="9" t="str">
        <f>"－"</f>
        <v>－</v>
      </c>
      <c r="AB123" s="6" t="s">
        <v>58</v>
      </c>
      <c r="AC123" s="10" t="n">
        <f>100</f>
        <v>100.0</v>
      </c>
      <c r="AD123" s="9" t="str">
        <f>"－"</f>
        <v>－</v>
      </c>
    </row>
    <row r="124">
      <c r="A124" s="3" t="s">
        <v>50</v>
      </c>
      <c r="B124" s="3" t="s">
        <v>131</v>
      </c>
      <c r="C124" s="43" t="s">
        <v>132</v>
      </c>
      <c r="D124" s="43" t="s">
        <v>133</v>
      </c>
      <c r="E124" s="3" t="s">
        <v>104</v>
      </c>
      <c r="F124" s="3"/>
      <c r="G124" s="3" t="s">
        <v>59</v>
      </c>
      <c r="H124" s="4" t="s">
        <v>60</v>
      </c>
      <c r="I124" s="5" t="n">
        <v>29000.0</v>
      </c>
      <c r="J124" s="6" t="s">
        <v>156</v>
      </c>
      <c r="K124" s="7" t="s">
        <v>371</v>
      </c>
      <c r="L124" s="6" t="s">
        <v>150</v>
      </c>
      <c r="M124" s="7" t="s">
        <v>477</v>
      </c>
      <c r="N124" s="6"/>
      <c r="O124" s="7"/>
      <c r="P124" s="6" t="s">
        <v>147</v>
      </c>
      <c r="Q124" s="7" t="s">
        <v>339</v>
      </c>
      <c r="R124" s="6"/>
      <c r="S124" s="7"/>
      <c r="T124" s="6" t="s">
        <v>147</v>
      </c>
      <c r="U124" s="7" t="s">
        <v>339</v>
      </c>
      <c r="V124" s="8" t="n">
        <f>224.67</f>
        <v>224.67</v>
      </c>
      <c r="W124" s="9" t="n">
        <f>12000</f>
        <v>12000.0</v>
      </c>
      <c r="X124" s="9"/>
      <c r="Y124" s="9" t="n">
        <f>2696000</f>
        <v>2696000.0</v>
      </c>
      <c r="Z124" s="9"/>
      <c r="AA124" s="9" t="str">
        <f>"－"</f>
        <v>－</v>
      </c>
      <c r="AB124" s="6" t="s">
        <v>58</v>
      </c>
      <c r="AC124" s="10" t="str">
        <f>"－"</f>
        <v>－</v>
      </c>
      <c r="AD124" s="9" t="n">
        <f>6</f>
        <v>6.0</v>
      </c>
    </row>
    <row r="125">
      <c r="A125" s="3" t="s">
        <v>50</v>
      </c>
      <c r="B125" s="3" t="s">
        <v>131</v>
      </c>
      <c r="C125" s="43" t="s">
        <v>132</v>
      </c>
      <c r="D125" s="43" t="s">
        <v>133</v>
      </c>
      <c r="E125" s="3" t="s">
        <v>104</v>
      </c>
      <c r="F125" s="3"/>
      <c r="G125" s="3" t="s">
        <v>59</v>
      </c>
      <c r="H125" s="4" t="s">
        <v>60</v>
      </c>
      <c r="I125" s="5" t="n">
        <v>29500.0</v>
      </c>
      <c r="J125" s="6" t="s">
        <v>139</v>
      </c>
      <c r="K125" s="7" t="s">
        <v>176</v>
      </c>
      <c r="L125" s="6" t="s">
        <v>139</v>
      </c>
      <c r="M125" s="7" t="s">
        <v>176</v>
      </c>
      <c r="N125" s="6"/>
      <c r="O125" s="7"/>
      <c r="P125" s="6" t="s">
        <v>478</v>
      </c>
      <c r="Q125" s="7" t="s">
        <v>479</v>
      </c>
      <c r="R125" s="6"/>
      <c r="S125" s="7"/>
      <c r="T125" s="6" t="s">
        <v>478</v>
      </c>
      <c r="U125" s="7" t="s">
        <v>479</v>
      </c>
      <c r="V125" s="8" t="n">
        <f>428.71</f>
        <v>428.71</v>
      </c>
      <c r="W125" s="9" t="n">
        <f>20051</f>
        <v>20051.0</v>
      </c>
      <c r="X125" s="9"/>
      <c r="Y125" s="9" t="n">
        <f>8087340</f>
        <v>8087340.0</v>
      </c>
      <c r="Z125" s="9"/>
      <c r="AA125" s="9" t="str">
        <f>"－"</f>
        <v>－</v>
      </c>
      <c r="AB125" s="6" t="s">
        <v>58</v>
      </c>
      <c r="AC125" s="10" t="n">
        <f>4051</f>
        <v>4051.0</v>
      </c>
      <c r="AD125" s="9" t="n">
        <f>7</f>
        <v>7.0</v>
      </c>
    </row>
    <row r="126">
      <c r="A126" s="3" t="s">
        <v>50</v>
      </c>
      <c r="B126" s="3" t="s">
        <v>131</v>
      </c>
      <c r="C126" s="43" t="s">
        <v>132</v>
      </c>
      <c r="D126" s="43" t="s">
        <v>133</v>
      </c>
      <c r="E126" s="3" t="s">
        <v>104</v>
      </c>
      <c r="F126" s="3"/>
      <c r="G126" s="3" t="s">
        <v>59</v>
      </c>
      <c r="H126" s="4" t="s">
        <v>60</v>
      </c>
      <c r="I126" s="5" t="n">
        <v>30000.0</v>
      </c>
      <c r="J126" s="6" t="s">
        <v>162</v>
      </c>
      <c r="K126" s="7" t="s">
        <v>279</v>
      </c>
      <c r="L126" s="6" t="s">
        <v>162</v>
      </c>
      <c r="M126" s="7" t="s">
        <v>279</v>
      </c>
      <c r="N126" s="6"/>
      <c r="O126" s="7"/>
      <c r="P126" s="6" t="s">
        <v>480</v>
      </c>
      <c r="Q126" s="7" t="s">
        <v>481</v>
      </c>
      <c r="R126" s="6"/>
      <c r="S126" s="7"/>
      <c r="T126" s="6" t="s">
        <v>480</v>
      </c>
      <c r="U126" s="7" t="s">
        <v>481</v>
      </c>
      <c r="V126" s="8" t="n">
        <f>253.89</f>
        <v>253.89</v>
      </c>
      <c r="W126" s="9" t="n">
        <f>26220</f>
        <v>26220.0</v>
      </c>
      <c r="X126" s="9"/>
      <c r="Y126" s="9" t="n">
        <f>6603100</f>
        <v>6603100.0</v>
      </c>
      <c r="Z126" s="9"/>
      <c r="AA126" s="9" t="str">
        <f>"－"</f>
        <v>－</v>
      </c>
      <c r="AB126" s="6" t="s">
        <v>58</v>
      </c>
      <c r="AC126" s="10" t="n">
        <f>6420</f>
        <v>6420.0</v>
      </c>
      <c r="AD126" s="9" t="n">
        <f>9</f>
        <v>9.0</v>
      </c>
    </row>
    <row r="127">
      <c r="A127" s="3" t="s">
        <v>50</v>
      </c>
      <c r="B127" s="3" t="s">
        <v>131</v>
      </c>
      <c r="C127" s="43" t="s">
        <v>132</v>
      </c>
      <c r="D127" s="43" t="s">
        <v>133</v>
      </c>
      <c r="E127" s="3" t="s">
        <v>104</v>
      </c>
      <c r="F127" s="3"/>
      <c r="G127" s="3" t="s">
        <v>59</v>
      </c>
      <c r="H127" s="4" t="s">
        <v>60</v>
      </c>
      <c r="I127" s="5" t="n">
        <v>31000.0</v>
      </c>
      <c r="J127" s="6" t="s">
        <v>482</v>
      </c>
      <c r="K127" s="7" t="s">
        <v>483</v>
      </c>
      <c r="L127" s="6" t="s">
        <v>482</v>
      </c>
      <c r="M127" s="7" t="s">
        <v>483</v>
      </c>
      <c r="N127" s="6"/>
      <c r="O127" s="7"/>
      <c r="P127" s="6" t="s">
        <v>482</v>
      </c>
      <c r="Q127" s="7" t="s">
        <v>483</v>
      </c>
      <c r="R127" s="6"/>
      <c r="S127" s="7"/>
      <c r="T127" s="6" t="s">
        <v>482</v>
      </c>
      <c r="U127" s="7" t="s">
        <v>483</v>
      </c>
      <c r="V127" s="8" t="n">
        <f>62</f>
        <v>62.0</v>
      </c>
      <c r="W127" s="9" t="n">
        <f>100</f>
        <v>100.0</v>
      </c>
      <c r="X127" s="9"/>
      <c r="Y127" s="9" t="n">
        <f>6200</f>
        <v>6200.0</v>
      </c>
      <c r="Z127" s="9"/>
      <c r="AA127" s="9" t="str">
        <f>"－"</f>
        <v>－</v>
      </c>
      <c r="AB127" s="6" t="s">
        <v>58</v>
      </c>
      <c r="AC127" s="10" t="n">
        <f>100</f>
        <v>100.0</v>
      </c>
      <c r="AD127" s="9" t="n">
        <f>1</f>
        <v>1.0</v>
      </c>
    </row>
    <row r="128">
      <c r="A128" s="3" t="s">
        <v>50</v>
      </c>
      <c r="B128" s="3" t="s">
        <v>131</v>
      </c>
      <c r="C128" s="43" t="s">
        <v>132</v>
      </c>
      <c r="D128" s="43" t="s">
        <v>133</v>
      </c>
      <c r="E128" s="3" t="s">
        <v>104</v>
      </c>
      <c r="F128" s="3"/>
      <c r="G128" s="3" t="s">
        <v>63</v>
      </c>
      <c r="H128" s="4" t="s">
        <v>197</v>
      </c>
      <c r="I128" s="5" t="n">
        <v>25500.0</v>
      </c>
      <c r="J128" s="6" t="s">
        <v>172</v>
      </c>
      <c r="K128" s="7" t="s">
        <v>484</v>
      </c>
      <c r="L128" s="6" t="s">
        <v>485</v>
      </c>
      <c r="M128" s="7" t="s">
        <v>486</v>
      </c>
      <c r="N128" s="6"/>
      <c r="O128" s="7"/>
      <c r="P128" s="6" t="s">
        <v>172</v>
      </c>
      <c r="Q128" s="7" t="s">
        <v>484</v>
      </c>
      <c r="R128" s="6"/>
      <c r="S128" s="7"/>
      <c r="T128" s="6" t="s">
        <v>485</v>
      </c>
      <c r="U128" s="7" t="s">
        <v>486</v>
      </c>
      <c r="V128" s="8" t="n">
        <f>736.5</f>
        <v>736.5</v>
      </c>
      <c r="W128" s="9" t="n">
        <f>4000</f>
        <v>4000.0</v>
      </c>
      <c r="X128" s="9"/>
      <c r="Y128" s="9" t="n">
        <f>2946000</f>
        <v>2946000.0</v>
      </c>
      <c r="Z128" s="9"/>
      <c r="AA128" s="9" t="n">
        <f>2000</f>
        <v>2000.0</v>
      </c>
      <c r="AB128" s="6" t="s">
        <v>58</v>
      </c>
      <c r="AC128" s="10" t="str">
        <f>"－"</f>
        <v>－</v>
      </c>
      <c r="AD128" s="9" t="n">
        <f>2</f>
        <v>2.0</v>
      </c>
    </row>
    <row r="129">
      <c r="A129" s="3" t="s">
        <v>50</v>
      </c>
      <c r="B129" s="3" t="s">
        <v>131</v>
      </c>
      <c r="C129" s="43" t="s">
        <v>132</v>
      </c>
      <c r="D129" s="43" t="s">
        <v>133</v>
      </c>
      <c r="E129" s="3" t="s">
        <v>104</v>
      </c>
      <c r="F129" s="3"/>
      <c r="G129" s="3" t="s">
        <v>63</v>
      </c>
      <c r="H129" s="4" t="s">
        <v>167</v>
      </c>
      <c r="I129" s="5" t="n">
        <v>26000.0</v>
      </c>
      <c r="J129" s="6" t="s">
        <v>208</v>
      </c>
      <c r="K129" s="7" t="s">
        <v>487</v>
      </c>
      <c r="L129" s="6" t="s">
        <v>485</v>
      </c>
      <c r="M129" s="7" t="s">
        <v>211</v>
      </c>
      <c r="N129" s="6"/>
      <c r="O129" s="7"/>
      <c r="P129" s="6" t="s">
        <v>199</v>
      </c>
      <c r="Q129" s="7" t="s">
        <v>336</v>
      </c>
      <c r="R129" s="6"/>
      <c r="S129" s="7"/>
      <c r="T129" s="6" t="s">
        <v>485</v>
      </c>
      <c r="U129" s="7" t="s">
        <v>211</v>
      </c>
      <c r="V129" s="8" t="n">
        <f>332.25</f>
        <v>332.25</v>
      </c>
      <c r="W129" s="9" t="n">
        <f>8000</f>
        <v>8000.0</v>
      </c>
      <c r="X129" s="9"/>
      <c r="Y129" s="9" t="n">
        <f>2658000</f>
        <v>2658000.0</v>
      </c>
      <c r="Z129" s="9"/>
      <c r="AA129" s="9" t="n">
        <f>2000</f>
        <v>2000.0</v>
      </c>
      <c r="AB129" s="6" t="s">
        <v>58</v>
      </c>
      <c r="AC129" s="10" t="str">
        <f>"－"</f>
        <v>－</v>
      </c>
      <c r="AD129" s="9" t="n">
        <f>4</f>
        <v>4.0</v>
      </c>
    </row>
    <row r="130">
      <c r="A130" s="3" t="s">
        <v>50</v>
      </c>
      <c r="B130" s="3" t="s">
        <v>131</v>
      </c>
      <c r="C130" s="43" t="s">
        <v>132</v>
      </c>
      <c r="D130" s="43" t="s">
        <v>133</v>
      </c>
      <c r="E130" s="3" t="s">
        <v>104</v>
      </c>
      <c r="F130" s="3"/>
      <c r="G130" s="3" t="s">
        <v>63</v>
      </c>
      <c r="H130" s="4" t="s">
        <v>179</v>
      </c>
      <c r="I130" s="5" t="n">
        <v>27000.0</v>
      </c>
      <c r="J130" s="6" t="s">
        <v>488</v>
      </c>
      <c r="K130" s="7" t="s">
        <v>489</v>
      </c>
      <c r="L130" s="6" t="s">
        <v>488</v>
      </c>
      <c r="M130" s="7" t="s">
        <v>489</v>
      </c>
      <c r="N130" s="6"/>
      <c r="O130" s="7"/>
      <c r="P130" s="6" t="s">
        <v>172</v>
      </c>
      <c r="Q130" s="7" t="s">
        <v>490</v>
      </c>
      <c r="R130" s="6"/>
      <c r="S130" s="7"/>
      <c r="T130" s="6" t="s">
        <v>172</v>
      </c>
      <c r="U130" s="7" t="s">
        <v>490</v>
      </c>
      <c r="V130" s="8" t="n">
        <f>239</f>
        <v>239.0</v>
      </c>
      <c r="W130" s="9" t="n">
        <f>4000</f>
        <v>4000.0</v>
      </c>
      <c r="X130" s="9"/>
      <c r="Y130" s="9" t="n">
        <f>956000</f>
        <v>956000.0</v>
      </c>
      <c r="Z130" s="9"/>
      <c r="AA130" s="9" t="str">
        <f>"－"</f>
        <v>－</v>
      </c>
      <c r="AB130" s="6" t="s">
        <v>58</v>
      </c>
      <c r="AC130" s="10" t="str">
        <f>"－"</f>
        <v>－</v>
      </c>
      <c r="AD130" s="9" t="n">
        <f>2</f>
        <v>2.0</v>
      </c>
    </row>
    <row r="131">
      <c r="A131" s="3" t="s">
        <v>50</v>
      </c>
      <c r="B131" s="3" t="s">
        <v>131</v>
      </c>
      <c r="C131" s="43" t="s">
        <v>132</v>
      </c>
      <c r="D131" s="43" t="s">
        <v>133</v>
      </c>
      <c r="E131" s="3" t="s">
        <v>104</v>
      </c>
      <c r="F131" s="3"/>
      <c r="G131" s="3" t="s">
        <v>63</v>
      </c>
      <c r="H131" s="4" t="s">
        <v>185</v>
      </c>
      <c r="I131" s="5" t="n">
        <v>27500.0</v>
      </c>
      <c r="J131" s="6" t="s">
        <v>491</v>
      </c>
      <c r="K131" s="7" t="s">
        <v>492</v>
      </c>
      <c r="L131" s="6" t="s">
        <v>491</v>
      </c>
      <c r="M131" s="7" t="s">
        <v>492</v>
      </c>
      <c r="N131" s="6"/>
      <c r="O131" s="7"/>
      <c r="P131" s="6" t="s">
        <v>488</v>
      </c>
      <c r="Q131" s="7" t="s">
        <v>493</v>
      </c>
      <c r="R131" s="6"/>
      <c r="S131" s="7"/>
      <c r="T131" s="6" t="s">
        <v>488</v>
      </c>
      <c r="U131" s="7" t="s">
        <v>493</v>
      </c>
      <c r="V131" s="8" t="n">
        <f>335.5</f>
        <v>335.5</v>
      </c>
      <c r="W131" s="9" t="n">
        <f>4000</f>
        <v>4000.0</v>
      </c>
      <c r="X131" s="9"/>
      <c r="Y131" s="9" t="n">
        <f>1342000</f>
        <v>1342000.0</v>
      </c>
      <c r="Z131" s="9"/>
      <c r="AA131" s="9" t="str">
        <f>"－"</f>
        <v>－</v>
      </c>
      <c r="AB131" s="6" t="s">
        <v>58</v>
      </c>
      <c r="AC131" s="10" t="str">
        <f>"－"</f>
        <v>－</v>
      </c>
      <c r="AD131" s="9" t="n">
        <f>2</f>
        <v>2.0</v>
      </c>
    </row>
    <row r="132">
      <c r="A132" s="3" t="s">
        <v>50</v>
      </c>
      <c r="B132" s="3" t="s">
        <v>131</v>
      </c>
      <c r="C132" s="43" t="s">
        <v>132</v>
      </c>
      <c r="D132" s="43" t="s">
        <v>133</v>
      </c>
      <c r="E132" s="3" t="s">
        <v>104</v>
      </c>
      <c r="F132" s="3"/>
      <c r="G132" s="3" t="s">
        <v>63</v>
      </c>
      <c r="H132" s="4" t="s">
        <v>64</v>
      </c>
      <c r="I132" s="5" t="n">
        <v>28000.0</v>
      </c>
      <c r="J132" s="6" t="s">
        <v>168</v>
      </c>
      <c r="K132" s="7" t="s">
        <v>494</v>
      </c>
      <c r="L132" s="6" t="s">
        <v>168</v>
      </c>
      <c r="M132" s="7" t="s">
        <v>494</v>
      </c>
      <c r="N132" s="6"/>
      <c r="O132" s="7"/>
      <c r="P132" s="6" t="s">
        <v>177</v>
      </c>
      <c r="Q132" s="7" t="s">
        <v>227</v>
      </c>
      <c r="R132" s="6"/>
      <c r="S132" s="7"/>
      <c r="T132" s="6" t="s">
        <v>177</v>
      </c>
      <c r="U132" s="7" t="s">
        <v>227</v>
      </c>
      <c r="V132" s="8" t="n">
        <f>363</f>
        <v>363.0</v>
      </c>
      <c r="W132" s="9" t="n">
        <f>8009</f>
        <v>8009.0</v>
      </c>
      <c r="X132" s="9"/>
      <c r="Y132" s="9" t="n">
        <f>3021008</f>
        <v>3021008.0</v>
      </c>
      <c r="Z132" s="9"/>
      <c r="AA132" s="9" t="str">
        <f>"－"</f>
        <v>－</v>
      </c>
      <c r="AB132" s="6" t="s">
        <v>58</v>
      </c>
      <c r="AC132" s="10" t="n">
        <f>9</f>
        <v>9.0</v>
      </c>
      <c r="AD132" s="9" t="n">
        <f>4</f>
        <v>4.0</v>
      </c>
    </row>
    <row r="133">
      <c r="A133" s="3" t="s">
        <v>50</v>
      </c>
      <c r="B133" s="3" t="s">
        <v>131</v>
      </c>
      <c r="C133" s="43" t="s">
        <v>132</v>
      </c>
      <c r="D133" s="43" t="s">
        <v>133</v>
      </c>
      <c r="E133" s="3" t="s">
        <v>104</v>
      </c>
      <c r="F133" s="3"/>
      <c r="G133" s="3" t="s">
        <v>63</v>
      </c>
      <c r="H133" s="4" t="s">
        <v>64</v>
      </c>
      <c r="I133" s="5" t="n">
        <v>28500.0</v>
      </c>
      <c r="J133" s="6" t="s">
        <v>495</v>
      </c>
      <c r="K133" s="7" t="s">
        <v>496</v>
      </c>
      <c r="L133" s="6" t="s">
        <v>495</v>
      </c>
      <c r="M133" s="7" t="s">
        <v>496</v>
      </c>
      <c r="N133" s="6"/>
      <c r="O133" s="7"/>
      <c r="P133" s="6" t="s">
        <v>497</v>
      </c>
      <c r="Q133" s="7" t="s">
        <v>498</v>
      </c>
      <c r="R133" s="6"/>
      <c r="S133" s="7"/>
      <c r="T133" s="6" t="s">
        <v>497</v>
      </c>
      <c r="U133" s="7" t="s">
        <v>498</v>
      </c>
      <c r="V133" s="8" t="n">
        <f>240</f>
        <v>240.0</v>
      </c>
      <c r="W133" s="9" t="n">
        <f>4000</f>
        <v>4000.0</v>
      </c>
      <c r="X133" s="9"/>
      <c r="Y133" s="9" t="n">
        <f>960000</f>
        <v>960000.0</v>
      </c>
      <c r="Z133" s="9"/>
      <c r="AA133" s="9" t="str">
        <f>"－"</f>
        <v>－</v>
      </c>
      <c r="AB133" s="6" t="s">
        <v>58</v>
      </c>
      <c r="AC133" s="10" t="str">
        <f>"－"</f>
        <v>－</v>
      </c>
      <c r="AD133" s="9" t="n">
        <f>2</f>
        <v>2.0</v>
      </c>
    </row>
    <row r="134">
      <c r="A134" s="3" t="s">
        <v>50</v>
      </c>
      <c r="B134" s="3" t="s">
        <v>131</v>
      </c>
      <c r="C134" s="43" t="s">
        <v>132</v>
      </c>
      <c r="D134" s="43" t="s">
        <v>133</v>
      </c>
      <c r="E134" s="3" t="s">
        <v>104</v>
      </c>
      <c r="F134" s="3"/>
      <c r="G134" s="3" t="s">
        <v>63</v>
      </c>
      <c r="H134" s="4" t="s">
        <v>64</v>
      </c>
      <c r="I134" s="5" t="n">
        <v>29000.0</v>
      </c>
      <c r="J134" s="6" t="s">
        <v>499</v>
      </c>
      <c r="K134" s="7" t="s">
        <v>438</v>
      </c>
      <c r="L134" s="6" t="s">
        <v>188</v>
      </c>
      <c r="M134" s="7" t="s">
        <v>229</v>
      </c>
      <c r="N134" s="6"/>
      <c r="O134" s="7"/>
      <c r="P134" s="6" t="s">
        <v>497</v>
      </c>
      <c r="Q134" s="7" t="s">
        <v>115</v>
      </c>
      <c r="R134" s="6"/>
      <c r="S134" s="7"/>
      <c r="T134" s="6" t="s">
        <v>497</v>
      </c>
      <c r="U134" s="7" t="s">
        <v>115</v>
      </c>
      <c r="V134" s="8" t="n">
        <f>216.6</f>
        <v>216.6</v>
      </c>
      <c r="W134" s="9" t="n">
        <f>8120</f>
        <v>8120.0</v>
      </c>
      <c r="X134" s="9"/>
      <c r="Y134" s="9" t="n">
        <f>1262720</f>
        <v>1262720.0</v>
      </c>
      <c r="Z134" s="9"/>
      <c r="AA134" s="9" t="str">
        <f>"－"</f>
        <v>－</v>
      </c>
      <c r="AB134" s="6" t="s">
        <v>58</v>
      </c>
      <c r="AC134" s="10" t="n">
        <f>4120</f>
        <v>4120.0</v>
      </c>
      <c r="AD134" s="9" t="n">
        <f>5</f>
        <v>5.0</v>
      </c>
    </row>
    <row r="135">
      <c r="A135" s="3" t="s">
        <v>50</v>
      </c>
      <c r="B135" s="3" t="s">
        <v>131</v>
      </c>
      <c r="C135" s="43" t="s">
        <v>132</v>
      </c>
      <c r="D135" s="43" t="s">
        <v>133</v>
      </c>
      <c r="E135" s="3" t="s">
        <v>104</v>
      </c>
      <c r="F135" s="3"/>
      <c r="G135" s="3" t="s">
        <v>63</v>
      </c>
      <c r="H135" s="4" t="s">
        <v>64</v>
      </c>
      <c r="I135" s="5" t="n">
        <v>29500.0</v>
      </c>
      <c r="J135" s="6" t="s">
        <v>105</v>
      </c>
      <c r="K135" s="7" t="s">
        <v>500</v>
      </c>
      <c r="L135" s="6" t="s">
        <v>105</v>
      </c>
      <c r="M135" s="7" t="s">
        <v>500</v>
      </c>
      <c r="N135" s="6"/>
      <c r="O135" s="7"/>
      <c r="P135" s="6" t="s">
        <v>485</v>
      </c>
      <c r="Q135" s="7" t="s">
        <v>202</v>
      </c>
      <c r="R135" s="6"/>
      <c r="S135" s="7"/>
      <c r="T135" s="6" t="s">
        <v>485</v>
      </c>
      <c r="U135" s="7" t="s">
        <v>202</v>
      </c>
      <c r="V135" s="8" t="n">
        <f>223</f>
        <v>223.0</v>
      </c>
      <c r="W135" s="9" t="n">
        <f>8050</f>
        <v>8050.0</v>
      </c>
      <c r="X135" s="9"/>
      <c r="Y135" s="9" t="n">
        <f>1843900</f>
        <v>1843900.0</v>
      </c>
      <c r="Z135" s="9"/>
      <c r="AA135" s="9" t="str">
        <f>"－"</f>
        <v>－</v>
      </c>
      <c r="AB135" s="6" t="s">
        <v>58</v>
      </c>
      <c r="AC135" s="10" t="n">
        <f>2050</f>
        <v>2050.0</v>
      </c>
      <c r="AD135" s="9" t="n">
        <f>5</f>
        <v>5.0</v>
      </c>
    </row>
    <row r="136">
      <c r="A136" s="3" t="s">
        <v>50</v>
      </c>
      <c r="B136" s="3" t="s">
        <v>131</v>
      </c>
      <c r="C136" s="43" t="s">
        <v>132</v>
      </c>
      <c r="D136" s="43" t="s">
        <v>133</v>
      </c>
      <c r="E136" s="3" t="s">
        <v>104</v>
      </c>
      <c r="F136" s="3"/>
      <c r="G136" s="3" t="s">
        <v>63</v>
      </c>
      <c r="H136" s="4" t="s">
        <v>64</v>
      </c>
      <c r="I136" s="5" t="n">
        <v>30000.0</v>
      </c>
      <c r="J136" s="6" t="s">
        <v>165</v>
      </c>
      <c r="K136" s="7" t="s">
        <v>352</v>
      </c>
      <c r="L136" s="6" t="s">
        <v>165</v>
      </c>
      <c r="M136" s="7" t="s">
        <v>352</v>
      </c>
      <c r="N136" s="6"/>
      <c r="O136" s="7"/>
      <c r="P136" s="6" t="s">
        <v>485</v>
      </c>
      <c r="Q136" s="7" t="s">
        <v>202</v>
      </c>
      <c r="R136" s="6"/>
      <c r="S136" s="7"/>
      <c r="T136" s="6" t="s">
        <v>485</v>
      </c>
      <c r="U136" s="7" t="s">
        <v>202</v>
      </c>
      <c r="V136" s="8" t="n">
        <f>200.2</f>
        <v>200.2</v>
      </c>
      <c r="W136" s="9" t="n">
        <f>8300</f>
        <v>8300.0</v>
      </c>
      <c r="X136" s="9"/>
      <c r="Y136" s="9" t="n">
        <f>1046900</f>
        <v>1046900.0</v>
      </c>
      <c r="Z136" s="9"/>
      <c r="AA136" s="9" t="str">
        <f>"－"</f>
        <v>－</v>
      </c>
      <c r="AB136" s="6" t="s">
        <v>58</v>
      </c>
      <c r="AC136" s="10" t="n">
        <f>4300</f>
        <v>4300.0</v>
      </c>
      <c r="AD136" s="9" t="n">
        <f>5</f>
        <v>5.0</v>
      </c>
    </row>
    <row r="137">
      <c r="A137" s="3" t="s">
        <v>50</v>
      </c>
      <c r="B137" s="3" t="s">
        <v>131</v>
      </c>
      <c r="C137" s="43" t="s">
        <v>132</v>
      </c>
      <c r="D137" s="43" t="s">
        <v>133</v>
      </c>
      <c r="E137" s="3" t="s">
        <v>104</v>
      </c>
      <c r="F137" s="3"/>
      <c r="G137" s="3" t="s">
        <v>67</v>
      </c>
      <c r="H137" s="4" t="s">
        <v>68</v>
      </c>
      <c r="I137" s="5" t="n">
        <v>26000.0</v>
      </c>
      <c r="J137" s="6" t="s">
        <v>208</v>
      </c>
      <c r="K137" s="7" t="s">
        <v>501</v>
      </c>
      <c r="L137" s="6" t="s">
        <v>210</v>
      </c>
      <c r="M137" s="7" t="s">
        <v>502</v>
      </c>
      <c r="N137" s="6"/>
      <c r="O137" s="7"/>
      <c r="P137" s="6" t="s">
        <v>208</v>
      </c>
      <c r="Q137" s="7" t="s">
        <v>501</v>
      </c>
      <c r="R137" s="6"/>
      <c r="S137" s="7"/>
      <c r="T137" s="6" t="s">
        <v>210</v>
      </c>
      <c r="U137" s="7" t="s">
        <v>502</v>
      </c>
      <c r="V137" s="8" t="n">
        <f>965.5</f>
        <v>965.5</v>
      </c>
      <c r="W137" s="9" t="n">
        <f>4000</f>
        <v>4000.0</v>
      </c>
      <c r="X137" s="9"/>
      <c r="Y137" s="9" t="n">
        <f>3862000</f>
        <v>3862000.0</v>
      </c>
      <c r="Z137" s="9"/>
      <c r="AA137" s="9" t="str">
        <f>"－"</f>
        <v>－</v>
      </c>
      <c r="AB137" s="6" t="s">
        <v>58</v>
      </c>
      <c r="AC137" s="10" t="str">
        <f>"－"</f>
        <v>－</v>
      </c>
      <c r="AD137" s="9" t="n">
        <f>2</f>
        <v>2.0</v>
      </c>
    </row>
    <row r="138">
      <c r="A138" s="3" t="s">
        <v>50</v>
      </c>
      <c r="B138" s="3" t="s">
        <v>131</v>
      </c>
      <c r="C138" s="43" t="s">
        <v>132</v>
      </c>
      <c r="D138" s="43" t="s">
        <v>133</v>
      </c>
      <c r="E138" s="3" t="s">
        <v>104</v>
      </c>
      <c r="F138" s="3"/>
      <c r="G138" s="3" t="s">
        <v>67</v>
      </c>
      <c r="H138" s="4" t="s">
        <v>212</v>
      </c>
      <c r="I138" s="5" t="n">
        <v>26500.0</v>
      </c>
      <c r="J138" s="6" t="s">
        <v>172</v>
      </c>
      <c r="K138" s="7" t="s">
        <v>443</v>
      </c>
      <c r="L138" s="6" t="s">
        <v>78</v>
      </c>
      <c r="M138" s="7" t="s">
        <v>503</v>
      </c>
      <c r="N138" s="6"/>
      <c r="O138" s="7"/>
      <c r="P138" s="6" t="s">
        <v>172</v>
      </c>
      <c r="Q138" s="7" t="s">
        <v>443</v>
      </c>
      <c r="R138" s="6"/>
      <c r="S138" s="7"/>
      <c r="T138" s="6" t="s">
        <v>78</v>
      </c>
      <c r="U138" s="7" t="s">
        <v>503</v>
      </c>
      <c r="V138" s="8" t="n">
        <f>977.5</f>
        <v>977.5</v>
      </c>
      <c r="W138" s="9" t="n">
        <f>4000</f>
        <v>4000.0</v>
      </c>
      <c r="X138" s="9"/>
      <c r="Y138" s="9" t="n">
        <f>3910000</f>
        <v>3910000.0</v>
      </c>
      <c r="Z138" s="9"/>
      <c r="AA138" s="9" t="n">
        <f>2000</f>
        <v>2000.0</v>
      </c>
      <c r="AB138" s="6" t="s">
        <v>58</v>
      </c>
      <c r="AC138" s="10" t="str">
        <f>"－"</f>
        <v>－</v>
      </c>
      <c r="AD138" s="9" t="n">
        <f>2</f>
        <v>2.0</v>
      </c>
    </row>
    <row r="139">
      <c r="A139" s="3" t="s">
        <v>50</v>
      </c>
      <c r="B139" s="3" t="s">
        <v>131</v>
      </c>
      <c r="C139" s="43" t="s">
        <v>132</v>
      </c>
      <c r="D139" s="43" t="s">
        <v>133</v>
      </c>
      <c r="E139" s="3" t="s">
        <v>104</v>
      </c>
      <c r="F139" s="3"/>
      <c r="G139" s="3" t="s">
        <v>67</v>
      </c>
      <c r="H139" s="4" t="s">
        <v>216</v>
      </c>
      <c r="I139" s="5" t="n">
        <v>27000.0</v>
      </c>
      <c r="J139" s="6" t="s">
        <v>199</v>
      </c>
      <c r="K139" s="7" t="s">
        <v>343</v>
      </c>
      <c r="L139" s="6" t="s">
        <v>78</v>
      </c>
      <c r="M139" s="7" t="s">
        <v>486</v>
      </c>
      <c r="N139" s="6"/>
      <c r="O139" s="7"/>
      <c r="P139" s="6" t="s">
        <v>199</v>
      </c>
      <c r="Q139" s="7" t="s">
        <v>343</v>
      </c>
      <c r="R139" s="6"/>
      <c r="S139" s="7"/>
      <c r="T139" s="6" t="s">
        <v>78</v>
      </c>
      <c r="U139" s="7" t="s">
        <v>486</v>
      </c>
      <c r="V139" s="8" t="n">
        <f>629.83</f>
        <v>629.83</v>
      </c>
      <c r="W139" s="9" t="n">
        <f>8025</f>
        <v>8025.0</v>
      </c>
      <c r="X139" s="9"/>
      <c r="Y139" s="9" t="n">
        <f>5705025</f>
        <v>5705025.0</v>
      </c>
      <c r="Z139" s="9"/>
      <c r="AA139" s="9" t="n">
        <f>4025</f>
        <v>4025.0</v>
      </c>
      <c r="AB139" s="6" t="s">
        <v>58</v>
      </c>
      <c r="AC139" s="10" t="str">
        <f>"－"</f>
        <v>－</v>
      </c>
      <c r="AD139" s="9" t="n">
        <f>6</f>
        <v>6.0</v>
      </c>
    </row>
    <row r="140">
      <c r="A140" s="3" t="s">
        <v>50</v>
      </c>
      <c r="B140" s="3" t="s">
        <v>131</v>
      </c>
      <c r="C140" s="43" t="s">
        <v>132</v>
      </c>
      <c r="D140" s="43" t="s">
        <v>133</v>
      </c>
      <c r="E140" s="3" t="s">
        <v>104</v>
      </c>
      <c r="F140" s="3"/>
      <c r="G140" s="3" t="s">
        <v>67</v>
      </c>
      <c r="H140" s="4" t="s">
        <v>72</v>
      </c>
      <c r="I140" s="5" t="n">
        <v>27500.0</v>
      </c>
      <c r="J140" s="6" t="s">
        <v>69</v>
      </c>
      <c r="K140" s="7" t="s">
        <v>336</v>
      </c>
      <c r="L140" s="6" t="s">
        <v>74</v>
      </c>
      <c r="M140" s="7" t="s">
        <v>204</v>
      </c>
      <c r="N140" s="6"/>
      <c r="O140" s="7"/>
      <c r="P140" s="6" t="s">
        <v>69</v>
      </c>
      <c r="Q140" s="7" t="s">
        <v>336</v>
      </c>
      <c r="R140" s="6"/>
      <c r="S140" s="7"/>
      <c r="T140" s="6" t="s">
        <v>78</v>
      </c>
      <c r="U140" s="7" t="s">
        <v>504</v>
      </c>
      <c r="V140" s="8" t="n">
        <f>450.2</f>
        <v>450.2</v>
      </c>
      <c r="W140" s="9" t="n">
        <f>8225</f>
        <v>8225.0</v>
      </c>
      <c r="X140" s="9"/>
      <c r="Y140" s="9" t="n">
        <f>4572750</f>
        <v>4572750.0</v>
      </c>
      <c r="Z140" s="9"/>
      <c r="AA140" s="9" t="n">
        <f>225</f>
        <v>225.0</v>
      </c>
      <c r="AB140" s="6" t="s">
        <v>58</v>
      </c>
      <c r="AC140" s="10" t="str">
        <f>"－"</f>
        <v>－</v>
      </c>
      <c r="AD140" s="9" t="n">
        <f>5</f>
        <v>5.0</v>
      </c>
    </row>
    <row r="141">
      <c r="A141" s="3" t="s">
        <v>50</v>
      </c>
      <c r="B141" s="3" t="s">
        <v>131</v>
      </c>
      <c r="C141" s="43" t="s">
        <v>132</v>
      </c>
      <c r="D141" s="43" t="s">
        <v>133</v>
      </c>
      <c r="E141" s="3" t="s">
        <v>104</v>
      </c>
      <c r="F141" s="3"/>
      <c r="G141" s="3" t="s">
        <v>67</v>
      </c>
      <c r="H141" s="4" t="s">
        <v>72</v>
      </c>
      <c r="I141" s="5" t="n">
        <v>28000.0</v>
      </c>
      <c r="J141" s="6" t="s">
        <v>74</v>
      </c>
      <c r="K141" s="7" t="s">
        <v>505</v>
      </c>
      <c r="L141" s="6" t="s">
        <v>225</v>
      </c>
      <c r="M141" s="7" t="s">
        <v>506</v>
      </c>
      <c r="N141" s="6"/>
      <c r="O141" s="7"/>
      <c r="P141" s="6" t="s">
        <v>74</v>
      </c>
      <c r="Q141" s="7" t="s">
        <v>505</v>
      </c>
      <c r="R141" s="6"/>
      <c r="S141" s="7"/>
      <c r="T141" s="6" t="s">
        <v>225</v>
      </c>
      <c r="U141" s="7" t="s">
        <v>506</v>
      </c>
      <c r="V141" s="8" t="n">
        <f>583</f>
        <v>583.0</v>
      </c>
      <c r="W141" s="9" t="n">
        <f>9005</f>
        <v>9005.0</v>
      </c>
      <c r="X141" s="9"/>
      <c r="Y141" s="9" t="n">
        <f>5636440</f>
        <v>5636440.0</v>
      </c>
      <c r="Z141" s="9"/>
      <c r="AA141" s="9" t="n">
        <f>1005</f>
        <v>1005.0</v>
      </c>
      <c r="AB141" s="6" t="s">
        <v>58</v>
      </c>
      <c r="AC141" s="10" t="str">
        <f>"－"</f>
        <v>－</v>
      </c>
      <c r="AD141" s="9" t="n">
        <f>3</f>
        <v>3.0</v>
      </c>
    </row>
    <row r="142">
      <c r="A142" s="3" t="s">
        <v>50</v>
      </c>
      <c r="B142" s="3" t="s">
        <v>131</v>
      </c>
      <c r="C142" s="43" t="s">
        <v>132</v>
      </c>
      <c r="D142" s="43" t="s">
        <v>133</v>
      </c>
      <c r="E142" s="3" t="s">
        <v>104</v>
      </c>
      <c r="F142" s="3"/>
      <c r="G142" s="3" t="s">
        <v>67</v>
      </c>
      <c r="H142" s="4" t="s">
        <v>72</v>
      </c>
      <c r="I142" s="5" t="n">
        <v>28500.0</v>
      </c>
      <c r="J142" s="6" t="s">
        <v>107</v>
      </c>
      <c r="K142" s="7" t="s">
        <v>445</v>
      </c>
      <c r="L142" s="6" t="s">
        <v>107</v>
      </c>
      <c r="M142" s="7" t="s">
        <v>445</v>
      </c>
      <c r="N142" s="6"/>
      <c r="O142" s="7"/>
      <c r="P142" s="6" t="s">
        <v>74</v>
      </c>
      <c r="Q142" s="7" t="s">
        <v>507</v>
      </c>
      <c r="R142" s="6"/>
      <c r="S142" s="7"/>
      <c r="T142" s="6" t="s">
        <v>74</v>
      </c>
      <c r="U142" s="7" t="s">
        <v>508</v>
      </c>
      <c r="V142" s="8" t="n">
        <f>255</f>
        <v>255.0</v>
      </c>
      <c r="W142" s="9" t="n">
        <f>352</f>
        <v>352.0</v>
      </c>
      <c r="X142" s="9"/>
      <c r="Y142" s="9" t="n">
        <f>79359</f>
        <v>79359.0</v>
      </c>
      <c r="Z142" s="9"/>
      <c r="AA142" s="9" t="str">
        <f>"－"</f>
        <v>－</v>
      </c>
      <c r="AB142" s="6" t="s">
        <v>58</v>
      </c>
      <c r="AC142" s="10" t="n">
        <f>250</f>
        <v>250.0</v>
      </c>
      <c r="AD142" s="9" t="n">
        <f>2</f>
        <v>2.0</v>
      </c>
    </row>
    <row r="143">
      <c r="A143" s="3" t="s">
        <v>50</v>
      </c>
      <c r="B143" s="3" t="s">
        <v>131</v>
      </c>
      <c r="C143" s="43" t="s">
        <v>132</v>
      </c>
      <c r="D143" s="43" t="s">
        <v>133</v>
      </c>
      <c r="E143" s="3" t="s">
        <v>104</v>
      </c>
      <c r="F143" s="3"/>
      <c r="G143" s="3" t="s">
        <v>67</v>
      </c>
      <c r="H143" s="4" t="s">
        <v>72</v>
      </c>
      <c r="I143" s="5" t="n">
        <v>29000.0</v>
      </c>
      <c r="J143" s="6" t="s">
        <v>497</v>
      </c>
      <c r="K143" s="7" t="s">
        <v>438</v>
      </c>
      <c r="L143" s="6" t="s">
        <v>228</v>
      </c>
      <c r="M143" s="7" t="s">
        <v>509</v>
      </c>
      <c r="N143" s="6"/>
      <c r="O143" s="7"/>
      <c r="P143" s="6" t="s">
        <v>510</v>
      </c>
      <c r="Q143" s="7" t="s">
        <v>511</v>
      </c>
      <c r="R143" s="6"/>
      <c r="S143" s="7"/>
      <c r="T143" s="6" t="s">
        <v>234</v>
      </c>
      <c r="U143" s="7" t="s">
        <v>512</v>
      </c>
      <c r="V143" s="8" t="n">
        <f>282.64</f>
        <v>282.64</v>
      </c>
      <c r="W143" s="9" t="n">
        <f>18400</f>
        <v>18400.0</v>
      </c>
      <c r="X143" s="9"/>
      <c r="Y143" s="9" t="n">
        <f>6745236</f>
        <v>6745236.0</v>
      </c>
      <c r="Z143" s="9"/>
      <c r="AA143" s="9" t="str">
        <f>"－"</f>
        <v>－</v>
      </c>
      <c r="AB143" s="6" t="s">
        <v>58</v>
      </c>
      <c r="AC143" s="10" t="n">
        <f>380</f>
        <v>380.0</v>
      </c>
      <c r="AD143" s="9" t="n">
        <f>11</f>
        <v>11.0</v>
      </c>
    </row>
    <row r="144">
      <c r="A144" s="3" t="s">
        <v>50</v>
      </c>
      <c r="B144" s="3" t="s">
        <v>131</v>
      </c>
      <c r="C144" s="43" t="s">
        <v>132</v>
      </c>
      <c r="D144" s="43" t="s">
        <v>133</v>
      </c>
      <c r="E144" s="3" t="s">
        <v>104</v>
      </c>
      <c r="F144" s="3"/>
      <c r="G144" s="3" t="s">
        <v>67</v>
      </c>
      <c r="H144" s="4" t="s">
        <v>72</v>
      </c>
      <c r="I144" s="5" t="n">
        <v>29500.0</v>
      </c>
      <c r="J144" s="6" t="s">
        <v>168</v>
      </c>
      <c r="K144" s="7" t="s">
        <v>438</v>
      </c>
      <c r="L144" s="6" t="s">
        <v>228</v>
      </c>
      <c r="M144" s="7" t="s">
        <v>371</v>
      </c>
      <c r="N144" s="6"/>
      <c r="O144" s="7"/>
      <c r="P144" s="6" t="s">
        <v>205</v>
      </c>
      <c r="Q144" s="7" t="s">
        <v>91</v>
      </c>
      <c r="R144" s="6"/>
      <c r="S144" s="7"/>
      <c r="T144" s="6" t="s">
        <v>205</v>
      </c>
      <c r="U144" s="7" t="s">
        <v>91</v>
      </c>
      <c r="V144" s="8" t="n">
        <f>186.63</f>
        <v>186.63</v>
      </c>
      <c r="W144" s="9" t="n">
        <f>11769</f>
        <v>11769.0</v>
      </c>
      <c r="X144" s="9"/>
      <c r="Y144" s="9" t="n">
        <f>2073250</f>
        <v>2073250.0</v>
      </c>
      <c r="Z144" s="9"/>
      <c r="AA144" s="9" t="str">
        <f>"－"</f>
        <v>－</v>
      </c>
      <c r="AB144" s="6" t="s">
        <v>58</v>
      </c>
      <c r="AC144" s="10" t="n">
        <f>69</f>
        <v>69.0</v>
      </c>
      <c r="AD144" s="9" t="n">
        <f>8</f>
        <v>8.0</v>
      </c>
    </row>
    <row r="145">
      <c r="A145" s="3" t="s">
        <v>50</v>
      </c>
      <c r="B145" s="3" t="s">
        <v>131</v>
      </c>
      <c r="C145" s="43" t="s">
        <v>132</v>
      </c>
      <c r="D145" s="43" t="s">
        <v>133</v>
      </c>
      <c r="E145" s="3" t="s">
        <v>104</v>
      </c>
      <c r="F145" s="3"/>
      <c r="G145" s="3" t="s">
        <v>67</v>
      </c>
      <c r="H145" s="4" t="s">
        <v>513</v>
      </c>
      <c r="I145" s="5" t="n">
        <v>30000.0</v>
      </c>
      <c r="J145" s="6" t="s">
        <v>221</v>
      </c>
      <c r="K145" s="7" t="s">
        <v>270</v>
      </c>
      <c r="L145" s="6" t="s">
        <v>221</v>
      </c>
      <c r="M145" s="7" t="s">
        <v>270</v>
      </c>
      <c r="N145" s="6"/>
      <c r="O145" s="7"/>
      <c r="P145" s="6" t="s">
        <v>205</v>
      </c>
      <c r="Q145" s="7" t="s">
        <v>91</v>
      </c>
      <c r="R145" s="6"/>
      <c r="S145" s="7"/>
      <c r="T145" s="6" t="s">
        <v>205</v>
      </c>
      <c r="U145" s="7" t="s">
        <v>91</v>
      </c>
      <c r="V145" s="8" t="n">
        <f>65.5</f>
        <v>65.5</v>
      </c>
      <c r="W145" s="9" t="n">
        <f>100</f>
        <v>100.0</v>
      </c>
      <c r="X145" s="9"/>
      <c r="Y145" s="9" t="n">
        <f>6550</f>
        <v>6550.0</v>
      </c>
      <c r="Z145" s="9"/>
      <c r="AA145" s="9" t="str">
        <f>"－"</f>
        <v>－</v>
      </c>
      <c r="AB145" s="6" t="s">
        <v>58</v>
      </c>
      <c r="AC145" s="10" t="str">
        <f>"－"</f>
        <v>－</v>
      </c>
      <c r="AD145" s="9" t="n">
        <f>2</f>
        <v>2.0</v>
      </c>
    </row>
    <row r="146">
      <c r="A146" s="3" t="s">
        <v>50</v>
      </c>
      <c r="B146" s="3" t="s">
        <v>131</v>
      </c>
      <c r="C146" s="43" t="s">
        <v>132</v>
      </c>
      <c r="D146" s="43" t="s">
        <v>133</v>
      </c>
      <c r="E146" s="3" t="s">
        <v>104</v>
      </c>
      <c r="F146" s="3"/>
      <c r="G146" s="3" t="s">
        <v>112</v>
      </c>
      <c r="H146" s="4" t="s">
        <v>113</v>
      </c>
      <c r="I146" s="5" t="n">
        <v>27500.0</v>
      </c>
      <c r="J146" s="6" t="s">
        <v>203</v>
      </c>
      <c r="K146" s="7" t="s">
        <v>253</v>
      </c>
      <c r="L146" s="6" t="s">
        <v>510</v>
      </c>
      <c r="M146" s="7" t="s">
        <v>514</v>
      </c>
      <c r="N146" s="6"/>
      <c r="O146" s="7"/>
      <c r="P146" s="6" t="s">
        <v>278</v>
      </c>
      <c r="Q146" s="7" t="s">
        <v>515</v>
      </c>
      <c r="R146" s="6"/>
      <c r="S146" s="7"/>
      <c r="T146" s="6" t="s">
        <v>278</v>
      </c>
      <c r="U146" s="7" t="s">
        <v>515</v>
      </c>
      <c r="V146" s="8" t="n">
        <f>516.83</f>
        <v>516.83</v>
      </c>
      <c r="W146" s="9" t="n">
        <f>4600</f>
        <v>4600.0</v>
      </c>
      <c r="X146" s="9"/>
      <c r="Y146" s="9" t="n">
        <f>1657450</f>
        <v>1657450.0</v>
      </c>
      <c r="Z146" s="9"/>
      <c r="AA146" s="9" t="str">
        <f>"－"</f>
        <v>－</v>
      </c>
      <c r="AB146" s="6" t="s">
        <v>58</v>
      </c>
      <c r="AC146" s="10" t="n">
        <f>100</f>
        <v>100.0</v>
      </c>
      <c r="AD146" s="9" t="n">
        <f>6</f>
        <v>6.0</v>
      </c>
    </row>
    <row r="147">
      <c r="A147" s="3" t="s">
        <v>50</v>
      </c>
      <c r="B147" s="3" t="s">
        <v>131</v>
      </c>
      <c r="C147" s="43" t="s">
        <v>132</v>
      </c>
      <c r="D147" s="43" t="s">
        <v>133</v>
      </c>
      <c r="E147" s="3" t="s">
        <v>104</v>
      </c>
      <c r="F147" s="3"/>
      <c r="G147" s="3" t="s">
        <v>112</v>
      </c>
      <c r="H147" s="4" t="s">
        <v>254</v>
      </c>
      <c r="I147" s="5" t="n">
        <v>28000.0</v>
      </c>
      <c r="J147" s="6" t="s">
        <v>78</v>
      </c>
      <c r="K147" s="7" t="s">
        <v>516</v>
      </c>
      <c r="L147" s="6" t="s">
        <v>78</v>
      </c>
      <c r="M147" s="7" t="s">
        <v>516</v>
      </c>
      <c r="N147" s="6"/>
      <c r="O147" s="7"/>
      <c r="P147" s="6" t="s">
        <v>517</v>
      </c>
      <c r="Q147" s="7" t="s">
        <v>518</v>
      </c>
      <c r="R147" s="6"/>
      <c r="S147" s="7"/>
      <c r="T147" s="6" t="s">
        <v>517</v>
      </c>
      <c r="U147" s="7" t="s">
        <v>518</v>
      </c>
      <c r="V147" s="8" t="n">
        <f>436.2</f>
        <v>436.2</v>
      </c>
      <c r="W147" s="9" t="n">
        <f>33000</f>
        <v>33000.0</v>
      </c>
      <c r="X147" s="9"/>
      <c r="Y147" s="9" t="n">
        <f>11886000</f>
        <v>1.1886E7</v>
      </c>
      <c r="Z147" s="9"/>
      <c r="AA147" s="9" t="str">
        <f>"－"</f>
        <v>－</v>
      </c>
      <c r="AB147" s="6" t="s">
        <v>58</v>
      </c>
      <c r="AC147" s="10" t="n">
        <f>5000</f>
        <v>5000.0</v>
      </c>
      <c r="AD147" s="9" t="n">
        <f>10</f>
        <v>10.0</v>
      </c>
    </row>
    <row r="148">
      <c r="A148" s="3" t="s">
        <v>50</v>
      </c>
      <c r="B148" s="3" t="s">
        <v>131</v>
      </c>
      <c r="C148" s="43" t="s">
        <v>132</v>
      </c>
      <c r="D148" s="43" t="s">
        <v>133</v>
      </c>
      <c r="E148" s="3" t="s">
        <v>104</v>
      </c>
      <c r="F148" s="3"/>
      <c r="G148" s="3" t="s">
        <v>112</v>
      </c>
      <c r="H148" s="4" t="s">
        <v>254</v>
      </c>
      <c r="I148" s="5" t="n">
        <v>28500.0</v>
      </c>
      <c r="J148" s="6" t="s">
        <v>510</v>
      </c>
      <c r="K148" s="7" t="s">
        <v>519</v>
      </c>
      <c r="L148" s="6" t="s">
        <v>225</v>
      </c>
      <c r="M148" s="7" t="s">
        <v>520</v>
      </c>
      <c r="N148" s="6"/>
      <c r="O148" s="7"/>
      <c r="P148" s="6" t="s">
        <v>250</v>
      </c>
      <c r="Q148" s="7" t="s">
        <v>521</v>
      </c>
      <c r="R148" s="6"/>
      <c r="S148" s="7"/>
      <c r="T148" s="6" t="s">
        <v>120</v>
      </c>
      <c r="U148" s="7" t="s">
        <v>345</v>
      </c>
      <c r="V148" s="8" t="n">
        <f>409</f>
        <v>409.0</v>
      </c>
      <c r="W148" s="9" t="n">
        <f>50600</f>
        <v>50600.0</v>
      </c>
      <c r="X148" s="9"/>
      <c r="Y148" s="9" t="n">
        <f>19339650</f>
        <v>1.933965E7</v>
      </c>
      <c r="Z148" s="9"/>
      <c r="AA148" s="9" t="str">
        <f>"－"</f>
        <v>－</v>
      </c>
      <c r="AB148" s="6" t="s">
        <v>58</v>
      </c>
      <c r="AC148" s="10" t="n">
        <f>100</f>
        <v>100.0</v>
      </c>
      <c r="AD148" s="9" t="n">
        <f>17</f>
        <v>17.0</v>
      </c>
    </row>
    <row r="149">
      <c r="A149" s="3" t="s">
        <v>50</v>
      </c>
      <c r="B149" s="3" t="s">
        <v>131</v>
      </c>
      <c r="C149" s="43" t="s">
        <v>132</v>
      </c>
      <c r="D149" s="43" t="s">
        <v>133</v>
      </c>
      <c r="E149" s="3" t="s">
        <v>104</v>
      </c>
      <c r="F149" s="3"/>
      <c r="G149" s="3" t="s">
        <v>112</v>
      </c>
      <c r="H149" s="4" t="s">
        <v>264</v>
      </c>
      <c r="I149" s="5" t="n">
        <v>29000.0</v>
      </c>
      <c r="J149" s="6" t="s">
        <v>232</v>
      </c>
      <c r="K149" s="7" t="s">
        <v>522</v>
      </c>
      <c r="L149" s="6" t="s">
        <v>232</v>
      </c>
      <c r="M149" s="7" t="s">
        <v>522</v>
      </c>
      <c r="N149" s="6"/>
      <c r="O149" s="7"/>
      <c r="P149" s="6" t="s">
        <v>120</v>
      </c>
      <c r="Q149" s="7" t="s">
        <v>523</v>
      </c>
      <c r="R149" s="6"/>
      <c r="S149" s="7"/>
      <c r="T149" s="6" t="s">
        <v>120</v>
      </c>
      <c r="U149" s="7" t="s">
        <v>523</v>
      </c>
      <c r="V149" s="8" t="n">
        <f>270.67</f>
        <v>270.67</v>
      </c>
      <c r="W149" s="9" t="n">
        <f>31025</f>
        <v>31025.0</v>
      </c>
      <c r="X149" s="9"/>
      <c r="Y149" s="9" t="n">
        <f>8028485</f>
        <v>8028485.0</v>
      </c>
      <c r="Z149" s="9"/>
      <c r="AA149" s="9" t="str">
        <f>"－"</f>
        <v>－</v>
      </c>
      <c r="AB149" s="6" t="s">
        <v>58</v>
      </c>
      <c r="AC149" s="10" t="n">
        <f>525</f>
        <v>525.0</v>
      </c>
      <c r="AD149" s="9" t="n">
        <f>12</f>
        <v>12.0</v>
      </c>
    </row>
    <row r="150">
      <c r="A150" s="3" t="s">
        <v>50</v>
      </c>
      <c r="B150" s="3" t="s">
        <v>131</v>
      </c>
      <c r="C150" s="43" t="s">
        <v>132</v>
      </c>
      <c r="D150" s="43" t="s">
        <v>133</v>
      </c>
      <c r="E150" s="3" t="s">
        <v>104</v>
      </c>
      <c r="F150" s="3"/>
      <c r="G150" s="3" t="s">
        <v>112</v>
      </c>
      <c r="H150" s="4" t="s">
        <v>513</v>
      </c>
      <c r="I150" s="5" t="n">
        <v>29500.0</v>
      </c>
      <c r="J150" s="6" t="s">
        <v>246</v>
      </c>
      <c r="K150" s="7" t="s">
        <v>83</v>
      </c>
      <c r="L150" s="6" t="s">
        <v>114</v>
      </c>
      <c r="M150" s="7" t="s">
        <v>524</v>
      </c>
      <c r="N150" s="6"/>
      <c r="O150" s="7"/>
      <c r="P150" s="6" t="s">
        <v>246</v>
      </c>
      <c r="Q150" s="7" t="s">
        <v>83</v>
      </c>
      <c r="R150" s="6"/>
      <c r="S150" s="7"/>
      <c r="T150" s="6" t="s">
        <v>114</v>
      </c>
      <c r="U150" s="7" t="s">
        <v>524</v>
      </c>
      <c r="V150" s="8" t="n">
        <f>113.5</f>
        <v>113.5</v>
      </c>
      <c r="W150" s="9" t="n">
        <f>129</f>
        <v>129.0</v>
      </c>
      <c r="X150" s="9"/>
      <c r="Y150" s="9" t="n">
        <f>10005</f>
        <v>10005.0</v>
      </c>
      <c r="Z150" s="9"/>
      <c r="AA150" s="9" t="str">
        <f>"－"</f>
        <v>－</v>
      </c>
      <c r="AB150" s="6" t="s">
        <v>58</v>
      </c>
      <c r="AC150" s="10" t="n">
        <f>129</f>
        <v>129.0</v>
      </c>
      <c r="AD150" s="9" t="n">
        <f>2</f>
        <v>2.0</v>
      </c>
    </row>
    <row r="151">
      <c r="A151" s="3" t="s">
        <v>50</v>
      </c>
      <c r="B151" s="3" t="s">
        <v>131</v>
      </c>
      <c r="C151" s="43" t="s">
        <v>132</v>
      </c>
      <c r="D151" s="43" t="s">
        <v>133</v>
      </c>
      <c r="E151" s="3" t="s">
        <v>104</v>
      </c>
      <c r="F151" s="3"/>
      <c r="G151" s="3" t="s">
        <v>112</v>
      </c>
      <c r="H151" s="4" t="s">
        <v>513</v>
      </c>
      <c r="I151" s="5" t="n">
        <v>30000.0</v>
      </c>
      <c r="J151" s="6" t="s">
        <v>221</v>
      </c>
      <c r="K151" s="7" t="s">
        <v>525</v>
      </c>
      <c r="L151" s="6" t="s">
        <v>228</v>
      </c>
      <c r="M151" s="7" t="s">
        <v>386</v>
      </c>
      <c r="N151" s="6"/>
      <c r="O151" s="7"/>
      <c r="P151" s="6" t="s">
        <v>205</v>
      </c>
      <c r="Q151" s="7" t="s">
        <v>498</v>
      </c>
      <c r="R151" s="6"/>
      <c r="S151" s="7"/>
      <c r="T151" s="6" t="s">
        <v>205</v>
      </c>
      <c r="U151" s="7" t="s">
        <v>498</v>
      </c>
      <c r="V151" s="8" t="n">
        <f>368</f>
        <v>368.0</v>
      </c>
      <c r="W151" s="9" t="n">
        <f>900</f>
        <v>900.0</v>
      </c>
      <c r="X151" s="9"/>
      <c r="Y151" s="9" t="n">
        <f>384100</f>
        <v>384100.0</v>
      </c>
      <c r="Z151" s="9"/>
      <c r="AA151" s="9" t="str">
        <f>"－"</f>
        <v>－</v>
      </c>
      <c r="AB151" s="6" t="s">
        <v>58</v>
      </c>
      <c r="AC151" s="10" t="n">
        <f>700</f>
        <v>700.0</v>
      </c>
      <c r="AD151" s="9" t="n">
        <f>4</f>
        <v>4.0</v>
      </c>
    </row>
    <row r="152">
      <c r="A152" s="3" t="s">
        <v>50</v>
      </c>
      <c r="B152" s="3" t="s">
        <v>131</v>
      </c>
      <c r="C152" s="43" t="s">
        <v>132</v>
      </c>
      <c r="D152" s="43" t="s">
        <v>133</v>
      </c>
      <c r="E152" s="3" t="s">
        <v>104</v>
      </c>
      <c r="F152" s="3"/>
      <c r="G152" s="3" t="s">
        <v>116</v>
      </c>
      <c r="H152" s="4" t="s">
        <v>144</v>
      </c>
      <c r="I152" s="5" t="n">
        <v>27000.0</v>
      </c>
      <c r="J152" s="6" t="s">
        <v>526</v>
      </c>
      <c r="K152" s="7" t="s">
        <v>527</v>
      </c>
      <c r="L152" s="6" t="s">
        <v>526</v>
      </c>
      <c r="M152" s="7" t="s">
        <v>527</v>
      </c>
      <c r="N152" s="6"/>
      <c r="O152" s="7"/>
      <c r="P152" s="6" t="s">
        <v>526</v>
      </c>
      <c r="Q152" s="7" t="s">
        <v>527</v>
      </c>
      <c r="R152" s="6"/>
      <c r="S152" s="7"/>
      <c r="T152" s="6" t="s">
        <v>526</v>
      </c>
      <c r="U152" s="7" t="s">
        <v>527</v>
      </c>
      <c r="V152" s="8" t="n">
        <f>1035</f>
        <v>1035.0</v>
      </c>
      <c r="W152" s="9" t="n">
        <f>50</f>
        <v>50.0</v>
      </c>
      <c r="X152" s="9"/>
      <c r="Y152" s="9" t="n">
        <f>51750</f>
        <v>51750.0</v>
      </c>
      <c r="Z152" s="9"/>
      <c r="AA152" s="9" t="n">
        <f>50</f>
        <v>50.0</v>
      </c>
      <c r="AB152" s="6" t="s">
        <v>58</v>
      </c>
      <c r="AC152" s="10" t="str">
        <f>"－"</f>
        <v>－</v>
      </c>
      <c r="AD152" s="9" t="n">
        <f>1</f>
        <v>1.0</v>
      </c>
    </row>
    <row r="153">
      <c r="A153" s="3" t="s">
        <v>50</v>
      </c>
      <c r="B153" s="3" t="s">
        <v>131</v>
      </c>
      <c r="C153" s="43" t="s">
        <v>132</v>
      </c>
      <c r="D153" s="43" t="s">
        <v>133</v>
      </c>
      <c r="E153" s="3" t="s">
        <v>104</v>
      </c>
      <c r="F153" s="3"/>
      <c r="G153" s="3" t="s">
        <v>116</v>
      </c>
      <c r="H153" s="4" t="s">
        <v>117</v>
      </c>
      <c r="I153" s="5" t="n">
        <v>27500.0</v>
      </c>
      <c r="J153" s="6" t="s">
        <v>517</v>
      </c>
      <c r="K153" s="7" t="s">
        <v>354</v>
      </c>
      <c r="L153" s="6" t="s">
        <v>285</v>
      </c>
      <c r="M153" s="7" t="s">
        <v>528</v>
      </c>
      <c r="N153" s="6"/>
      <c r="O153" s="7"/>
      <c r="P153" s="6" t="s">
        <v>242</v>
      </c>
      <c r="Q153" s="7" t="s">
        <v>529</v>
      </c>
      <c r="R153" s="6"/>
      <c r="S153" s="7"/>
      <c r="T153" s="6" t="s">
        <v>285</v>
      </c>
      <c r="U153" s="7" t="s">
        <v>528</v>
      </c>
      <c r="V153" s="8" t="n">
        <f>850.5</f>
        <v>850.5</v>
      </c>
      <c r="W153" s="9" t="n">
        <f>16210</f>
        <v>16210.0</v>
      </c>
      <c r="X153" s="9"/>
      <c r="Y153" s="9" t="n">
        <f>14384100</f>
        <v>1.43841E7</v>
      </c>
      <c r="Z153" s="9"/>
      <c r="AA153" s="9" t="n">
        <f>2210</f>
        <v>2210.0</v>
      </c>
      <c r="AB153" s="6" t="s">
        <v>58</v>
      </c>
      <c r="AC153" s="10" t="str">
        <f>"－"</f>
        <v>－</v>
      </c>
      <c r="AD153" s="9" t="n">
        <f>10</f>
        <v>10.0</v>
      </c>
    </row>
    <row r="154">
      <c r="A154" s="3" t="s">
        <v>50</v>
      </c>
      <c r="B154" s="3" t="s">
        <v>131</v>
      </c>
      <c r="C154" s="43" t="s">
        <v>132</v>
      </c>
      <c r="D154" s="43" t="s">
        <v>133</v>
      </c>
      <c r="E154" s="3" t="s">
        <v>104</v>
      </c>
      <c r="F154" s="3"/>
      <c r="G154" s="3" t="s">
        <v>116</v>
      </c>
      <c r="H154" s="4" t="s">
        <v>117</v>
      </c>
      <c r="I154" s="5" t="n">
        <v>28000.0</v>
      </c>
      <c r="J154" s="6" t="s">
        <v>278</v>
      </c>
      <c r="K154" s="7" t="s">
        <v>530</v>
      </c>
      <c r="L154" s="6" t="s">
        <v>285</v>
      </c>
      <c r="M154" s="7" t="s">
        <v>531</v>
      </c>
      <c r="N154" s="6"/>
      <c r="O154" s="7"/>
      <c r="P154" s="6" t="s">
        <v>280</v>
      </c>
      <c r="Q154" s="7" t="s">
        <v>446</v>
      </c>
      <c r="R154" s="6"/>
      <c r="S154" s="7"/>
      <c r="T154" s="6" t="s">
        <v>285</v>
      </c>
      <c r="U154" s="7" t="s">
        <v>532</v>
      </c>
      <c r="V154" s="8" t="n">
        <f>545.77</f>
        <v>545.77</v>
      </c>
      <c r="W154" s="9" t="n">
        <f>42667</f>
        <v>42667.0</v>
      </c>
      <c r="X154" s="9"/>
      <c r="Y154" s="9" t="n">
        <f>24565184</f>
        <v>2.4565184E7</v>
      </c>
      <c r="Z154" s="9"/>
      <c r="AA154" s="9" t="n">
        <f>7667</f>
        <v>7667.0</v>
      </c>
      <c r="AB154" s="6" t="s">
        <v>58</v>
      </c>
      <c r="AC154" s="10" t="str">
        <f>"－"</f>
        <v>－</v>
      </c>
      <c r="AD154" s="9" t="n">
        <f>13</f>
        <v>13.0</v>
      </c>
    </row>
    <row r="155">
      <c r="A155" s="3" t="s">
        <v>50</v>
      </c>
      <c r="B155" s="3" t="s">
        <v>131</v>
      </c>
      <c r="C155" s="43" t="s">
        <v>132</v>
      </c>
      <c r="D155" s="43" t="s">
        <v>133</v>
      </c>
      <c r="E155" s="3" t="s">
        <v>104</v>
      </c>
      <c r="F155" s="3"/>
      <c r="G155" s="3" t="s">
        <v>116</v>
      </c>
      <c r="H155" s="4" t="s">
        <v>117</v>
      </c>
      <c r="I155" s="5" t="n">
        <v>28500.0</v>
      </c>
      <c r="J155" s="6" t="s">
        <v>250</v>
      </c>
      <c r="K155" s="7" t="s">
        <v>533</v>
      </c>
      <c r="L155" s="6" t="s">
        <v>534</v>
      </c>
      <c r="M155" s="7" t="s">
        <v>535</v>
      </c>
      <c r="N155" s="6"/>
      <c r="O155" s="7"/>
      <c r="P155" s="6" t="s">
        <v>536</v>
      </c>
      <c r="Q155" s="7" t="s">
        <v>537</v>
      </c>
      <c r="R155" s="6"/>
      <c r="S155" s="7"/>
      <c r="T155" s="6" t="s">
        <v>538</v>
      </c>
      <c r="U155" s="7" t="s">
        <v>539</v>
      </c>
      <c r="V155" s="8" t="n">
        <f>333.58</f>
        <v>333.58</v>
      </c>
      <c r="W155" s="9" t="n">
        <f>34126</f>
        <v>34126.0</v>
      </c>
      <c r="X155" s="9"/>
      <c r="Y155" s="9" t="n">
        <f>10953756</f>
        <v>1.0953756E7</v>
      </c>
      <c r="Z155" s="9"/>
      <c r="AA155" s="9" t="n">
        <f>126</f>
        <v>126.0</v>
      </c>
      <c r="AB155" s="6" t="s">
        <v>58</v>
      </c>
      <c r="AC155" s="10" t="str">
        <f>"－"</f>
        <v>－</v>
      </c>
      <c r="AD155" s="9" t="n">
        <f>12</f>
        <v>12.0</v>
      </c>
    </row>
    <row r="156">
      <c r="A156" s="3" t="s">
        <v>50</v>
      </c>
      <c r="B156" s="3" t="s">
        <v>131</v>
      </c>
      <c r="C156" s="43" t="s">
        <v>132</v>
      </c>
      <c r="D156" s="43" t="s">
        <v>133</v>
      </c>
      <c r="E156" s="3" t="s">
        <v>104</v>
      </c>
      <c r="F156" s="3"/>
      <c r="G156" s="3" t="s">
        <v>116</v>
      </c>
      <c r="H156" s="4" t="s">
        <v>117</v>
      </c>
      <c r="I156" s="5" t="n">
        <v>29000.0</v>
      </c>
      <c r="J156" s="6" t="s">
        <v>276</v>
      </c>
      <c r="K156" s="7" t="s">
        <v>253</v>
      </c>
      <c r="L156" s="6" t="s">
        <v>276</v>
      </c>
      <c r="M156" s="7" t="s">
        <v>253</v>
      </c>
      <c r="N156" s="6"/>
      <c r="O156" s="7"/>
      <c r="P156" s="6" t="s">
        <v>280</v>
      </c>
      <c r="Q156" s="7" t="s">
        <v>483</v>
      </c>
      <c r="R156" s="6"/>
      <c r="S156" s="7"/>
      <c r="T156" s="6" t="s">
        <v>285</v>
      </c>
      <c r="U156" s="7" t="s">
        <v>540</v>
      </c>
      <c r="V156" s="8" t="n">
        <f>259.1</f>
        <v>259.1</v>
      </c>
      <c r="W156" s="9" t="n">
        <f>16111</f>
        <v>16111.0</v>
      </c>
      <c r="X156" s="9"/>
      <c r="Y156" s="9" t="n">
        <f>4712415</f>
        <v>4712415.0</v>
      </c>
      <c r="Z156" s="9"/>
      <c r="AA156" s="9" t="n">
        <f>111</f>
        <v>111.0</v>
      </c>
      <c r="AB156" s="6" t="s">
        <v>58</v>
      </c>
      <c r="AC156" s="10" t="str">
        <f>"－"</f>
        <v>－</v>
      </c>
      <c r="AD156" s="9" t="n">
        <f>10</f>
        <v>10.0</v>
      </c>
    </row>
    <row r="157">
      <c r="A157" s="3" t="s">
        <v>50</v>
      </c>
      <c r="B157" s="3" t="s">
        <v>131</v>
      </c>
      <c r="C157" s="43" t="s">
        <v>132</v>
      </c>
      <c r="D157" s="43" t="s">
        <v>133</v>
      </c>
      <c r="E157" s="3" t="s">
        <v>104</v>
      </c>
      <c r="F157" s="3"/>
      <c r="G157" s="3" t="s">
        <v>116</v>
      </c>
      <c r="H157" s="4" t="s">
        <v>117</v>
      </c>
      <c r="I157" s="5" t="n">
        <v>29500.0</v>
      </c>
      <c r="J157" s="6" t="s">
        <v>538</v>
      </c>
      <c r="K157" s="7" t="s">
        <v>541</v>
      </c>
      <c r="L157" s="6" t="s">
        <v>542</v>
      </c>
      <c r="M157" s="7" t="s">
        <v>226</v>
      </c>
      <c r="N157" s="6"/>
      <c r="O157" s="7"/>
      <c r="P157" s="6" t="s">
        <v>538</v>
      </c>
      <c r="Q157" s="7" t="s">
        <v>541</v>
      </c>
      <c r="R157" s="6"/>
      <c r="S157" s="7"/>
      <c r="T157" s="6" t="s">
        <v>542</v>
      </c>
      <c r="U157" s="7" t="s">
        <v>226</v>
      </c>
      <c r="V157" s="8" t="n">
        <f>65.5</f>
        <v>65.5</v>
      </c>
      <c r="W157" s="9" t="n">
        <f>500</f>
        <v>500.0</v>
      </c>
      <c r="X157" s="9"/>
      <c r="Y157" s="9" t="n">
        <f>32750</f>
        <v>32750.0</v>
      </c>
      <c r="Z157" s="9"/>
      <c r="AA157" s="9" t="str">
        <f>"－"</f>
        <v>－</v>
      </c>
      <c r="AB157" s="6" t="s">
        <v>58</v>
      </c>
      <c r="AC157" s="10" t="str">
        <f>"－"</f>
        <v>－</v>
      </c>
      <c r="AD157" s="9" t="n">
        <f>2</f>
        <v>2.0</v>
      </c>
    </row>
    <row r="158">
      <c r="A158" s="3" t="s">
        <v>50</v>
      </c>
      <c r="B158" s="3" t="s">
        <v>131</v>
      </c>
      <c r="C158" s="43" t="s">
        <v>132</v>
      </c>
      <c r="D158" s="43" t="s">
        <v>133</v>
      </c>
      <c r="E158" s="3" t="s">
        <v>104</v>
      </c>
      <c r="F158" s="3"/>
      <c r="G158" s="3" t="s">
        <v>294</v>
      </c>
      <c r="H158" s="4" t="s">
        <v>295</v>
      </c>
      <c r="I158" s="5" t="n">
        <v>27000.0</v>
      </c>
      <c r="J158" s="6" t="s">
        <v>297</v>
      </c>
      <c r="K158" s="7" t="s">
        <v>543</v>
      </c>
      <c r="L158" s="6" t="s">
        <v>544</v>
      </c>
      <c r="M158" s="7" t="s">
        <v>545</v>
      </c>
      <c r="N158" s="6"/>
      <c r="O158" s="7"/>
      <c r="P158" s="6" t="s">
        <v>546</v>
      </c>
      <c r="Q158" s="7" t="s">
        <v>342</v>
      </c>
      <c r="R158" s="6"/>
      <c r="S158" s="7"/>
      <c r="T158" s="6" t="s">
        <v>544</v>
      </c>
      <c r="U158" s="7" t="s">
        <v>545</v>
      </c>
      <c r="V158" s="8" t="n">
        <f>408</f>
        <v>408.0</v>
      </c>
      <c r="W158" s="9" t="n">
        <f>8000</f>
        <v>8000.0</v>
      </c>
      <c r="X158" s="9"/>
      <c r="Y158" s="9" t="n">
        <f>3264000</f>
        <v>3264000.0</v>
      </c>
      <c r="Z158" s="9"/>
      <c r="AA158" s="9" t="str">
        <f>"－"</f>
        <v>－</v>
      </c>
      <c r="AB158" s="6" t="s">
        <v>58</v>
      </c>
      <c r="AC158" s="10" t="str">
        <f>"－"</f>
        <v>－</v>
      </c>
      <c r="AD158" s="9" t="n">
        <f>4</f>
        <v>4.0</v>
      </c>
    </row>
    <row r="159">
      <c r="A159" s="3" t="s">
        <v>50</v>
      </c>
      <c r="B159" s="3" t="s">
        <v>131</v>
      </c>
      <c r="C159" s="43" t="s">
        <v>132</v>
      </c>
      <c r="D159" s="43" t="s">
        <v>133</v>
      </c>
      <c r="E159" s="3" t="s">
        <v>104</v>
      </c>
      <c r="F159" s="3"/>
      <c r="G159" s="3" t="s">
        <v>294</v>
      </c>
      <c r="H159" s="4" t="s">
        <v>295</v>
      </c>
      <c r="I159" s="5" t="n">
        <v>27500.0</v>
      </c>
      <c r="J159" s="6" t="s">
        <v>547</v>
      </c>
      <c r="K159" s="7" t="s">
        <v>548</v>
      </c>
      <c r="L159" s="6" t="s">
        <v>307</v>
      </c>
      <c r="M159" s="7" t="s">
        <v>549</v>
      </c>
      <c r="N159" s="6"/>
      <c r="O159" s="7"/>
      <c r="P159" s="6" t="s">
        <v>305</v>
      </c>
      <c r="Q159" s="7" t="s">
        <v>202</v>
      </c>
      <c r="R159" s="6"/>
      <c r="S159" s="7"/>
      <c r="T159" s="6" t="s">
        <v>305</v>
      </c>
      <c r="U159" s="7" t="s">
        <v>202</v>
      </c>
      <c r="V159" s="8" t="n">
        <f>434.14</f>
        <v>434.14</v>
      </c>
      <c r="W159" s="9" t="n">
        <f>16000</f>
        <v>16000.0</v>
      </c>
      <c r="X159" s="9"/>
      <c r="Y159" s="9" t="n">
        <f>6514000</f>
        <v>6514000.0</v>
      </c>
      <c r="Z159" s="9"/>
      <c r="AA159" s="9" t="str">
        <f>"－"</f>
        <v>－</v>
      </c>
      <c r="AB159" s="6" t="s">
        <v>58</v>
      </c>
      <c r="AC159" s="10" t="n">
        <f>2000</f>
        <v>2000.0</v>
      </c>
      <c r="AD159" s="9" t="n">
        <f>7</f>
        <v>7.0</v>
      </c>
    </row>
    <row r="160">
      <c r="A160" s="3" t="s">
        <v>50</v>
      </c>
      <c r="B160" s="3" t="s">
        <v>131</v>
      </c>
      <c r="C160" s="43" t="s">
        <v>132</v>
      </c>
      <c r="D160" s="43" t="s">
        <v>133</v>
      </c>
      <c r="E160" s="3" t="s">
        <v>104</v>
      </c>
      <c r="F160" s="3"/>
      <c r="G160" s="3" t="s">
        <v>294</v>
      </c>
      <c r="H160" s="4" t="s">
        <v>295</v>
      </c>
      <c r="I160" s="5" t="n">
        <v>28000.0</v>
      </c>
      <c r="J160" s="6" t="s">
        <v>289</v>
      </c>
      <c r="K160" s="7" t="s">
        <v>181</v>
      </c>
      <c r="L160" s="6" t="s">
        <v>550</v>
      </c>
      <c r="M160" s="7" t="s">
        <v>551</v>
      </c>
      <c r="N160" s="6"/>
      <c r="O160" s="7"/>
      <c r="P160" s="6" t="s">
        <v>323</v>
      </c>
      <c r="Q160" s="7" t="s">
        <v>552</v>
      </c>
      <c r="R160" s="6"/>
      <c r="S160" s="7"/>
      <c r="T160" s="6" t="s">
        <v>323</v>
      </c>
      <c r="U160" s="7" t="s">
        <v>125</v>
      </c>
      <c r="V160" s="8" t="n">
        <f>372.2</f>
        <v>372.2</v>
      </c>
      <c r="W160" s="9" t="n">
        <f>42000</f>
        <v>42000.0</v>
      </c>
      <c r="X160" s="9"/>
      <c r="Y160" s="9" t="n">
        <f>14082000</f>
        <v>1.4082E7</v>
      </c>
      <c r="Z160" s="9"/>
      <c r="AA160" s="9" t="str">
        <f>"－"</f>
        <v>－</v>
      </c>
      <c r="AB160" s="6" t="s">
        <v>58</v>
      </c>
      <c r="AC160" s="10" t="str">
        <f>"－"</f>
        <v>－</v>
      </c>
      <c r="AD160" s="9" t="n">
        <f>10</f>
        <v>10.0</v>
      </c>
    </row>
    <row r="161">
      <c r="A161" s="3" t="s">
        <v>50</v>
      </c>
      <c r="B161" s="3" t="s">
        <v>131</v>
      </c>
      <c r="C161" s="43" t="s">
        <v>132</v>
      </c>
      <c r="D161" s="43" t="s">
        <v>133</v>
      </c>
      <c r="E161" s="3" t="s">
        <v>104</v>
      </c>
      <c r="F161" s="3"/>
      <c r="G161" s="3" t="s">
        <v>294</v>
      </c>
      <c r="H161" s="4" t="s">
        <v>311</v>
      </c>
      <c r="I161" s="5" t="n">
        <v>28500.0</v>
      </c>
      <c r="J161" s="6" t="s">
        <v>118</v>
      </c>
      <c r="K161" s="7" t="s">
        <v>553</v>
      </c>
      <c r="L161" s="6" t="s">
        <v>307</v>
      </c>
      <c r="M161" s="7" t="s">
        <v>554</v>
      </c>
      <c r="N161" s="6"/>
      <c r="O161" s="7"/>
      <c r="P161" s="6" t="s">
        <v>555</v>
      </c>
      <c r="Q161" s="7" t="s">
        <v>556</v>
      </c>
      <c r="R161" s="6"/>
      <c r="S161" s="7"/>
      <c r="T161" s="6" t="s">
        <v>555</v>
      </c>
      <c r="U161" s="7" t="s">
        <v>556</v>
      </c>
      <c r="V161" s="8" t="n">
        <f>253</f>
        <v>253.0</v>
      </c>
      <c r="W161" s="9" t="n">
        <f>26500</f>
        <v>26500.0</v>
      </c>
      <c r="X161" s="9"/>
      <c r="Y161" s="9" t="n">
        <f>6879250</f>
        <v>6879250.0</v>
      </c>
      <c r="Z161" s="9"/>
      <c r="AA161" s="9" t="str">
        <f>"－"</f>
        <v>－</v>
      </c>
      <c r="AB161" s="6" t="s">
        <v>58</v>
      </c>
      <c r="AC161" s="10" t="str">
        <f>"－"</f>
        <v>－</v>
      </c>
      <c r="AD161" s="9" t="n">
        <f>10</f>
        <v>10.0</v>
      </c>
    </row>
    <row r="162">
      <c r="A162" s="3" t="s">
        <v>50</v>
      </c>
      <c r="B162" s="3" t="s">
        <v>131</v>
      </c>
      <c r="C162" s="43" t="s">
        <v>132</v>
      </c>
      <c r="D162" s="43" t="s">
        <v>133</v>
      </c>
      <c r="E162" s="3" t="s">
        <v>104</v>
      </c>
      <c r="F162" s="3"/>
      <c r="G162" s="3" t="s">
        <v>294</v>
      </c>
      <c r="H162" s="4" t="s">
        <v>557</v>
      </c>
      <c r="I162" s="5" t="n">
        <v>29000.0</v>
      </c>
      <c r="J162" s="6" t="s">
        <v>550</v>
      </c>
      <c r="K162" s="7" t="s">
        <v>235</v>
      </c>
      <c r="L162" s="6" t="s">
        <v>558</v>
      </c>
      <c r="M162" s="7" t="s">
        <v>342</v>
      </c>
      <c r="N162" s="6"/>
      <c r="O162" s="7"/>
      <c r="P162" s="6" t="s">
        <v>544</v>
      </c>
      <c r="Q162" s="7" t="s">
        <v>559</v>
      </c>
      <c r="R162" s="6"/>
      <c r="S162" s="7"/>
      <c r="T162" s="6" t="s">
        <v>544</v>
      </c>
      <c r="U162" s="7" t="s">
        <v>559</v>
      </c>
      <c r="V162" s="8" t="n">
        <f>185.67</f>
        <v>185.67</v>
      </c>
      <c r="W162" s="9" t="n">
        <f>550</f>
        <v>550.0</v>
      </c>
      <c r="X162" s="9"/>
      <c r="Y162" s="9" t="n">
        <f>82850</f>
        <v>82850.0</v>
      </c>
      <c r="Z162" s="9"/>
      <c r="AA162" s="9" t="str">
        <f>"－"</f>
        <v>－</v>
      </c>
      <c r="AB162" s="6" t="s">
        <v>58</v>
      </c>
      <c r="AC162" s="10" t="n">
        <f>50</f>
        <v>50.0</v>
      </c>
      <c r="AD162" s="9" t="n">
        <f>3</f>
        <v>3.0</v>
      </c>
    </row>
    <row r="163">
      <c r="A163" s="3" t="s">
        <v>50</v>
      </c>
      <c r="B163" s="3" t="s">
        <v>131</v>
      </c>
      <c r="C163" s="43" t="s">
        <v>132</v>
      </c>
      <c r="D163" s="43" t="s">
        <v>133</v>
      </c>
      <c r="E163" s="3" t="s">
        <v>104</v>
      </c>
      <c r="F163" s="3"/>
      <c r="G163" s="3" t="s">
        <v>294</v>
      </c>
      <c r="H163" s="4" t="s">
        <v>560</v>
      </c>
      <c r="I163" s="5" t="n">
        <v>29500.0</v>
      </c>
      <c r="J163" s="6" t="s">
        <v>538</v>
      </c>
      <c r="K163" s="7" t="s">
        <v>561</v>
      </c>
      <c r="L163" s="6" t="s">
        <v>542</v>
      </c>
      <c r="M163" s="7" t="s">
        <v>562</v>
      </c>
      <c r="N163" s="6"/>
      <c r="O163" s="7"/>
      <c r="P163" s="6" t="s">
        <v>563</v>
      </c>
      <c r="Q163" s="7" t="s">
        <v>564</v>
      </c>
      <c r="R163" s="6"/>
      <c r="S163" s="7"/>
      <c r="T163" s="6" t="s">
        <v>563</v>
      </c>
      <c r="U163" s="7" t="s">
        <v>564</v>
      </c>
      <c r="V163" s="8" t="n">
        <f>174.2</f>
        <v>174.2</v>
      </c>
      <c r="W163" s="9" t="n">
        <f>299</f>
        <v>299.0</v>
      </c>
      <c r="X163" s="9"/>
      <c r="Y163" s="9" t="n">
        <f>53025</f>
        <v>53025.0</v>
      </c>
      <c r="Z163" s="9"/>
      <c r="AA163" s="9" t="str">
        <f>"－"</f>
        <v>－</v>
      </c>
      <c r="AB163" s="6" t="s">
        <v>58</v>
      </c>
      <c r="AC163" s="10" t="n">
        <f>99</f>
        <v>99.0</v>
      </c>
      <c r="AD163" s="9" t="n">
        <f>5</f>
        <v>5.0</v>
      </c>
    </row>
    <row r="164">
      <c r="A164" s="3" t="s">
        <v>50</v>
      </c>
      <c r="B164" s="3" t="s">
        <v>131</v>
      </c>
      <c r="C164" s="43" t="s">
        <v>132</v>
      </c>
      <c r="D164" s="43" t="s">
        <v>133</v>
      </c>
      <c r="E164" s="3" t="s">
        <v>104</v>
      </c>
      <c r="F164" s="3"/>
      <c r="G164" s="3" t="s">
        <v>80</v>
      </c>
      <c r="H164" s="4" t="s">
        <v>320</v>
      </c>
      <c r="I164" s="5" t="n">
        <v>26500.0</v>
      </c>
      <c r="J164" s="6" t="s">
        <v>316</v>
      </c>
      <c r="K164" s="7" t="s">
        <v>565</v>
      </c>
      <c r="L164" s="6" t="s">
        <v>309</v>
      </c>
      <c r="M164" s="7" t="s">
        <v>566</v>
      </c>
      <c r="N164" s="6"/>
      <c r="O164" s="7"/>
      <c r="P164" s="6" t="s">
        <v>316</v>
      </c>
      <c r="Q164" s="7" t="s">
        <v>565</v>
      </c>
      <c r="R164" s="6"/>
      <c r="S164" s="7"/>
      <c r="T164" s="6" t="s">
        <v>309</v>
      </c>
      <c r="U164" s="7" t="s">
        <v>566</v>
      </c>
      <c r="V164" s="8" t="n">
        <f>871</f>
        <v>871.0</v>
      </c>
      <c r="W164" s="9" t="n">
        <f>4000</f>
        <v>4000.0</v>
      </c>
      <c r="X164" s="9"/>
      <c r="Y164" s="9" t="n">
        <f>3484000</f>
        <v>3484000.0</v>
      </c>
      <c r="Z164" s="9"/>
      <c r="AA164" s="9" t="str">
        <f>"－"</f>
        <v>－</v>
      </c>
      <c r="AB164" s="6" t="s">
        <v>58</v>
      </c>
      <c r="AC164" s="10" t="str">
        <f>"－"</f>
        <v>－</v>
      </c>
      <c r="AD164" s="9" t="n">
        <f>2</f>
        <v>2.0</v>
      </c>
    </row>
    <row r="165">
      <c r="A165" s="3" t="s">
        <v>50</v>
      </c>
      <c r="B165" s="3" t="s">
        <v>131</v>
      </c>
      <c r="C165" s="43" t="s">
        <v>132</v>
      </c>
      <c r="D165" s="43" t="s">
        <v>133</v>
      </c>
      <c r="E165" s="3" t="s">
        <v>104</v>
      </c>
      <c r="F165" s="3"/>
      <c r="G165" s="3" t="s">
        <v>80</v>
      </c>
      <c r="H165" s="4" t="s">
        <v>328</v>
      </c>
      <c r="I165" s="5" t="n">
        <v>27000.0</v>
      </c>
      <c r="J165" s="6" t="s">
        <v>309</v>
      </c>
      <c r="K165" s="7" t="s">
        <v>567</v>
      </c>
      <c r="L165" s="6" t="s">
        <v>568</v>
      </c>
      <c r="M165" s="7" t="s">
        <v>569</v>
      </c>
      <c r="N165" s="6"/>
      <c r="O165" s="7"/>
      <c r="P165" s="6" t="s">
        <v>309</v>
      </c>
      <c r="Q165" s="7" t="s">
        <v>317</v>
      </c>
      <c r="R165" s="6"/>
      <c r="S165" s="7"/>
      <c r="T165" s="6" t="s">
        <v>570</v>
      </c>
      <c r="U165" s="7" t="s">
        <v>571</v>
      </c>
      <c r="V165" s="8" t="n">
        <f>1167.25</f>
        <v>1167.25</v>
      </c>
      <c r="W165" s="9" t="n">
        <f>10000</f>
        <v>10000.0</v>
      </c>
      <c r="X165" s="9"/>
      <c r="Y165" s="9" t="n">
        <f>11438000</f>
        <v>1.1438E7</v>
      </c>
      <c r="Z165" s="9"/>
      <c r="AA165" s="9" t="n">
        <f>5000</f>
        <v>5000.0</v>
      </c>
      <c r="AB165" s="6" t="s">
        <v>58</v>
      </c>
      <c r="AC165" s="10" t="str">
        <f>"－"</f>
        <v>－</v>
      </c>
      <c r="AD165" s="9" t="n">
        <f>4</f>
        <v>4.0</v>
      </c>
    </row>
    <row r="166">
      <c r="A166" s="3" t="s">
        <v>50</v>
      </c>
      <c r="B166" s="3" t="s">
        <v>131</v>
      </c>
      <c r="C166" s="43" t="s">
        <v>132</v>
      </c>
      <c r="D166" s="43" t="s">
        <v>133</v>
      </c>
      <c r="E166" s="3" t="s">
        <v>104</v>
      </c>
      <c r="F166" s="3"/>
      <c r="G166" s="3" t="s">
        <v>80</v>
      </c>
      <c r="H166" s="4" t="s">
        <v>328</v>
      </c>
      <c r="I166" s="5" t="n">
        <v>27500.0</v>
      </c>
      <c r="J166" s="6" t="s">
        <v>299</v>
      </c>
      <c r="K166" s="7" t="s">
        <v>572</v>
      </c>
      <c r="L166" s="6" t="s">
        <v>568</v>
      </c>
      <c r="M166" s="7" t="s">
        <v>573</v>
      </c>
      <c r="N166" s="6"/>
      <c r="O166" s="7"/>
      <c r="P166" s="6" t="s">
        <v>325</v>
      </c>
      <c r="Q166" s="7" t="s">
        <v>574</v>
      </c>
      <c r="R166" s="6"/>
      <c r="S166" s="7"/>
      <c r="T166" s="6" t="s">
        <v>570</v>
      </c>
      <c r="U166" s="7" t="s">
        <v>575</v>
      </c>
      <c r="V166" s="8" t="n">
        <f>634.55</f>
        <v>634.55</v>
      </c>
      <c r="W166" s="9" t="n">
        <f>14743</f>
        <v>14743.0</v>
      </c>
      <c r="X166" s="9"/>
      <c r="Y166" s="9" t="n">
        <f>9916500</f>
        <v>9916500.0</v>
      </c>
      <c r="Z166" s="9"/>
      <c r="AA166" s="9" t="n">
        <f>5247</f>
        <v>5247.0</v>
      </c>
      <c r="AB166" s="6" t="s">
        <v>58</v>
      </c>
      <c r="AC166" s="10" t="str">
        <f>"－"</f>
        <v>－</v>
      </c>
      <c r="AD166" s="9" t="n">
        <f>11</f>
        <v>11.0</v>
      </c>
    </row>
    <row r="167">
      <c r="A167" s="3" t="s">
        <v>50</v>
      </c>
      <c r="B167" s="3" t="s">
        <v>131</v>
      </c>
      <c r="C167" s="43" t="s">
        <v>132</v>
      </c>
      <c r="D167" s="43" t="s">
        <v>133</v>
      </c>
      <c r="E167" s="3" t="s">
        <v>104</v>
      </c>
      <c r="F167" s="3"/>
      <c r="G167" s="3" t="s">
        <v>80</v>
      </c>
      <c r="H167" s="4" t="s">
        <v>340</v>
      </c>
      <c r="I167" s="5" t="n">
        <v>28000.0</v>
      </c>
      <c r="J167" s="6" t="s">
        <v>555</v>
      </c>
      <c r="K167" s="7" t="s">
        <v>576</v>
      </c>
      <c r="L167" s="6" t="s">
        <v>347</v>
      </c>
      <c r="M167" s="7" t="s">
        <v>577</v>
      </c>
      <c r="N167" s="6"/>
      <c r="O167" s="7"/>
      <c r="P167" s="6" t="s">
        <v>316</v>
      </c>
      <c r="Q167" s="7" t="s">
        <v>578</v>
      </c>
      <c r="R167" s="6"/>
      <c r="S167" s="7"/>
      <c r="T167" s="6" t="s">
        <v>568</v>
      </c>
      <c r="U167" s="7" t="s">
        <v>579</v>
      </c>
      <c r="V167" s="8" t="n">
        <f>439.9</f>
        <v>439.9</v>
      </c>
      <c r="W167" s="9" t="n">
        <f>34066</f>
        <v>34066.0</v>
      </c>
      <c r="X167" s="9"/>
      <c r="Y167" s="9" t="n">
        <f>16123390</f>
        <v>1.612339E7</v>
      </c>
      <c r="Z167" s="9"/>
      <c r="AA167" s="9" t="n">
        <f>66</f>
        <v>66.0</v>
      </c>
      <c r="AB167" s="6" t="s">
        <v>58</v>
      </c>
      <c r="AC167" s="10" t="str">
        <f>"－"</f>
        <v>－</v>
      </c>
      <c r="AD167" s="9" t="n">
        <f>10</f>
        <v>10.0</v>
      </c>
    </row>
    <row r="168">
      <c r="A168" s="3" t="s">
        <v>50</v>
      </c>
      <c r="B168" s="3" t="s">
        <v>131</v>
      </c>
      <c r="C168" s="43" t="s">
        <v>132</v>
      </c>
      <c r="D168" s="43" t="s">
        <v>133</v>
      </c>
      <c r="E168" s="3" t="s">
        <v>104</v>
      </c>
      <c r="F168" s="3"/>
      <c r="G168" s="3" t="s">
        <v>80</v>
      </c>
      <c r="H168" s="4" t="s">
        <v>81</v>
      </c>
      <c r="I168" s="5" t="n">
        <v>28500.0</v>
      </c>
      <c r="J168" s="6" t="s">
        <v>302</v>
      </c>
      <c r="K168" s="7" t="s">
        <v>553</v>
      </c>
      <c r="L168" s="6" t="s">
        <v>335</v>
      </c>
      <c r="M168" s="7" t="s">
        <v>580</v>
      </c>
      <c r="N168" s="6"/>
      <c r="O168" s="7"/>
      <c r="P168" s="6" t="s">
        <v>351</v>
      </c>
      <c r="Q168" s="7" t="s">
        <v>581</v>
      </c>
      <c r="R168" s="6"/>
      <c r="S168" s="7"/>
      <c r="T168" s="6" t="s">
        <v>338</v>
      </c>
      <c r="U168" s="7" t="s">
        <v>235</v>
      </c>
      <c r="V168" s="8" t="n">
        <f>260.75</f>
        <v>260.75</v>
      </c>
      <c r="W168" s="9" t="n">
        <f>4079</f>
        <v>4079.0</v>
      </c>
      <c r="X168" s="9"/>
      <c r="Y168" s="9" t="n">
        <f>1237180</f>
        <v>1237180.0</v>
      </c>
      <c r="Z168" s="9"/>
      <c r="AA168" s="9" t="n">
        <f>79</f>
        <v>79.0</v>
      </c>
      <c r="AB168" s="6" t="s">
        <v>58</v>
      </c>
      <c r="AC168" s="10" t="str">
        <f>"－"</f>
        <v>－</v>
      </c>
      <c r="AD168" s="9" t="n">
        <f>4</f>
        <v>4.0</v>
      </c>
    </row>
    <row r="169">
      <c r="A169" s="3" t="s">
        <v>50</v>
      </c>
      <c r="B169" s="3" t="s">
        <v>131</v>
      </c>
      <c r="C169" s="43" t="s">
        <v>132</v>
      </c>
      <c r="D169" s="43" t="s">
        <v>133</v>
      </c>
      <c r="E169" s="3" t="s">
        <v>104</v>
      </c>
      <c r="F169" s="3"/>
      <c r="G169" s="3" t="s">
        <v>80</v>
      </c>
      <c r="H169" s="4" t="s">
        <v>81</v>
      </c>
      <c r="I169" s="5" t="n">
        <v>29000.0</v>
      </c>
      <c r="J169" s="6" t="s">
        <v>86</v>
      </c>
      <c r="K169" s="7" t="s">
        <v>582</v>
      </c>
      <c r="L169" s="6" t="s">
        <v>86</v>
      </c>
      <c r="M169" s="7" t="s">
        <v>582</v>
      </c>
      <c r="N169" s="6"/>
      <c r="O169" s="7"/>
      <c r="P169" s="6" t="s">
        <v>86</v>
      </c>
      <c r="Q169" s="7" t="s">
        <v>582</v>
      </c>
      <c r="R169" s="6"/>
      <c r="S169" s="7"/>
      <c r="T169" s="6" t="s">
        <v>86</v>
      </c>
      <c r="U169" s="7" t="s">
        <v>582</v>
      </c>
      <c r="V169" s="8" t="n">
        <f>175</f>
        <v>175.0</v>
      </c>
      <c r="W169" s="9" t="n">
        <f>10</f>
        <v>10.0</v>
      </c>
      <c r="X169" s="9"/>
      <c r="Y169" s="9" t="n">
        <f>1750</f>
        <v>1750.0</v>
      </c>
      <c r="Z169" s="9"/>
      <c r="AA169" s="9" t="str">
        <f>"－"</f>
        <v>－</v>
      </c>
      <c r="AB169" s="6" t="s">
        <v>58</v>
      </c>
      <c r="AC169" s="10" t="n">
        <f>10</f>
        <v>10.0</v>
      </c>
      <c r="AD169" s="9" t="n">
        <f>1</f>
        <v>1.0</v>
      </c>
    </row>
    <row r="170">
      <c r="A170" s="3" t="s">
        <v>50</v>
      </c>
      <c r="B170" s="3" t="s">
        <v>131</v>
      </c>
      <c r="C170" s="43" t="s">
        <v>132</v>
      </c>
      <c r="D170" s="43" t="s">
        <v>133</v>
      </c>
      <c r="E170" s="3" t="s">
        <v>104</v>
      </c>
      <c r="F170" s="3"/>
      <c r="G170" s="3" t="s">
        <v>84</v>
      </c>
      <c r="H170" s="4" t="s">
        <v>85</v>
      </c>
      <c r="I170" s="5" t="n">
        <v>28500.0</v>
      </c>
      <c r="J170" s="6" t="s">
        <v>123</v>
      </c>
      <c r="K170" s="7" t="s">
        <v>583</v>
      </c>
      <c r="L170" s="6" t="s">
        <v>90</v>
      </c>
      <c r="M170" s="7" t="s">
        <v>393</v>
      </c>
      <c r="N170" s="6"/>
      <c r="O170" s="7"/>
      <c r="P170" s="6" t="s">
        <v>357</v>
      </c>
      <c r="Q170" s="7" t="s">
        <v>561</v>
      </c>
      <c r="R170" s="6"/>
      <c r="S170" s="7"/>
      <c r="T170" s="6" t="s">
        <v>357</v>
      </c>
      <c r="U170" s="7" t="s">
        <v>561</v>
      </c>
      <c r="V170" s="8" t="n">
        <f>508.17</f>
        <v>508.17</v>
      </c>
      <c r="W170" s="9" t="n">
        <f>36350</f>
        <v>36350.0</v>
      </c>
      <c r="X170" s="9"/>
      <c r="Y170" s="9" t="n">
        <f>16794500</f>
        <v>1.67945E7</v>
      </c>
      <c r="Z170" s="9"/>
      <c r="AA170" s="9" t="n">
        <f>350</f>
        <v>350.0</v>
      </c>
      <c r="AB170" s="6" t="s">
        <v>58</v>
      </c>
      <c r="AC170" s="10" t="str">
        <f>"－"</f>
        <v>－</v>
      </c>
      <c r="AD170" s="9" t="n">
        <f>12</f>
        <v>12.0</v>
      </c>
    </row>
    <row r="171">
      <c r="A171" s="3" t="s">
        <v>50</v>
      </c>
      <c r="B171" s="3" t="s">
        <v>131</v>
      </c>
      <c r="C171" s="43" t="s">
        <v>132</v>
      </c>
      <c r="D171" s="43" t="s">
        <v>133</v>
      </c>
      <c r="E171" s="3" t="s">
        <v>104</v>
      </c>
      <c r="F171" s="3"/>
      <c r="G171" s="3" t="s">
        <v>84</v>
      </c>
      <c r="H171" s="4" t="s">
        <v>85</v>
      </c>
      <c r="I171" s="5" t="n">
        <v>29000.0</v>
      </c>
      <c r="J171" s="6" t="s">
        <v>584</v>
      </c>
      <c r="K171" s="7" t="s">
        <v>585</v>
      </c>
      <c r="L171" s="6" t="s">
        <v>367</v>
      </c>
      <c r="M171" s="7" t="s">
        <v>586</v>
      </c>
      <c r="N171" s="6"/>
      <c r="O171" s="7"/>
      <c r="P171" s="6" t="s">
        <v>584</v>
      </c>
      <c r="Q171" s="7" t="s">
        <v>585</v>
      </c>
      <c r="R171" s="6"/>
      <c r="S171" s="7"/>
      <c r="T171" s="6" t="s">
        <v>361</v>
      </c>
      <c r="U171" s="7" t="s">
        <v>587</v>
      </c>
      <c r="V171" s="8" t="n">
        <f>402.4</f>
        <v>402.4</v>
      </c>
      <c r="W171" s="9" t="n">
        <f>14050</f>
        <v>14050.0</v>
      </c>
      <c r="X171" s="9"/>
      <c r="Y171" s="9" t="n">
        <f>6521050</f>
        <v>6521050.0</v>
      </c>
      <c r="Z171" s="9"/>
      <c r="AA171" s="9" t="str">
        <f>"－"</f>
        <v>－</v>
      </c>
      <c r="AB171" s="6" t="s">
        <v>58</v>
      </c>
      <c r="AC171" s="10" t="n">
        <f>50</f>
        <v>50.0</v>
      </c>
      <c r="AD171" s="9" t="n">
        <f>5</f>
        <v>5.0</v>
      </c>
    </row>
    <row r="172">
      <c r="A172" s="3" t="s">
        <v>50</v>
      </c>
      <c r="B172" s="3" t="s">
        <v>131</v>
      </c>
      <c r="C172" s="43" t="s">
        <v>132</v>
      </c>
      <c r="D172" s="43" t="s">
        <v>133</v>
      </c>
      <c r="E172" s="3" t="s">
        <v>104</v>
      </c>
      <c r="F172" s="3"/>
      <c r="G172" s="3" t="s">
        <v>84</v>
      </c>
      <c r="H172" s="4" t="s">
        <v>85</v>
      </c>
      <c r="I172" s="5" t="n">
        <v>29500.0</v>
      </c>
      <c r="J172" s="6" t="s">
        <v>92</v>
      </c>
      <c r="K172" s="7" t="s">
        <v>588</v>
      </c>
      <c r="L172" s="6" t="s">
        <v>374</v>
      </c>
      <c r="M172" s="7" t="s">
        <v>455</v>
      </c>
      <c r="N172" s="6"/>
      <c r="O172" s="7"/>
      <c r="P172" s="6" t="s">
        <v>376</v>
      </c>
      <c r="Q172" s="7" t="s">
        <v>148</v>
      </c>
      <c r="R172" s="6"/>
      <c r="S172" s="7"/>
      <c r="T172" s="6" t="s">
        <v>376</v>
      </c>
      <c r="U172" s="7" t="s">
        <v>148</v>
      </c>
      <c r="V172" s="8" t="n">
        <f>283.29</f>
        <v>283.29</v>
      </c>
      <c r="W172" s="9" t="n">
        <f>18410</f>
        <v>18410.0</v>
      </c>
      <c r="X172" s="9"/>
      <c r="Y172" s="9" t="n">
        <f>5731350</f>
        <v>5731350.0</v>
      </c>
      <c r="Z172" s="9"/>
      <c r="AA172" s="9" t="str">
        <f>"－"</f>
        <v>－</v>
      </c>
      <c r="AB172" s="6" t="s">
        <v>58</v>
      </c>
      <c r="AC172" s="10" t="n">
        <f>300</f>
        <v>300.0</v>
      </c>
      <c r="AD172" s="9" t="n">
        <f>7</f>
        <v>7.0</v>
      </c>
    </row>
    <row r="173">
      <c r="A173" s="3" t="s">
        <v>50</v>
      </c>
      <c r="B173" s="3" t="s">
        <v>131</v>
      </c>
      <c r="C173" s="43" t="s">
        <v>132</v>
      </c>
      <c r="D173" s="43" t="s">
        <v>133</v>
      </c>
      <c r="E173" s="3" t="s">
        <v>104</v>
      </c>
      <c r="F173" s="3"/>
      <c r="G173" s="3" t="s">
        <v>84</v>
      </c>
      <c r="H173" s="4" t="s">
        <v>85</v>
      </c>
      <c r="I173" s="5" t="n">
        <v>30000.0</v>
      </c>
      <c r="J173" s="6" t="s">
        <v>365</v>
      </c>
      <c r="K173" s="7" t="s">
        <v>581</v>
      </c>
      <c r="L173" s="6" t="s">
        <v>370</v>
      </c>
      <c r="M173" s="7" t="s">
        <v>589</v>
      </c>
      <c r="N173" s="6"/>
      <c r="O173" s="7"/>
      <c r="P173" s="6" t="s">
        <v>590</v>
      </c>
      <c r="Q173" s="7" t="s">
        <v>591</v>
      </c>
      <c r="R173" s="6"/>
      <c r="S173" s="7"/>
      <c r="T173" s="6" t="s">
        <v>590</v>
      </c>
      <c r="U173" s="7" t="s">
        <v>591</v>
      </c>
      <c r="V173" s="8" t="n">
        <f>179.8</f>
        <v>179.8</v>
      </c>
      <c r="W173" s="9" t="n">
        <f>8100</f>
        <v>8100.0</v>
      </c>
      <c r="X173" s="9"/>
      <c r="Y173" s="9" t="n">
        <f>1570000</f>
        <v>1570000.0</v>
      </c>
      <c r="Z173" s="9"/>
      <c r="AA173" s="9" t="str">
        <f>"－"</f>
        <v>－</v>
      </c>
      <c r="AB173" s="6" t="s">
        <v>58</v>
      </c>
      <c r="AC173" s="10" t="n">
        <f>100</f>
        <v>100.0</v>
      </c>
      <c r="AD173" s="9" t="n">
        <f>5</f>
        <v>5.0</v>
      </c>
    </row>
    <row r="174">
      <c r="A174" s="3" t="s">
        <v>50</v>
      </c>
      <c r="B174" s="3" t="s">
        <v>131</v>
      </c>
      <c r="C174" s="43" t="s">
        <v>132</v>
      </c>
      <c r="D174" s="43" t="s">
        <v>133</v>
      </c>
      <c r="E174" s="3" t="s">
        <v>104</v>
      </c>
      <c r="F174" s="3"/>
      <c r="G174" s="3" t="s">
        <v>88</v>
      </c>
      <c r="H174" s="4" t="s">
        <v>89</v>
      </c>
      <c r="I174" s="5" t="n">
        <v>27500.0</v>
      </c>
      <c r="J174" s="6" t="s">
        <v>401</v>
      </c>
      <c r="K174" s="7" t="s">
        <v>389</v>
      </c>
      <c r="L174" s="6" t="s">
        <v>401</v>
      </c>
      <c r="M174" s="7" t="s">
        <v>389</v>
      </c>
      <c r="N174" s="6"/>
      <c r="O174" s="7"/>
      <c r="P174" s="6" t="s">
        <v>592</v>
      </c>
      <c r="Q174" s="7" t="s">
        <v>593</v>
      </c>
      <c r="R174" s="6"/>
      <c r="S174" s="7"/>
      <c r="T174" s="6" t="s">
        <v>592</v>
      </c>
      <c r="U174" s="7" t="s">
        <v>593</v>
      </c>
      <c r="V174" s="8" t="n">
        <f>314</f>
        <v>314.0</v>
      </c>
      <c r="W174" s="9" t="n">
        <f>10000</f>
        <v>10000.0</v>
      </c>
      <c r="X174" s="9"/>
      <c r="Y174" s="9" t="n">
        <f>3140000</f>
        <v>3140000.0</v>
      </c>
      <c r="Z174" s="9"/>
      <c r="AA174" s="9" t="str">
        <f>"－"</f>
        <v>－</v>
      </c>
      <c r="AB174" s="6" t="s">
        <v>58</v>
      </c>
      <c r="AC174" s="10" t="str">
        <f>"－"</f>
        <v>－</v>
      </c>
      <c r="AD174" s="9" t="n">
        <f>2</f>
        <v>2.0</v>
      </c>
    </row>
    <row r="175">
      <c r="A175" s="3" t="s">
        <v>50</v>
      </c>
      <c r="B175" s="3" t="s">
        <v>131</v>
      </c>
      <c r="C175" s="43" t="s">
        <v>132</v>
      </c>
      <c r="D175" s="43" t="s">
        <v>133</v>
      </c>
      <c r="E175" s="3" t="s">
        <v>104</v>
      </c>
      <c r="F175" s="3"/>
      <c r="G175" s="3" t="s">
        <v>88</v>
      </c>
      <c r="H175" s="4" t="s">
        <v>89</v>
      </c>
      <c r="I175" s="5" t="n">
        <v>28000.0</v>
      </c>
      <c r="J175" s="6" t="s">
        <v>594</v>
      </c>
      <c r="K175" s="7" t="s">
        <v>595</v>
      </c>
      <c r="L175" s="6" t="s">
        <v>98</v>
      </c>
      <c r="M175" s="7" t="s">
        <v>596</v>
      </c>
      <c r="N175" s="6"/>
      <c r="O175" s="7"/>
      <c r="P175" s="6" t="s">
        <v>388</v>
      </c>
      <c r="Q175" s="7" t="s">
        <v>597</v>
      </c>
      <c r="R175" s="6"/>
      <c r="S175" s="7"/>
      <c r="T175" s="6" t="s">
        <v>388</v>
      </c>
      <c r="U175" s="7" t="s">
        <v>597</v>
      </c>
      <c r="V175" s="8" t="n">
        <f>462.25</f>
        <v>462.25</v>
      </c>
      <c r="W175" s="9" t="n">
        <f>26000</f>
        <v>26000.0</v>
      </c>
      <c r="X175" s="9"/>
      <c r="Y175" s="9" t="n">
        <f>10042000</f>
        <v>1.0042E7</v>
      </c>
      <c r="Z175" s="9"/>
      <c r="AA175" s="9" t="str">
        <f>"－"</f>
        <v>－</v>
      </c>
      <c r="AB175" s="6" t="s">
        <v>58</v>
      </c>
      <c r="AC175" s="10" t="str">
        <f>"－"</f>
        <v>－</v>
      </c>
      <c r="AD175" s="9" t="n">
        <f>8</f>
        <v>8.0</v>
      </c>
    </row>
    <row r="176">
      <c r="A176" s="3" t="s">
        <v>50</v>
      </c>
      <c r="B176" s="3" t="s">
        <v>131</v>
      </c>
      <c r="C176" s="43" t="s">
        <v>132</v>
      </c>
      <c r="D176" s="43" t="s">
        <v>133</v>
      </c>
      <c r="E176" s="3" t="s">
        <v>104</v>
      </c>
      <c r="F176" s="3"/>
      <c r="G176" s="3" t="s">
        <v>88</v>
      </c>
      <c r="H176" s="4" t="s">
        <v>89</v>
      </c>
      <c r="I176" s="5" t="n">
        <v>28500.0</v>
      </c>
      <c r="J176" s="6" t="s">
        <v>392</v>
      </c>
      <c r="K176" s="7" t="s">
        <v>598</v>
      </c>
      <c r="L176" s="6" t="s">
        <v>394</v>
      </c>
      <c r="M176" s="7" t="s">
        <v>599</v>
      </c>
      <c r="N176" s="6"/>
      <c r="O176" s="7"/>
      <c r="P176" s="6" t="s">
        <v>600</v>
      </c>
      <c r="Q176" s="7" t="s">
        <v>601</v>
      </c>
      <c r="R176" s="6"/>
      <c r="S176" s="7"/>
      <c r="T176" s="6" t="s">
        <v>602</v>
      </c>
      <c r="U176" s="7" t="s">
        <v>603</v>
      </c>
      <c r="V176" s="8" t="n">
        <f>478.6</f>
        <v>478.6</v>
      </c>
      <c r="W176" s="9" t="n">
        <f>46100</f>
        <v>46100.0</v>
      </c>
      <c r="X176" s="9"/>
      <c r="Y176" s="9" t="n">
        <f>20135800</f>
        <v>2.01358E7</v>
      </c>
      <c r="Z176" s="9"/>
      <c r="AA176" s="9" t="str">
        <f>"－"</f>
        <v>－</v>
      </c>
      <c r="AB176" s="6" t="s">
        <v>58</v>
      </c>
      <c r="AC176" s="10" t="n">
        <f>100</f>
        <v>100.0</v>
      </c>
      <c r="AD176" s="9" t="n">
        <f>10</f>
        <v>10.0</v>
      </c>
    </row>
    <row r="177">
      <c r="A177" s="3" t="s">
        <v>50</v>
      </c>
      <c r="B177" s="3" t="s">
        <v>131</v>
      </c>
      <c r="C177" s="43" t="s">
        <v>132</v>
      </c>
      <c r="D177" s="43" t="s">
        <v>133</v>
      </c>
      <c r="E177" s="3" t="s">
        <v>104</v>
      </c>
      <c r="F177" s="3"/>
      <c r="G177" s="3" t="s">
        <v>88</v>
      </c>
      <c r="H177" s="4" t="s">
        <v>89</v>
      </c>
      <c r="I177" s="5" t="n">
        <v>29000.0</v>
      </c>
      <c r="J177" s="6" t="s">
        <v>376</v>
      </c>
      <c r="K177" s="7" t="s">
        <v>604</v>
      </c>
      <c r="L177" s="6" t="s">
        <v>361</v>
      </c>
      <c r="M177" s="7" t="s">
        <v>605</v>
      </c>
      <c r="N177" s="6"/>
      <c r="O177" s="7"/>
      <c r="P177" s="6" t="s">
        <v>606</v>
      </c>
      <c r="Q177" s="7" t="s">
        <v>607</v>
      </c>
      <c r="R177" s="6"/>
      <c r="S177" s="7"/>
      <c r="T177" s="6" t="s">
        <v>608</v>
      </c>
      <c r="U177" s="7" t="s">
        <v>609</v>
      </c>
      <c r="V177" s="8" t="n">
        <f>398.55</f>
        <v>398.55</v>
      </c>
      <c r="W177" s="9" t="n">
        <f>41000</f>
        <v>41000.0</v>
      </c>
      <c r="X177" s="9"/>
      <c r="Y177" s="9" t="n">
        <f>16896000</f>
        <v>1.6896E7</v>
      </c>
      <c r="Z177" s="9"/>
      <c r="AA177" s="9" t="str">
        <f>"－"</f>
        <v>－</v>
      </c>
      <c r="AB177" s="6" t="s">
        <v>58</v>
      </c>
      <c r="AC177" s="10" t="str">
        <f>"－"</f>
        <v>－</v>
      </c>
      <c r="AD177" s="9" t="n">
        <f>11</f>
        <v>11.0</v>
      </c>
    </row>
    <row r="178">
      <c r="A178" s="3" t="s">
        <v>50</v>
      </c>
      <c r="B178" s="3" t="s">
        <v>131</v>
      </c>
      <c r="C178" s="43" t="s">
        <v>132</v>
      </c>
      <c r="D178" s="43" t="s">
        <v>133</v>
      </c>
      <c r="E178" s="3" t="s">
        <v>104</v>
      </c>
      <c r="F178" s="3"/>
      <c r="G178" s="3" t="s">
        <v>88</v>
      </c>
      <c r="H178" s="4" t="s">
        <v>89</v>
      </c>
      <c r="I178" s="5" t="n">
        <v>29500.0</v>
      </c>
      <c r="J178" s="6" t="s">
        <v>610</v>
      </c>
      <c r="K178" s="7" t="s">
        <v>611</v>
      </c>
      <c r="L178" s="6" t="s">
        <v>610</v>
      </c>
      <c r="M178" s="7" t="s">
        <v>611</v>
      </c>
      <c r="N178" s="6"/>
      <c r="O178" s="7"/>
      <c r="P178" s="6" t="s">
        <v>612</v>
      </c>
      <c r="Q178" s="7" t="s">
        <v>597</v>
      </c>
      <c r="R178" s="6"/>
      <c r="S178" s="7"/>
      <c r="T178" s="6" t="s">
        <v>612</v>
      </c>
      <c r="U178" s="7" t="s">
        <v>597</v>
      </c>
      <c r="V178" s="8" t="n">
        <f>350</f>
        <v>350.0</v>
      </c>
      <c r="W178" s="9" t="n">
        <f>34031</f>
        <v>34031.0</v>
      </c>
      <c r="X178" s="9"/>
      <c r="Y178" s="9" t="n">
        <f>10914967</f>
        <v>1.0914967E7</v>
      </c>
      <c r="Z178" s="9"/>
      <c r="AA178" s="9" t="str">
        <f>"－"</f>
        <v>－</v>
      </c>
      <c r="AB178" s="6" t="s">
        <v>58</v>
      </c>
      <c r="AC178" s="10" t="n">
        <f>31</f>
        <v>31.0</v>
      </c>
      <c r="AD178" s="9" t="n">
        <f>12</f>
        <v>12.0</v>
      </c>
    </row>
    <row r="179">
      <c r="A179" s="3" t="s">
        <v>50</v>
      </c>
      <c r="B179" s="3" t="s">
        <v>131</v>
      </c>
      <c r="C179" s="43" t="s">
        <v>132</v>
      </c>
      <c r="D179" s="43" t="s">
        <v>133</v>
      </c>
      <c r="E179" s="3" t="s">
        <v>104</v>
      </c>
      <c r="F179" s="3"/>
      <c r="G179" s="3" t="s">
        <v>88</v>
      </c>
      <c r="H179" s="4" t="s">
        <v>613</v>
      </c>
      <c r="I179" s="5" t="n">
        <v>30000.0</v>
      </c>
      <c r="J179" s="6" t="s">
        <v>374</v>
      </c>
      <c r="K179" s="7" t="s">
        <v>614</v>
      </c>
      <c r="L179" s="6" t="s">
        <v>374</v>
      </c>
      <c r="M179" s="7" t="s">
        <v>614</v>
      </c>
      <c r="N179" s="6"/>
      <c r="O179" s="7"/>
      <c r="P179" s="6" t="s">
        <v>396</v>
      </c>
      <c r="Q179" s="7" t="s">
        <v>471</v>
      </c>
      <c r="R179" s="6"/>
      <c r="S179" s="7"/>
      <c r="T179" s="6" t="s">
        <v>394</v>
      </c>
      <c r="U179" s="7" t="s">
        <v>615</v>
      </c>
      <c r="V179" s="8" t="n">
        <f>362.67</f>
        <v>362.67</v>
      </c>
      <c r="W179" s="9" t="n">
        <f>210</f>
        <v>210.0</v>
      </c>
      <c r="X179" s="9"/>
      <c r="Y179" s="9" t="n">
        <f>87290</f>
        <v>87290.0</v>
      </c>
      <c r="Z179" s="9"/>
      <c r="AA179" s="9" t="str">
        <f>"－"</f>
        <v>－</v>
      </c>
      <c r="AB179" s="6" t="s">
        <v>58</v>
      </c>
      <c r="AC179" s="10" t="n">
        <f>210</f>
        <v>210.0</v>
      </c>
      <c r="AD179" s="9" t="n">
        <f>3</f>
        <v>3.0</v>
      </c>
    </row>
    <row r="180">
      <c r="A180" s="3" t="s">
        <v>50</v>
      </c>
      <c r="B180" s="3" t="s">
        <v>131</v>
      </c>
      <c r="C180" s="43" t="s">
        <v>132</v>
      </c>
      <c r="D180" s="43" t="s">
        <v>133</v>
      </c>
      <c r="E180" s="3" t="s">
        <v>104</v>
      </c>
      <c r="F180" s="3"/>
      <c r="G180" s="3" t="s">
        <v>96</v>
      </c>
      <c r="H180" s="4" t="s">
        <v>398</v>
      </c>
      <c r="I180" s="5" t="n">
        <v>27000.0</v>
      </c>
      <c r="J180" s="6" t="s">
        <v>399</v>
      </c>
      <c r="K180" s="7" t="s">
        <v>616</v>
      </c>
      <c r="L180" s="6" t="s">
        <v>399</v>
      </c>
      <c r="M180" s="7" t="s">
        <v>616</v>
      </c>
      <c r="N180" s="6"/>
      <c r="O180" s="7"/>
      <c r="P180" s="6" t="s">
        <v>399</v>
      </c>
      <c r="Q180" s="7" t="s">
        <v>616</v>
      </c>
      <c r="R180" s="6"/>
      <c r="S180" s="7"/>
      <c r="T180" s="6" t="s">
        <v>399</v>
      </c>
      <c r="U180" s="7" t="s">
        <v>616</v>
      </c>
      <c r="V180" s="8" t="n">
        <f>1366</f>
        <v>1366.0</v>
      </c>
      <c r="W180" s="9" t="n">
        <f>148</f>
        <v>148.0</v>
      </c>
      <c r="X180" s="9"/>
      <c r="Y180" s="9" t="n">
        <f>202168</f>
        <v>202168.0</v>
      </c>
      <c r="Z180" s="9"/>
      <c r="AA180" s="9" t="n">
        <f>148</f>
        <v>148.0</v>
      </c>
      <c r="AB180" s="6" t="s">
        <v>58</v>
      </c>
      <c r="AC180" s="10" t="str">
        <f>"－"</f>
        <v>－</v>
      </c>
      <c r="AD180" s="9" t="n">
        <f>1</f>
        <v>1.0</v>
      </c>
    </row>
    <row r="181">
      <c r="A181" s="3" t="s">
        <v>50</v>
      </c>
      <c r="B181" s="3" t="s">
        <v>131</v>
      </c>
      <c r="C181" s="43" t="s">
        <v>132</v>
      </c>
      <c r="D181" s="43" t="s">
        <v>133</v>
      </c>
      <c r="E181" s="3" t="s">
        <v>104</v>
      </c>
      <c r="F181" s="3"/>
      <c r="G181" s="3" t="s">
        <v>96</v>
      </c>
      <c r="H181" s="4" t="s">
        <v>97</v>
      </c>
      <c r="I181" s="5" t="n">
        <v>27500.0</v>
      </c>
      <c r="J181" s="6" t="s">
        <v>401</v>
      </c>
      <c r="K181" s="7" t="s">
        <v>617</v>
      </c>
      <c r="L181" s="6" t="s">
        <v>413</v>
      </c>
      <c r="M181" s="7" t="s">
        <v>618</v>
      </c>
      <c r="N181" s="6"/>
      <c r="O181" s="7"/>
      <c r="P181" s="6" t="s">
        <v>383</v>
      </c>
      <c r="Q181" s="7" t="s">
        <v>619</v>
      </c>
      <c r="R181" s="6"/>
      <c r="S181" s="7"/>
      <c r="T181" s="6" t="s">
        <v>413</v>
      </c>
      <c r="U181" s="7" t="s">
        <v>618</v>
      </c>
      <c r="V181" s="8" t="n">
        <f>800.33</f>
        <v>800.33</v>
      </c>
      <c r="W181" s="9" t="n">
        <f>30160</f>
        <v>30160.0</v>
      </c>
      <c r="X181" s="9"/>
      <c r="Y181" s="9" t="n">
        <f>22912960</f>
        <v>2.291296E7</v>
      </c>
      <c r="Z181" s="9"/>
      <c r="AA181" s="9" t="n">
        <f>160</f>
        <v>160.0</v>
      </c>
      <c r="AB181" s="6" t="s">
        <v>58</v>
      </c>
      <c r="AC181" s="10" t="str">
        <f>"－"</f>
        <v>－</v>
      </c>
      <c r="AD181" s="9" t="n">
        <f>9</f>
        <v>9.0</v>
      </c>
    </row>
    <row r="182">
      <c r="A182" s="3" t="s">
        <v>50</v>
      </c>
      <c r="B182" s="3" t="s">
        <v>131</v>
      </c>
      <c r="C182" s="43" t="s">
        <v>132</v>
      </c>
      <c r="D182" s="43" t="s">
        <v>133</v>
      </c>
      <c r="E182" s="3" t="s">
        <v>104</v>
      </c>
      <c r="F182" s="3"/>
      <c r="G182" s="3" t="s">
        <v>96</v>
      </c>
      <c r="H182" s="4" t="s">
        <v>97</v>
      </c>
      <c r="I182" s="5" t="n">
        <v>28000.0</v>
      </c>
      <c r="J182" s="6" t="s">
        <v>602</v>
      </c>
      <c r="K182" s="7" t="s">
        <v>489</v>
      </c>
      <c r="L182" s="6" t="s">
        <v>620</v>
      </c>
      <c r="M182" s="7" t="s">
        <v>621</v>
      </c>
      <c r="N182" s="6"/>
      <c r="O182" s="7"/>
      <c r="P182" s="6" t="s">
        <v>408</v>
      </c>
      <c r="Q182" s="7" t="s">
        <v>622</v>
      </c>
      <c r="R182" s="6"/>
      <c r="S182" s="7"/>
      <c r="T182" s="6" t="s">
        <v>408</v>
      </c>
      <c r="U182" s="7" t="s">
        <v>622</v>
      </c>
      <c r="V182" s="8" t="n">
        <f>544.61</f>
        <v>544.61</v>
      </c>
      <c r="W182" s="9" t="n">
        <f>54834</f>
        <v>54834.0</v>
      </c>
      <c r="X182" s="9"/>
      <c r="Y182" s="9" t="n">
        <f>27778922</f>
        <v>2.7778922E7</v>
      </c>
      <c r="Z182" s="9"/>
      <c r="AA182" s="9" t="n">
        <f>1334</f>
        <v>1334.0</v>
      </c>
      <c r="AB182" s="6" t="s">
        <v>58</v>
      </c>
      <c r="AC182" s="10" t="str">
        <f>"－"</f>
        <v>－</v>
      </c>
      <c r="AD182" s="9" t="n">
        <f>18</f>
        <v>18.0</v>
      </c>
    </row>
    <row r="183">
      <c r="A183" s="3" t="s">
        <v>50</v>
      </c>
      <c r="B183" s="3" t="s">
        <v>131</v>
      </c>
      <c r="C183" s="43" t="s">
        <v>132</v>
      </c>
      <c r="D183" s="43" t="s">
        <v>133</v>
      </c>
      <c r="E183" s="3" t="s">
        <v>104</v>
      </c>
      <c r="F183" s="3"/>
      <c r="G183" s="3" t="s">
        <v>96</v>
      </c>
      <c r="H183" s="4" t="s">
        <v>97</v>
      </c>
      <c r="I183" s="5" t="n">
        <v>28500.0</v>
      </c>
      <c r="J183" s="6" t="s">
        <v>602</v>
      </c>
      <c r="K183" s="7" t="s">
        <v>623</v>
      </c>
      <c r="L183" s="6" t="s">
        <v>624</v>
      </c>
      <c r="M183" s="7" t="s">
        <v>146</v>
      </c>
      <c r="N183" s="6"/>
      <c r="O183" s="7"/>
      <c r="P183" s="6" t="s">
        <v>408</v>
      </c>
      <c r="Q183" s="7" t="s">
        <v>71</v>
      </c>
      <c r="R183" s="6"/>
      <c r="S183" s="7"/>
      <c r="T183" s="6" t="s">
        <v>408</v>
      </c>
      <c r="U183" s="7" t="s">
        <v>71</v>
      </c>
      <c r="V183" s="8" t="n">
        <f>300.79</f>
        <v>300.79</v>
      </c>
      <c r="W183" s="9" t="n">
        <f>61312</f>
        <v>61312.0</v>
      </c>
      <c r="X183" s="9"/>
      <c r="Y183" s="9" t="n">
        <f>18449940</f>
        <v>1.844994E7</v>
      </c>
      <c r="Z183" s="9"/>
      <c r="AA183" s="9" t="str">
        <f>"－"</f>
        <v>－</v>
      </c>
      <c r="AB183" s="6" t="s">
        <v>58</v>
      </c>
      <c r="AC183" s="10" t="n">
        <f>1532</f>
        <v>1532.0</v>
      </c>
      <c r="AD183" s="9" t="n">
        <f>19</f>
        <v>19.0</v>
      </c>
    </row>
    <row r="184">
      <c r="A184" s="3" t="s">
        <v>50</v>
      </c>
      <c r="B184" s="3" t="s">
        <v>131</v>
      </c>
      <c r="C184" s="43" t="s">
        <v>132</v>
      </c>
      <c r="D184" s="43" t="s">
        <v>133</v>
      </c>
      <c r="E184" s="3" t="s">
        <v>104</v>
      </c>
      <c r="F184" s="3"/>
      <c r="G184" s="3" t="s">
        <v>96</v>
      </c>
      <c r="H184" s="4" t="s">
        <v>97</v>
      </c>
      <c r="I184" s="5" t="n">
        <v>29000.0</v>
      </c>
      <c r="J184" s="6" t="s">
        <v>625</v>
      </c>
      <c r="K184" s="7" t="s">
        <v>445</v>
      </c>
      <c r="L184" s="6" t="s">
        <v>625</v>
      </c>
      <c r="M184" s="7" t="s">
        <v>445</v>
      </c>
      <c r="N184" s="6"/>
      <c r="O184" s="7"/>
      <c r="P184" s="6" t="s">
        <v>620</v>
      </c>
      <c r="Q184" s="7" t="s">
        <v>626</v>
      </c>
      <c r="R184" s="6"/>
      <c r="S184" s="7"/>
      <c r="T184" s="6" t="s">
        <v>620</v>
      </c>
      <c r="U184" s="7" t="s">
        <v>626</v>
      </c>
      <c r="V184" s="8" t="n">
        <f>192.22</f>
        <v>192.22</v>
      </c>
      <c r="W184" s="9" t="n">
        <f>18393</f>
        <v>18393.0</v>
      </c>
      <c r="X184" s="9"/>
      <c r="Y184" s="9" t="n">
        <f>3807046</f>
        <v>3807046.0</v>
      </c>
      <c r="Z184" s="9"/>
      <c r="AA184" s="9" t="str">
        <f>"－"</f>
        <v>－</v>
      </c>
      <c r="AB184" s="6" t="s">
        <v>58</v>
      </c>
      <c r="AC184" s="10" t="n">
        <f>159</f>
        <v>159.0</v>
      </c>
      <c r="AD184" s="9" t="n">
        <f>9</f>
        <v>9.0</v>
      </c>
    </row>
    <row r="185">
      <c r="A185" s="3" t="s">
        <v>50</v>
      </c>
      <c r="B185" s="3" t="s">
        <v>131</v>
      </c>
      <c r="C185" s="43" t="s">
        <v>132</v>
      </c>
      <c r="D185" s="43" t="s">
        <v>133</v>
      </c>
      <c r="E185" s="3" t="s">
        <v>104</v>
      </c>
      <c r="F185" s="3"/>
      <c r="G185" s="3" t="s">
        <v>127</v>
      </c>
      <c r="H185" s="4" t="s">
        <v>128</v>
      </c>
      <c r="I185" s="5" t="n">
        <v>28000.0</v>
      </c>
      <c r="J185" s="6" t="s">
        <v>403</v>
      </c>
      <c r="K185" s="7" t="s">
        <v>627</v>
      </c>
      <c r="L185" s="6" t="s">
        <v>628</v>
      </c>
      <c r="M185" s="7" t="s">
        <v>629</v>
      </c>
      <c r="N185" s="6"/>
      <c r="O185" s="7"/>
      <c r="P185" s="6" t="s">
        <v>403</v>
      </c>
      <c r="Q185" s="7" t="s">
        <v>627</v>
      </c>
      <c r="R185" s="6"/>
      <c r="S185" s="7"/>
      <c r="T185" s="6" t="s">
        <v>628</v>
      </c>
      <c r="U185" s="7" t="s">
        <v>629</v>
      </c>
      <c r="V185" s="8" t="n">
        <f>975.75</f>
        <v>975.75</v>
      </c>
      <c r="W185" s="9" t="n">
        <f>8000</f>
        <v>8000.0</v>
      </c>
      <c r="X185" s="9"/>
      <c r="Y185" s="9" t="n">
        <f>7207000</f>
        <v>7207000.0</v>
      </c>
      <c r="Z185" s="9"/>
      <c r="AA185" s="9" t="str">
        <f>"－"</f>
        <v>－</v>
      </c>
      <c r="AB185" s="6" t="s">
        <v>58</v>
      </c>
      <c r="AC185" s="10" t="str">
        <f>"－"</f>
        <v>－</v>
      </c>
      <c r="AD185" s="9" t="n">
        <f>4</f>
        <v>4.0</v>
      </c>
    </row>
    <row r="186">
      <c r="A186" s="3" t="s">
        <v>50</v>
      </c>
      <c r="B186" s="3" t="s">
        <v>131</v>
      </c>
      <c r="C186" s="43" t="s">
        <v>132</v>
      </c>
      <c r="D186" s="43" t="s">
        <v>133</v>
      </c>
      <c r="E186" s="3" t="s">
        <v>104</v>
      </c>
      <c r="F186" s="3"/>
      <c r="G186" s="3" t="s">
        <v>127</v>
      </c>
      <c r="H186" s="4" t="s">
        <v>128</v>
      </c>
      <c r="I186" s="5" t="n">
        <v>28500.0</v>
      </c>
      <c r="J186" s="6" t="s">
        <v>411</v>
      </c>
      <c r="K186" s="7" t="s">
        <v>630</v>
      </c>
      <c r="L186" s="6" t="s">
        <v>631</v>
      </c>
      <c r="M186" s="7" t="s">
        <v>632</v>
      </c>
      <c r="N186" s="6"/>
      <c r="O186" s="7"/>
      <c r="P186" s="6" t="s">
        <v>633</v>
      </c>
      <c r="Q186" s="7" t="s">
        <v>71</v>
      </c>
      <c r="R186" s="6"/>
      <c r="S186" s="7"/>
      <c r="T186" s="6" t="s">
        <v>633</v>
      </c>
      <c r="U186" s="7" t="s">
        <v>71</v>
      </c>
      <c r="V186" s="8" t="n">
        <f>570.17</f>
        <v>570.17</v>
      </c>
      <c r="W186" s="9" t="n">
        <f>55036</f>
        <v>55036.0</v>
      </c>
      <c r="X186" s="9"/>
      <c r="Y186" s="9" t="n">
        <f>28410930</f>
        <v>2.841093E7</v>
      </c>
      <c r="Z186" s="9"/>
      <c r="AA186" s="9" t="str">
        <f>"－"</f>
        <v>－</v>
      </c>
      <c r="AB186" s="6" t="s">
        <v>58</v>
      </c>
      <c r="AC186" s="10" t="n">
        <f>4036</f>
        <v>4036.0</v>
      </c>
      <c r="AD186" s="9" t="n">
        <f>18</f>
        <v>18.0</v>
      </c>
    </row>
    <row r="187">
      <c r="A187" s="3" t="s">
        <v>50</v>
      </c>
      <c r="B187" s="3" t="s">
        <v>131</v>
      </c>
      <c r="C187" s="43" t="s">
        <v>132</v>
      </c>
      <c r="D187" s="43" t="s">
        <v>133</v>
      </c>
      <c r="E187" s="3" t="s">
        <v>104</v>
      </c>
      <c r="F187" s="3"/>
      <c r="G187" s="3" t="s">
        <v>127</v>
      </c>
      <c r="H187" s="4" t="s">
        <v>128</v>
      </c>
      <c r="I187" s="5" t="n">
        <v>29000.0</v>
      </c>
      <c r="J187" s="6" t="s">
        <v>129</v>
      </c>
      <c r="K187" s="7" t="s">
        <v>634</v>
      </c>
      <c r="L187" s="6" t="s">
        <v>429</v>
      </c>
      <c r="M187" s="7" t="s">
        <v>635</v>
      </c>
      <c r="N187" s="6"/>
      <c r="O187" s="7"/>
      <c r="P187" s="6" t="s">
        <v>420</v>
      </c>
      <c r="Q187" s="7" t="s">
        <v>636</v>
      </c>
      <c r="R187" s="6"/>
      <c r="S187" s="7"/>
      <c r="T187" s="6" t="s">
        <v>420</v>
      </c>
      <c r="U187" s="7" t="s">
        <v>636</v>
      </c>
      <c r="V187" s="8" t="n">
        <f>389.76</f>
        <v>389.76</v>
      </c>
      <c r="W187" s="9" t="n">
        <f>47883</f>
        <v>47883.0</v>
      </c>
      <c r="X187" s="9"/>
      <c r="Y187" s="9" t="n">
        <f>15501440</f>
        <v>1.550144E7</v>
      </c>
      <c r="Z187" s="9"/>
      <c r="AA187" s="9" t="str">
        <f>"－"</f>
        <v>－</v>
      </c>
      <c r="AB187" s="6" t="s">
        <v>58</v>
      </c>
      <c r="AC187" s="10" t="n">
        <f>1043</f>
        <v>1043.0</v>
      </c>
      <c r="AD187" s="9" t="n">
        <f>17</f>
        <v>17.0</v>
      </c>
    </row>
    <row r="188">
      <c r="A188" s="3" t="s">
        <v>50</v>
      </c>
      <c r="B188" s="3" t="s">
        <v>131</v>
      </c>
      <c r="C188" s="43" t="s">
        <v>132</v>
      </c>
      <c r="D188" s="43" t="s">
        <v>133</v>
      </c>
      <c r="E188" s="3" t="s">
        <v>104</v>
      </c>
      <c r="F188" s="3"/>
      <c r="G188" s="3" t="s">
        <v>127</v>
      </c>
      <c r="H188" s="4" t="s">
        <v>428</v>
      </c>
      <c r="I188" s="5" t="n">
        <v>29500.0</v>
      </c>
      <c r="J188" s="6" t="s">
        <v>129</v>
      </c>
      <c r="K188" s="7" t="s">
        <v>456</v>
      </c>
      <c r="L188" s="6" t="s">
        <v>429</v>
      </c>
      <c r="M188" s="7" t="s">
        <v>637</v>
      </c>
      <c r="N188" s="6"/>
      <c r="O188" s="7"/>
      <c r="P188" s="6" t="s">
        <v>431</v>
      </c>
      <c r="Q188" s="7" t="s">
        <v>421</v>
      </c>
      <c r="R188" s="6"/>
      <c r="S188" s="7"/>
      <c r="T188" s="6" t="s">
        <v>431</v>
      </c>
      <c r="U188" s="7" t="s">
        <v>638</v>
      </c>
      <c r="V188" s="8" t="n">
        <f>195.5</f>
        <v>195.5</v>
      </c>
      <c r="W188" s="9" t="n">
        <f>13219</f>
        <v>13219.0</v>
      </c>
      <c r="X188" s="9"/>
      <c r="Y188" s="9" t="n">
        <f>2681845</f>
        <v>2681845.0</v>
      </c>
      <c r="Z188" s="9"/>
      <c r="AA188" s="9" t="str">
        <f>"－"</f>
        <v>－</v>
      </c>
      <c r="AB188" s="6" t="s">
        <v>58</v>
      </c>
      <c r="AC188" s="10" t="n">
        <f>179</f>
        <v>179.0</v>
      </c>
      <c r="AD188" s="9" t="n">
        <f>10</f>
        <v>10.0</v>
      </c>
    </row>
    <row r="189">
      <c r="A189" s="3" t="s">
        <v>50</v>
      </c>
      <c r="B189" s="3" t="s">
        <v>131</v>
      </c>
      <c r="C189" s="43" t="s">
        <v>132</v>
      </c>
      <c r="D189" s="43" t="s">
        <v>133</v>
      </c>
      <c r="E189" s="3" t="s">
        <v>104</v>
      </c>
      <c r="F189" s="3"/>
      <c r="G189" s="3" t="s">
        <v>127</v>
      </c>
      <c r="H189" s="4" t="s">
        <v>639</v>
      </c>
      <c r="I189" s="5" t="n">
        <v>30000.0</v>
      </c>
      <c r="J189" s="6" t="s">
        <v>429</v>
      </c>
      <c r="K189" s="7" t="s">
        <v>640</v>
      </c>
      <c r="L189" s="6" t="s">
        <v>429</v>
      </c>
      <c r="M189" s="7" t="s">
        <v>641</v>
      </c>
      <c r="N189" s="6"/>
      <c r="O189" s="7"/>
      <c r="P189" s="6" t="s">
        <v>631</v>
      </c>
      <c r="Q189" s="7" t="s">
        <v>275</v>
      </c>
      <c r="R189" s="6"/>
      <c r="S189" s="7"/>
      <c r="T189" s="6" t="s">
        <v>631</v>
      </c>
      <c r="U189" s="7" t="s">
        <v>275</v>
      </c>
      <c r="V189" s="8" t="n">
        <f>169</f>
        <v>169.0</v>
      </c>
      <c r="W189" s="9" t="n">
        <f>20100</f>
        <v>20100.0</v>
      </c>
      <c r="X189" s="9"/>
      <c r="Y189" s="9" t="n">
        <f>3820200</f>
        <v>3820200.0</v>
      </c>
      <c r="Z189" s="9"/>
      <c r="AA189" s="9" t="str">
        <f>"－"</f>
        <v>－</v>
      </c>
      <c r="AB189" s="6" t="s">
        <v>58</v>
      </c>
      <c r="AC189" s="10" t="n">
        <f>100</f>
        <v>100.0</v>
      </c>
      <c r="AD189" s="9" t="n">
        <f>3</f>
        <v>3.0</v>
      </c>
    </row>
    <row r="190">
      <c r="A190" s="3" t="s">
        <v>50</v>
      </c>
      <c r="B190" s="3" t="s">
        <v>131</v>
      </c>
      <c r="C190" s="43" t="s">
        <v>132</v>
      </c>
      <c r="D190" s="43" t="s">
        <v>133</v>
      </c>
      <c r="E190" s="3" t="s">
        <v>104</v>
      </c>
      <c r="F190" s="3"/>
      <c r="G190" s="3" t="s">
        <v>100</v>
      </c>
      <c r="H190" s="4" t="s">
        <v>442</v>
      </c>
      <c r="I190" s="5" t="n">
        <v>27000.0</v>
      </c>
      <c r="J190" s="6" t="s">
        <v>437</v>
      </c>
      <c r="K190" s="7" t="s">
        <v>375</v>
      </c>
      <c r="L190" s="6" t="s">
        <v>437</v>
      </c>
      <c r="M190" s="7" t="s">
        <v>375</v>
      </c>
      <c r="N190" s="6"/>
      <c r="O190" s="7"/>
      <c r="P190" s="6" t="s">
        <v>434</v>
      </c>
      <c r="Q190" s="7" t="s">
        <v>487</v>
      </c>
      <c r="R190" s="6"/>
      <c r="S190" s="7"/>
      <c r="T190" s="6" t="s">
        <v>434</v>
      </c>
      <c r="U190" s="7" t="s">
        <v>487</v>
      </c>
      <c r="V190" s="8" t="n">
        <f>429</f>
        <v>429.0</v>
      </c>
      <c r="W190" s="9" t="n">
        <f>4000</f>
        <v>4000.0</v>
      </c>
      <c r="X190" s="9"/>
      <c r="Y190" s="9" t="n">
        <f>1716000</f>
        <v>1716000.0</v>
      </c>
      <c r="Z190" s="9"/>
      <c r="AA190" s="9" t="str">
        <f>"－"</f>
        <v>－</v>
      </c>
      <c r="AB190" s="6"/>
      <c r="AC190" s="10" t="str">
        <f>"－"</f>
        <v>－</v>
      </c>
      <c r="AD190" s="9" t="n">
        <f>2</f>
        <v>2.0</v>
      </c>
    </row>
    <row r="191">
      <c r="A191" s="3" t="s">
        <v>50</v>
      </c>
      <c r="B191" s="3" t="s">
        <v>131</v>
      </c>
      <c r="C191" s="43" t="s">
        <v>132</v>
      </c>
      <c r="D191" s="43" t="s">
        <v>133</v>
      </c>
      <c r="E191" s="3" t="s">
        <v>104</v>
      </c>
      <c r="F191" s="3"/>
      <c r="G191" s="3" t="s">
        <v>100</v>
      </c>
      <c r="H191" s="4" t="s">
        <v>101</v>
      </c>
      <c r="I191" s="5" t="n">
        <v>27500.0</v>
      </c>
      <c r="J191" s="6" t="s">
        <v>447</v>
      </c>
      <c r="K191" s="7" t="s">
        <v>642</v>
      </c>
      <c r="L191" s="6" t="s">
        <v>643</v>
      </c>
      <c r="M191" s="7" t="s">
        <v>644</v>
      </c>
      <c r="N191" s="6"/>
      <c r="O191" s="7"/>
      <c r="P191" s="6" t="s">
        <v>434</v>
      </c>
      <c r="Q191" s="7" t="s">
        <v>645</v>
      </c>
      <c r="R191" s="6"/>
      <c r="S191" s="7"/>
      <c r="T191" s="6" t="s">
        <v>434</v>
      </c>
      <c r="U191" s="7" t="s">
        <v>645</v>
      </c>
      <c r="V191" s="8" t="n">
        <f>298.5</f>
        <v>298.5</v>
      </c>
      <c r="W191" s="9" t="n">
        <f>10000</f>
        <v>10000.0</v>
      </c>
      <c r="X191" s="9"/>
      <c r="Y191" s="9" t="n">
        <f>2890000</f>
        <v>2890000.0</v>
      </c>
      <c r="Z191" s="9"/>
      <c r="AA191" s="9" t="str">
        <f>"－"</f>
        <v>－</v>
      </c>
      <c r="AB191" s="6"/>
      <c r="AC191" s="10" t="n">
        <f>4000</f>
        <v>4000.0</v>
      </c>
      <c r="AD191" s="9" t="n">
        <f>6</f>
        <v>6.0</v>
      </c>
    </row>
    <row r="192">
      <c r="A192" s="3" t="s">
        <v>50</v>
      </c>
      <c r="B192" s="3" t="s">
        <v>131</v>
      </c>
      <c r="C192" s="43" t="s">
        <v>132</v>
      </c>
      <c r="D192" s="43" t="s">
        <v>133</v>
      </c>
      <c r="E192" s="3" t="s">
        <v>104</v>
      </c>
      <c r="F192" s="3"/>
      <c r="G192" s="3" t="s">
        <v>100</v>
      </c>
      <c r="H192" s="4" t="s">
        <v>101</v>
      </c>
      <c r="I192" s="5" t="n">
        <v>28000.0</v>
      </c>
      <c r="J192" s="6" t="s">
        <v>469</v>
      </c>
      <c r="K192" s="7" t="s">
        <v>646</v>
      </c>
      <c r="L192" s="6" t="s">
        <v>647</v>
      </c>
      <c r="M192" s="7" t="s">
        <v>648</v>
      </c>
      <c r="N192" s="6"/>
      <c r="O192" s="7"/>
      <c r="P192" s="6" t="s">
        <v>434</v>
      </c>
      <c r="Q192" s="7" t="s">
        <v>126</v>
      </c>
      <c r="R192" s="6"/>
      <c r="S192" s="7"/>
      <c r="T192" s="6" t="s">
        <v>434</v>
      </c>
      <c r="U192" s="7" t="s">
        <v>126</v>
      </c>
      <c r="V192" s="8" t="n">
        <f>244.43</f>
        <v>244.43</v>
      </c>
      <c r="W192" s="9" t="n">
        <f>19280</f>
        <v>19280.0</v>
      </c>
      <c r="X192" s="9"/>
      <c r="Y192" s="9" t="n">
        <f>5736200</f>
        <v>5736200.0</v>
      </c>
      <c r="Z192" s="9"/>
      <c r="AA192" s="9" t="str">
        <f>"－"</f>
        <v>－</v>
      </c>
      <c r="AB192" s="6"/>
      <c r="AC192" s="10" t="str">
        <f>"－"</f>
        <v>－</v>
      </c>
      <c r="AD192" s="9" t="n">
        <f>7</f>
        <v>7.0</v>
      </c>
    </row>
    <row r="193">
      <c r="A193" s="3" t="s">
        <v>50</v>
      </c>
      <c r="B193" s="3" t="s">
        <v>131</v>
      </c>
      <c r="C193" s="43" t="s">
        <v>132</v>
      </c>
      <c r="D193" s="43" t="s">
        <v>133</v>
      </c>
      <c r="E193" s="3" t="s">
        <v>104</v>
      </c>
      <c r="F193" s="3"/>
      <c r="G193" s="3" t="s">
        <v>100</v>
      </c>
      <c r="H193" s="4" t="s">
        <v>101</v>
      </c>
      <c r="I193" s="5" t="n">
        <v>28500.0</v>
      </c>
      <c r="J193" s="6" t="s">
        <v>649</v>
      </c>
      <c r="K193" s="7" t="s">
        <v>650</v>
      </c>
      <c r="L193" s="6" t="s">
        <v>651</v>
      </c>
      <c r="M193" s="7" t="s">
        <v>652</v>
      </c>
      <c r="N193" s="6"/>
      <c r="O193" s="7"/>
      <c r="P193" s="6" t="s">
        <v>444</v>
      </c>
      <c r="Q193" s="7" t="s">
        <v>653</v>
      </c>
      <c r="R193" s="6"/>
      <c r="S193" s="7"/>
      <c r="T193" s="6" t="s">
        <v>444</v>
      </c>
      <c r="U193" s="7" t="s">
        <v>653</v>
      </c>
      <c r="V193" s="8" t="n">
        <f>416.4</f>
        <v>416.4</v>
      </c>
      <c r="W193" s="9" t="n">
        <f>16782</f>
        <v>16782.0</v>
      </c>
      <c r="X193" s="9"/>
      <c r="Y193" s="9" t="n">
        <f>4993896</f>
        <v>4993896.0</v>
      </c>
      <c r="Z193" s="9"/>
      <c r="AA193" s="9" t="str">
        <f>"－"</f>
        <v>－</v>
      </c>
      <c r="AB193" s="6"/>
      <c r="AC193" s="10" t="n">
        <f>142</f>
        <v>142.0</v>
      </c>
      <c r="AD193" s="9" t="n">
        <f>10</f>
        <v>10.0</v>
      </c>
    </row>
    <row r="194">
      <c r="A194" s="3" t="s">
        <v>50</v>
      </c>
      <c r="B194" s="3" t="s">
        <v>131</v>
      </c>
      <c r="C194" s="43" t="s">
        <v>132</v>
      </c>
      <c r="D194" s="43" t="s">
        <v>133</v>
      </c>
      <c r="E194" s="3" t="s">
        <v>104</v>
      </c>
      <c r="F194" s="3"/>
      <c r="G194" s="3" t="s">
        <v>100</v>
      </c>
      <c r="H194" s="4" t="s">
        <v>101</v>
      </c>
      <c r="I194" s="5" t="n">
        <v>29000.0</v>
      </c>
      <c r="J194" s="6" t="s">
        <v>654</v>
      </c>
      <c r="K194" s="7" t="s">
        <v>655</v>
      </c>
      <c r="L194" s="6" t="s">
        <v>654</v>
      </c>
      <c r="M194" s="7" t="s">
        <v>655</v>
      </c>
      <c r="N194" s="6"/>
      <c r="O194" s="7"/>
      <c r="P194" s="6" t="s">
        <v>469</v>
      </c>
      <c r="Q194" s="7" t="s">
        <v>656</v>
      </c>
      <c r="R194" s="6"/>
      <c r="S194" s="7"/>
      <c r="T194" s="6" t="s">
        <v>469</v>
      </c>
      <c r="U194" s="7" t="s">
        <v>656</v>
      </c>
      <c r="V194" s="8" t="n">
        <f>464.44</f>
        <v>464.44</v>
      </c>
      <c r="W194" s="9" t="n">
        <f>26347</f>
        <v>26347.0</v>
      </c>
      <c r="X194" s="9"/>
      <c r="Y194" s="9" t="n">
        <f>11467554</f>
        <v>1.1467554E7</v>
      </c>
      <c r="Z194" s="9"/>
      <c r="AA194" s="9" t="str">
        <f>"－"</f>
        <v>－</v>
      </c>
      <c r="AB194" s="6"/>
      <c r="AC194" s="10" t="n">
        <f>377</f>
        <v>377.0</v>
      </c>
      <c r="AD194" s="9" t="n">
        <f>9</f>
        <v>9.0</v>
      </c>
    </row>
    <row r="195">
      <c r="A195" s="3" t="s">
        <v>50</v>
      </c>
      <c r="B195" s="3" t="s">
        <v>131</v>
      </c>
      <c r="C195" s="43" t="s">
        <v>132</v>
      </c>
      <c r="D195" s="43" t="s">
        <v>133</v>
      </c>
      <c r="E195" s="3" t="s">
        <v>104</v>
      </c>
      <c r="F195" s="3"/>
      <c r="G195" s="3" t="s">
        <v>100</v>
      </c>
      <c r="H195" s="4" t="s">
        <v>101</v>
      </c>
      <c r="I195" s="5" t="n">
        <v>29500.0</v>
      </c>
      <c r="J195" s="6" t="s">
        <v>431</v>
      </c>
      <c r="K195" s="7" t="s">
        <v>657</v>
      </c>
      <c r="L195" s="6" t="s">
        <v>420</v>
      </c>
      <c r="M195" s="7" t="s">
        <v>658</v>
      </c>
      <c r="N195" s="6"/>
      <c r="O195" s="7"/>
      <c r="P195" s="6" t="s">
        <v>453</v>
      </c>
      <c r="Q195" s="7" t="s">
        <v>659</v>
      </c>
      <c r="R195" s="6"/>
      <c r="S195" s="7"/>
      <c r="T195" s="6" t="s">
        <v>453</v>
      </c>
      <c r="U195" s="7" t="s">
        <v>659</v>
      </c>
      <c r="V195" s="8" t="n">
        <f>273.38</f>
        <v>273.38</v>
      </c>
      <c r="W195" s="9" t="n">
        <f>23290</f>
        <v>23290.0</v>
      </c>
      <c r="X195" s="9"/>
      <c r="Y195" s="9" t="n">
        <f>6229800</f>
        <v>6229800.0</v>
      </c>
      <c r="Z195" s="9"/>
      <c r="AA195" s="9" t="str">
        <f>"－"</f>
        <v>－</v>
      </c>
      <c r="AB195" s="6"/>
      <c r="AC195" s="10" t="n">
        <f>50</f>
        <v>50.0</v>
      </c>
      <c r="AD195" s="9" t="n">
        <f>8</f>
        <v>8.0</v>
      </c>
    </row>
    <row r="196">
      <c r="A196" s="3" t="s">
        <v>50</v>
      </c>
      <c r="B196" s="3" t="s">
        <v>131</v>
      </c>
      <c r="C196" s="43" t="s">
        <v>132</v>
      </c>
      <c r="D196" s="43" t="s">
        <v>133</v>
      </c>
      <c r="E196" s="3" t="s">
        <v>104</v>
      </c>
      <c r="F196" s="3"/>
      <c r="G196" s="3" t="s">
        <v>100</v>
      </c>
      <c r="H196" s="4" t="s">
        <v>660</v>
      </c>
      <c r="I196" s="5" t="n">
        <v>30000.0</v>
      </c>
      <c r="J196" s="6" t="s">
        <v>661</v>
      </c>
      <c r="K196" s="7" t="s">
        <v>445</v>
      </c>
      <c r="L196" s="6" t="s">
        <v>661</v>
      </c>
      <c r="M196" s="7" t="s">
        <v>445</v>
      </c>
      <c r="N196" s="6"/>
      <c r="O196" s="7"/>
      <c r="P196" s="6" t="s">
        <v>661</v>
      </c>
      <c r="Q196" s="7" t="s">
        <v>445</v>
      </c>
      <c r="R196" s="6"/>
      <c r="S196" s="7"/>
      <c r="T196" s="6" t="s">
        <v>661</v>
      </c>
      <c r="U196" s="7" t="s">
        <v>445</v>
      </c>
      <c r="V196" s="8" t="n">
        <f>300</f>
        <v>300.0</v>
      </c>
      <c r="W196" s="9" t="n">
        <f>100</f>
        <v>100.0</v>
      </c>
      <c r="X196" s="9"/>
      <c r="Y196" s="9" t="n">
        <f>30000</f>
        <v>30000.0</v>
      </c>
      <c r="Z196" s="9"/>
      <c r="AA196" s="9" t="str">
        <f>"－"</f>
        <v>－</v>
      </c>
      <c r="AB196" s="6"/>
      <c r="AC196" s="10" t="n">
        <f>100</f>
        <v>100.0</v>
      </c>
      <c r="AD196" s="9" t="n">
        <f>1</f>
        <v>1.0</v>
      </c>
    </row>
    <row r="197">
      <c r="A197" s="3" t="s">
        <v>50</v>
      </c>
      <c r="B197" s="3" t="s">
        <v>131</v>
      </c>
      <c r="C197" s="43" t="s">
        <v>132</v>
      </c>
      <c r="D197" s="43" t="s">
        <v>133</v>
      </c>
      <c r="E197" s="3" t="s">
        <v>104</v>
      </c>
      <c r="F197" s="3"/>
      <c r="G197" s="3" t="s">
        <v>457</v>
      </c>
      <c r="H197" s="4" t="s">
        <v>442</v>
      </c>
      <c r="I197" s="5" t="n">
        <v>27000.0</v>
      </c>
      <c r="J197" s="6" t="s">
        <v>434</v>
      </c>
      <c r="K197" s="7" t="s">
        <v>662</v>
      </c>
      <c r="L197" s="6" t="s">
        <v>434</v>
      </c>
      <c r="M197" s="7" t="s">
        <v>662</v>
      </c>
      <c r="N197" s="6"/>
      <c r="O197" s="7"/>
      <c r="P197" s="6" t="s">
        <v>434</v>
      </c>
      <c r="Q197" s="7" t="s">
        <v>662</v>
      </c>
      <c r="R197" s="6"/>
      <c r="S197" s="7"/>
      <c r="T197" s="6" t="s">
        <v>434</v>
      </c>
      <c r="U197" s="7" t="s">
        <v>662</v>
      </c>
      <c r="V197" s="8" t="n">
        <f>625</f>
        <v>625.0</v>
      </c>
      <c r="W197" s="9" t="n">
        <f>640</f>
        <v>640.0</v>
      </c>
      <c r="X197" s="9"/>
      <c r="Y197" s="9" t="n">
        <f>400000</f>
        <v>400000.0</v>
      </c>
      <c r="Z197" s="9"/>
      <c r="AA197" s="9" t="str">
        <f>"－"</f>
        <v>－</v>
      </c>
      <c r="AB197" s="6"/>
      <c r="AC197" s="10" t="n">
        <f>640</f>
        <v>640.0</v>
      </c>
      <c r="AD197" s="9" t="n">
        <f>1</f>
        <v>1.0</v>
      </c>
    </row>
    <row r="198">
      <c r="A198" s="3" t="s">
        <v>50</v>
      </c>
      <c r="B198" s="3" t="s">
        <v>131</v>
      </c>
      <c r="C198" s="43" t="s">
        <v>132</v>
      </c>
      <c r="D198" s="43" t="s">
        <v>133</v>
      </c>
      <c r="E198" s="3" t="s">
        <v>104</v>
      </c>
      <c r="F198" s="3"/>
      <c r="G198" s="3" t="s">
        <v>457</v>
      </c>
      <c r="H198" s="4" t="s">
        <v>465</v>
      </c>
      <c r="I198" s="5" t="n">
        <v>27500.0</v>
      </c>
      <c r="J198" s="6" t="s">
        <v>444</v>
      </c>
      <c r="K198" s="7" t="s">
        <v>663</v>
      </c>
      <c r="L198" s="6" t="s">
        <v>444</v>
      </c>
      <c r="M198" s="7" t="s">
        <v>663</v>
      </c>
      <c r="N198" s="6"/>
      <c r="O198" s="7"/>
      <c r="P198" s="6" t="s">
        <v>434</v>
      </c>
      <c r="Q198" s="7" t="s">
        <v>412</v>
      </c>
      <c r="R198" s="6"/>
      <c r="S198" s="7"/>
      <c r="T198" s="6" t="s">
        <v>440</v>
      </c>
      <c r="U198" s="7" t="s">
        <v>664</v>
      </c>
      <c r="V198" s="8" t="n">
        <f>464</f>
        <v>464.0</v>
      </c>
      <c r="W198" s="9" t="n">
        <f>6000</f>
        <v>6000.0</v>
      </c>
      <c r="X198" s="9"/>
      <c r="Y198" s="9" t="n">
        <f>2784000</f>
        <v>2784000.0</v>
      </c>
      <c r="Z198" s="9"/>
      <c r="AA198" s="9" t="str">
        <f>"－"</f>
        <v>－</v>
      </c>
      <c r="AB198" s="6"/>
      <c r="AC198" s="10" t="n">
        <f>6000</f>
        <v>6000.0</v>
      </c>
      <c r="AD198" s="9" t="n">
        <f>3</f>
        <v>3.0</v>
      </c>
    </row>
    <row r="199">
      <c r="A199" s="3" t="s">
        <v>50</v>
      </c>
      <c r="B199" s="3" t="s">
        <v>131</v>
      </c>
      <c r="C199" s="43" t="s">
        <v>132</v>
      </c>
      <c r="D199" s="43" t="s">
        <v>133</v>
      </c>
      <c r="E199" s="3" t="s">
        <v>104</v>
      </c>
      <c r="F199" s="3"/>
      <c r="G199" s="3" t="s">
        <v>457</v>
      </c>
      <c r="H199" s="4" t="s">
        <v>465</v>
      </c>
      <c r="I199" s="5" t="n">
        <v>28000.0</v>
      </c>
      <c r="J199" s="6" t="s">
        <v>437</v>
      </c>
      <c r="K199" s="7" t="s">
        <v>665</v>
      </c>
      <c r="L199" s="6" t="s">
        <v>437</v>
      </c>
      <c r="M199" s="7" t="s">
        <v>665</v>
      </c>
      <c r="N199" s="6"/>
      <c r="O199" s="7"/>
      <c r="P199" s="6" t="s">
        <v>434</v>
      </c>
      <c r="Q199" s="7" t="s">
        <v>666</v>
      </c>
      <c r="R199" s="6"/>
      <c r="S199" s="7"/>
      <c r="T199" s="6" t="s">
        <v>440</v>
      </c>
      <c r="U199" s="7" t="s">
        <v>667</v>
      </c>
      <c r="V199" s="8" t="n">
        <f>298</f>
        <v>298.0</v>
      </c>
      <c r="W199" s="9" t="n">
        <f>12000</f>
        <v>12000.0</v>
      </c>
      <c r="X199" s="9"/>
      <c r="Y199" s="9" t="n">
        <f>3600000</f>
        <v>3600000.0</v>
      </c>
      <c r="Z199" s="9"/>
      <c r="AA199" s="9" t="str">
        <f>"－"</f>
        <v>－</v>
      </c>
      <c r="AB199" s="6"/>
      <c r="AC199" s="10" t="n">
        <f>4000</f>
        <v>4000.0</v>
      </c>
      <c r="AD199" s="9" t="n">
        <f>3</f>
        <v>3.0</v>
      </c>
    </row>
    <row r="200">
      <c r="A200" s="3" t="s">
        <v>50</v>
      </c>
      <c r="B200" s="3" t="s">
        <v>131</v>
      </c>
      <c r="C200" s="43" t="s">
        <v>132</v>
      </c>
      <c r="D200" s="43" t="s">
        <v>133</v>
      </c>
      <c r="E200" s="3" t="s">
        <v>104</v>
      </c>
      <c r="F200" s="3"/>
      <c r="G200" s="3" t="s">
        <v>457</v>
      </c>
      <c r="H200" s="4" t="s">
        <v>465</v>
      </c>
      <c r="I200" s="5" t="n">
        <v>29500.0</v>
      </c>
      <c r="J200" s="6" t="s">
        <v>466</v>
      </c>
      <c r="K200" s="7" t="s">
        <v>668</v>
      </c>
      <c r="L200" s="6" t="s">
        <v>466</v>
      </c>
      <c r="M200" s="7" t="s">
        <v>668</v>
      </c>
      <c r="N200" s="6"/>
      <c r="O200" s="7"/>
      <c r="P200" s="6" t="s">
        <v>466</v>
      </c>
      <c r="Q200" s="7" t="s">
        <v>668</v>
      </c>
      <c r="R200" s="6"/>
      <c r="S200" s="7"/>
      <c r="T200" s="6" t="s">
        <v>466</v>
      </c>
      <c r="U200" s="7" t="s">
        <v>668</v>
      </c>
      <c r="V200" s="8" t="n">
        <f>502</f>
        <v>502.0</v>
      </c>
      <c r="W200" s="9" t="n">
        <f>100</f>
        <v>100.0</v>
      </c>
      <c r="X200" s="9"/>
      <c r="Y200" s="9" t="n">
        <f>50200</f>
        <v>50200.0</v>
      </c>
      <c r="Z200" s="9"/>
      <c r="AA200" s="9" t="str">
        <f>"－"</f>
        <v>－</v>
      </c>
      <c r="AB200" s="6"/>
      <c r="AC200" s="10" t="n">
        <f>100</f>
        <v>100.0</v>
      </c>
      <c r="AD200" s="9" t="n">
        <f>1</f>
        <v>1.0</v>
      </c>
    </row>
    <row r="201">
      <c r="A201" s="3" t="s">
        <v>50</v>
      </c>
      <c r="B201" s="3" t="s">
        <v>131</v>
      </c>
      <c r="C201" s="43" t="s">
        <v>132</v>
      </c>
      <c r="D201" s="43" t="s">
        <v>133</v>
      </c>
      <c r="E201" s="3" t="s">
        <v>104</v>
      </c>
      <c r="F201" s="3"/>
      <c r="G201" s="3" t="s">
        <v>457</v>
      </c>
      <c r="H201" s="4" t="s">
        <v>669</v>
      </c>
      <c r="I201" s="5" t="n">
        <v>30000.0</v>
      </c>
      <c r="J201" s="6" t="s">
        <v>670</v>
      </c>
      <c r="K201" s="7" t="s">
        <v>169</v>
      </c>
      <c r="L201" s="6" t="s">
        <v>670</v>
      </c>
      <c r="M201" s="7" t="s">
        <v>169</v>
      </c>
      <c r="N201" s="6"/>
      <c r="O201" s="7"/>
      <c r="P201" s="6" t="s">
        <v>670</v>
      </c>
      <c r="Q201" s="7" t="s">
        <v>169</v>
      </c>
      <c r="R201" s="6"/>
      <c r="S201" s="7"/>
      <c r="T201" s="6" t="s">
        <v>670</v>
      </c>
      <c r="U201" s="7" t="s">
        <v>169</v>
      </c>
      <c r="V201" s="8" t="n">
        <f>350</f>
        <v>350.0</v>
      </c>
      <c r="W201" s="9" t="n">
        <f>10</f>
        <v>10.0</v>
      </c>
      <c r="X201" s="9"/>
      <c r="Y201" s="9" t="n">
        <f>3500</f>
        <v>3500.0</v>
      </c>
      <c r="Z201" s="9"/>
      <c r="AA201" s="9" t="str">
        <f>"－"</f>
        <v>－</v>
      </c>
      <c r="AB201" s="6"/>
      <c r="AC201" s="10" t="n">
        <f>10</f>
        <v>10.0</v>
      </c>
      <c r="AD201" s="9" t="n">
        <f>1</f>
        <v>1.0</v>
      </c>
    </row>
    <row r="202">
      <c r="A202" s="3" t="s">
        <v>50</v>
      </c>
      <c r="B202" s="3" t="s">
        <v>671</v>
      </c>
      <c r="C202" s="43" t="s">
        <v>672</v>
      </c>
      <c r="D202" s="43" t="s">
        <v>673</v>
      </c>
      <c r="E202" s="3" t="s">
        <v>54</v>
      </c>
      <c r="F202" s="3"/>
      <c r="G202" s="3" t="s">
        <v>96</v>
      </c>
      <c r="H202" s="4" t="s">
        <v>97</v>
      </c>
      <c r="I202" s="5" t="n">
        <v>28500.0</v>
      </c>
      <c r="J202" s="6" t="s">
        <v>381</v>
      </c>
      <c r="K202" s="7" t="s">
        <v>674</v>
      </c>
      <c r="L202" s="6" t="s">
        <v>381</v>
      </c>
      <c r="M202" s="7" t="s">
        <v>674</v>
      </c>
      <c r="N202" s="6"/>
      <c r="O202" s="7"/>
      <c r="P202" s="6" t="s">
        <v>620</v>
      </c>
      <c r="Q202" s="7" t="s">
        <v>675</v>
      </c>
      <c r="R202" s="6"/>
      <c r="S202" s="7"/>
      <c r="T202" s="6" t="s">
        <v>620</v>
      </c>
      <c r="U202" s="7" t="s">
        <v>675</v>
      </c>
      <c r="V202" s="8" t="n">
        <f>709.25</f>
        <v>709.25</v>
      </c>
      <c r="W202" s="9" t="n">
        <f>36</f>
        <v>36.0</v>
      </c>
      <c r="X202" s="9"/>
      <c r="Y202" s="9" t="n">
        <f>255330</f>
        <v>255330.0</v>
      </c>
      <c r="Z202" s="9"/>
      <c r="AA202" s="9" t="str">
        <f>"－"</f>
        <v>－</v>
      </c>
      <c r="AB202" s="6" t="s">
        <v>58</v>
      </c>
      <c r="AC202" s="10" t="str">
        <f>"－"</f>
        <v>－</v>
      </c>
      <c r="AD202" s="9" t="n">
        <f>2</f>
        <v>2.0</v>
      </c>
    </row>
    <row r="203">
      <c r="A203" s="3" t="s">
        <v>50</v>
      </c>
      <c r="B203" s="3" t="s">
        <v>676</v>
      </c>
      <c r="C203" s="43" t="s">
        <v>677</v>
      </c>
      <c r="D203" s="43" t="s">
        <v>678</v>
      </c>
      <c r="E203" s="3" t="s">
        <v>54</v>
      </c>
      <c r="F203" s="3"/>
      <c r="G203" s="3" t="s">
        <v>679</v>
      </c>
      <c r="H203" s="4" t="s">
        <v>680</v>
      </c>
      <c r="I203" s="5" t="n">
        <v>1800.0</v>
      </c>
      <c r="J203" s="6" t="s">
        <v>383</v>
      </c>
      <c r="K203" s="7" t="s">
        <v>404</v>
      </c>
      <c r="L203" s="6" t="s">
        <v>681</v>
      </c>
      <c r="M203" s="7" t="s">
        <v>281</v>
      </c>
      <c r="N203" s="6"/>
      <c r="O203" s="7"/>
      <c r="P203" s="6" t="s">
        <v>434</v>
      </c>
      <c r="Q203" s="7" t="s">
        <v>115</v>
      </c>
      <c r="R203" s="6"/>
      <c r="S203" s="7"/>
      <c r="T203" s="6" t="s">
        <v>434</v>
      </c>
      <c r="U203" s="7" t="s">
        <v>115</v>
      </c>
      <c r="V203" s="8" t="n">
        <f>93.75</f>
        <v>93.75</v>
      </c>
      <c r="W203" s="9" t="n">
        <f>412</f>
        <v>412.0</v>
      </c>
      <c r="X203" s="9"/>
      <c r="Y203" s="9" t="n">
        <f>412000</f>
        <v>412000.0</v>
      </c>
      <c r="Z203" s="9"/>
      <c r="AA203" s="9" t="str">
        <f>"－"</f>
        <v>－</v>
      </c>
      <c r="AB203" s="6"/>
      <c r="AC203" s="10" t="n">
        <f>412</f>
        <v>412.0</v>
      </c>
      <c r="AD203" s="9" t="n">
        <f>8</f>
        <v>8.0</v>
      </c>
    </row>
    <row r="204">
      <c r="A204" s="3" t="s">
        <v>50</v>
      </c>
      <c r="B204" s="3" t="s">
        <v>682</v>
      </c>
      <c r="C204" s="43" t="s">
        <v>683</v>
      </c>
      <c r="D204" s="43" t="s">
        <v>684</v>
      </c>
      <c r="E204" s="3" t="s">
        <v>104</v>
      </c>
      <c r="F204" s="3"/>
      <c r="G204" s="3" t="s">
        <v>84</v>
      </c>
      <c r="H204" s="4" t="s">
        <v>428</v>
      </c>
      <c r="I204" s="5" t="n">
        <v>1800.0</v>
      </c>
      <c r="J204" s="6" t="s">
        <v>86</v>
      </c>
      <c r="K204" s="7" t="s">
        <v>83</v>
      </c>
      <c r="L204" s="6" t="s">
        <v>86</v>
      </c>
      <c r="M204" s="7" t="s">
        <v>83</v>
      </c>
      <c r="N204" s="6"/>
      <c r="O204" s="7"/>
      <c r="P204" s="6" t="s">
        <v>86</v>
      </c>
      <c r="Q204" s="7" t="s">
        <v>83</v>
      </c>
      <c r="R204" s="6"/>
      <c r="S204" s="7"/>
      <c r="T204" s="6" t="s">
        <v>86</v>
      </c>
      <c r="U204" s="7" t="s">
        <v>83</v>
      </c>
      <c r="V204" s="8" t="n">
        <f>55</f>
        <v>55.0</v>
      </c>
      <c r="W204" s="9" t="n">
        <f>1</f>
        <v>1.0</v>
      </c>
      <c r="X204" s="9"/>
      <c r="Y204" s="9" t="n">
        <f>5500</f>
        <v>5500.0</v>
      </c>
      <c r="Z204" s="9"/>
      <c r="AA204" s="9" t="str">
        <f>"－"</f>
        <v>－</v>
      </c>
      <c r="AB204" s="6" t="s">
        <v>58</v>
      </c>
      <c r="AC204" s="10" t="n">
        <f>1</f>
        <v>1.0</v>
      </c>
      <c r="AD204" s="9" t="n">
        <f>1</f>
        <v>1.0</v>
      </c>
    </row>
    <row r="205">
      <c r="A205" s="3" t="s">
        <v>50</v>
      </c>
      <c r="B205" s="3" t="s">
        <v>685</v>
      </c>
      <c r="C205" s="43" t="s">
        <v>686</v>
      </c>
      <c r="D205" s="43" t="s">
        <v>687</v>
      </c>
      <c r="E205" s="3" t="s">
        <v>54</v>
      </c>
      <c r="F205" s="3"/>
      <c r="G205" s="3" t="s">
        <v>59</v>
      </c>
      <c r="H205" s="4" t="s">
        <v>60</v>
      </c>
      <c r="I205" s="5" t="n">
        <v>1800.0</v>
      </c>
      <c r="J205" s="6" t="s">
        <v>142</v>
      </c>
      <c r="K205" s="7" t="s">
        <v>83</v>
      </c>
      <c r="L205" s="6" t="s">
        <v>142</v>
      </c>
      <c r="M205" s="7" t="s">
        <v>83</v>
      </c>
      <c r="N205" s="6"/>
      <c r="O205" s="7"/>
      <c r="P205" s="6" t="s">
        <v>165</v>
      </c>
      <c r="Q205" s="7" t="s">
        <v>688</v>
      </c>
      <c r="R205" s="6"/>
      <c r="S205" s="7"/>
      <c r="T205" s="6" t="s">
        <v>165</v>
      </c>
      <c r="U205" s="7" t="s">
        <v>688</v>
      </c>
      <c r="V205" s="8" t="n">
        <f>38.5</f>
        <v>38.5</v>
      </c>
      <c r="W205" s="9" t="n">
        <f>10000</f>
        <v>10000.0</v>
      </c>
      <c r="X205" s="9"/>
      <c r="Y205" s="9" t="n">
        <f>385000</f>
        <v>385000.0</v>
      </c>
      <c r="Z205" s="9"/>
      <c r="AA205" s="9" t="str">
        <f>"－"</f>
        <v>－</v>
      </c>
      <c r="AB205" s="6" t="s">
        <v>58</v>
      </c>
      <c r="AC205" s="10" t="str">
        <f>"－"</f>
        <v>－</v>
      </c>
      <c r="AD205" s="9" t="n">
        <f>2</f>
        <v>2.0</v>
      </c>
    </row>
    <row r="206">
      <c r="A206" s="3" t="s">
        <v>50</v>
      </c>
      <c r="B206" s="3" t="s">
        <v>685</v>
      </c>
      <c r="C206" s="43" t="s">
        <v>686</v>
      </c>
      <c r="D206" s="43" t="s">
        <v>687</v>
      </c>
      <c r="E206" s="3" t="s">
        <v>54</v>
      </c>
      <c r="F206" s="3"/>
      <c r="G206" s="3" t="s">
        <v>59</v>
      </c>
      <c r="H206" s="4" t="s">
        <v>60</v>
      </c>
      <c r="I206" s="5" t="n">
        <v>1900.0</v>
      </c>
      <c r="J206" s="6" t="s">
        <v>165</v>
      </c>
      <c r="K206" s="7" t="s">
        <v>689</v>
      </c>
      <c r="L206" s="6" t="s">
        <v>165</v>
      </c>
      <c r="M206" s="7" t="s">
        <v>689</v>
      </c>
      <c r="N206" s="6"/>
      <c r="O206" s="7"/>
      <c r="P206" s="6" t="s">
        <v>180</v>
      </c>
      <c r="Q206" s="7" t="s">
        <v>690</v>
      </c>
      <c r="R206" s="6"/>
      <c r="S206" s="7"/>
      <c r="T206" s="6" t="s">
        <v>180</v>
      </c>
      <c r="U206" s="7" t="s">
        <v>690</v>
      </c>
      <c r="V206" s="8" t="n">
        <f>49.5</f>
        <v>49.5</v>
      </c>
      <c r="W206" s="9" t="n">
        <f>10000</f>
        <v>10000.0</v>
      </c>
      <c r="X206" s="9"/>
      <c r="Y206" s="9" t="n">
        <f>495000</f>
        <v>495000.0</v>
      </c>
      <c r="Z206" s="9"/>
      <c r="AA206" s="9" t="str">
        <f>"－"</f>
        <v>－</v>
      </c>
      <c r="AB206" s="6" t="s">
        <v>58</v>
      </c>
      <c r="AC206" s="10" t="str">
        <f>"－"</f>
        <v>－</v>
      </c>
      <c r="AD206" s="9" t="n">
        <f>2</f>
        <v>2.0</v>
      </c>
    </row>
    <row r="207">
      <c r="A207" s="3" t="s">
        <v>50</v>
      </c>
      <c r="B207" s="3" t="s">
        <v>685</v>
      </c>
      <c r="C207" s="43" t="s">
        <v>686</v>
      </c>
      <c r="D207" s="43" t="s">
        <v>687</v>
      </c>
      <c r="E207" s="3" t="s">
        <v>54</v>
      </c>
      <c r="F207" s="3"/>
      <c r="G207" s="3" t="s">
        <v>59</v>
      </c>
      <c r="H207" s="4" t="s">
        <v>691</v>
      </c>
      <c r="I207" s="5" t="n">
        <v>2000.0</v>
      </c>
      <c r="J207" s="6" t="s">
        <v>105</v>
      </c>
      <c r="K207" s="7" t="s">
        <v>601</v>
      </c>
      <c r="L207" s="6" t="s">
        <v>180</v>
      </c>
      <c r="M207" s="7" t="s">
        <v>692</v>
      </c>
      <c r="N207" s="6"/>
      <c r="O207" s="7"/>
      <c r="P207" s="6" t="s">
        <v>105</v>
      </c>
      <c r="Q207" s="7" t="s">
        <v>601</v>
      </c>
      <c r="R207" s="6"/>
      <c r="S207" s="7"/>
      <c r="T207" s="6" t="s">
        <v>180</v>
      </c>
      <c r="U207" s="7" t="s">
        <v>692</v>
      </c>
      <c r="V207" s="8" t="n">
        <f>90.5</f>
        <v>90.5</v>
      </c>
      <c r="W207" s="9" t="n">
        <f>10000</f>
        <v>10000.0</v>
      </c>
      <c r="X207" s="9"/>
      <c r="Y207" s="9" t="n">
        <f>905000</f>
        <v>905000.0</v>
      </c>
      <c r="Z207" s="9"/>
      <c r="AA207" s="9" t="str">
        <f>"－"</f>
        <v>－</v>
      </c>
      <c r="AB207" s="6" t="s">
        <v>58</v>
      </c>
      <c r="AC207" s="10" t="str">
        <f>"－"</f>
        <v>－</v>
      </c>
      <c r="AD207" s="9" t="n">
        <f>2</f>
        <v>2.0</v>
      </c>
    </row>
    <row r="208">
      <c r="A208" s="3" t="s">
        <v>50</v>
      </c>
      <c r="B208" s="3" t="s">
        <v>685</v>
      </c>
      <c r="C208" s="43" t="s">
        <v>686</v>
      </c>
      <c r="D208" s="43" t="s">
        <v>687</v>
      </c>
      <c r="E208" s="3" t="s">
        <v>54</v>
      </c>
      <c r="F208" s="3"/>
      <c r="G208" s="3" t="s">
        <v>63</v>
      </c>
      <c r="H208" s="4" t="s">
        <v>693</v>
      </c>
      <c r="I208" s="5" t="n">
        <v>2000.0</v>
      </c>
      <c r="J208" s="6" t="s">
        <v>158</v>
      </c>
      <c r="K208" s="7" t="s">
        <v>99</v>
      </c>
      <c r="L208" s="6" t="s">
        <v>158</v>
      </c>
      <c r="M208" s="7" t="s">
        <v>99</v>
      </c>
      <c r="N208" s="6"/>
      <c r="O208" s="7"/>
      <c r="P208" s="6" t="s">
        <v>107</v>
      </c>
      <c r="Q208" s="7" t="s">
        <v>202</v>
      </c>
      <c r="R208" s="6"/>
      <c r="S208" s="7"/>
      <c r="T208" s="6" t="s">
        <v>107</v>
      </c>
      <c r="U208" s="7" t="s">
        <v>202</v>
      </c>
      <c r="V208" s="8" t="n">
        <f>25</f>
        <v>25.0</v>
      </c>
      <c r="W208" s="9" t="n">
        <f>10000</f>
        <v>10000.0</v>
      </c>
      <c r="X208" s="9"/>
      <c r="Y208" s="9" t="n">
        <f>250000</f>
        <v>250000.0</v>
      </c>
      <c r="Z208" s="9"/>
      <c r="AA208" s="9" t="str">
        <f>"－"</f>
        <v>－</v>
      </c>
      <c r="AB208" s="6" t="s">
        <v>58</v>
      </c>
      <c r="AC208" s="10" t="str">
        <f>"－"</f>
        <v>－</v>
      </c>
      <c r="AD208" s="9" t="n">
        <f>2</f>
        <v>2.0</v>
      </c>
    </row>
    <row r="209">
      <c r="A209" s="3" t="s">
        <v>50</v>
      </c>
      <c r="B209" s="3" t="s">
        <v>685</v>
      </c>
      <c r="C209" s="43" t="s">
        <v>686</v>
      </c>
      <c r="D209" s="43" t="s">
        <v>687</v>
      </c>
      <c r="E209" s="3" t="s">
        <v>54</v>
      </c>
      <c r="F209" s="3"/>
      <c r="G209" s="3" t="s">
        <v>63</v>
      </c>
      <c r="H209" s="4" t="s">
        <v>694</v>
      </c>
      <c r="I209" s="5" t="n">
        <v>2200.0</v>
      </c>
      <c r="J209" s="6" t="s">
        <v>168</v>
      </c>
      <c r="K209" s="7" t="s">
        <v>479</v>
      </c>
      <c r="L209" s="6" t="s">
        <v>213</v>
      </c>
      <c r="M209" s="7" t="s">
        <v>695</v>
      </c>
      <c r="N209" s="6"/>
      <c r="O209" s="7"/>
      <c r="P209" s="6" t="s">
        <v>208</v>
      </c>
      <c r="Q209" s="7" t="s">
        <v>696</v>
      </c>
      <c r="R209" s="6"/>
      <c r="S209" s="7"/>
      <c r="T209" s="6" t="s">
        <v>208</v>
      </c>
      <c r="U209" s="7" t="s">
        <v>696</v>
      </c>
      <c r="V209" s="8" t="n">
        <f>45.2</f>
        <v>45.2</v>
      </c>
      <c r="W209" s="9" t="n">
        <f>20100</f>
        <v>20100.0</v>
      </c>
      <c r="X209" s="9"/>
      <c r="Y209" s="9" t="n">
        <f>787000</f>
        <v>787000.0</v>
      </c>
      <c r="Z209" s="9"/>
      <c r="AA209" s="9" t="str">
        <f>"－"</f>
        <v>－</v>
      </c>
      <c r="AB209" s="6" t="s">
        <v>58</v>
      </c>
      <c r="AC209" s="10" t="n">
        <f>100</f>
        <v>100.0</v>
      </c>
      <c r="AD209" s="9" t="n">
        <f>5</f>
        <v>5.0</v>
      </c>
    </row>
    <row r="210">
      <c r="A210" s="3" t="s">
        <v>50</v>
      </c>
      <c r="B210" s="3" t="s">
        <v>685</v>
      </c>
      <c r="C210" s="43" t="s">
        <v>686</v>
      </c>
      <c r="D210" s="43" t="s">
        <v>687</v>
      </c>
      <c r="E210" s="3" t="s">
        <v>54</v>
      </c>
      <c r="F210" s="3"/>
      <c r="G210" s="3" t="s">
        <v>63</v>
      </c>
      <c r="H210" s="4" t="s">
        <v>697</v>
      </c>
      <c r="I210" s="5" t="n">
        <v>2600.0</v>
      </c>
      <c r="J210" s="6" t="s">
        <v>698</v>
      </c>
      <c r="K210" s="7" t="s">
        <v>689</v>
      </c>
      <c r="L210" s="6" t="s">
        <v>698</v>
      </c>
      <c r="M210" s="7" t="s">
        <v>689</v>
      </c>
      <c r="N210" s="6"/>
      <c r="O210" s="7"/>
      <c r="P210" s="6" t="s">
        <v>208</v>
      </c>
      <c r="Q210" s="7" t="s">
        <v>699</v>
      </c>
      <c r="R210" s="6"/>
      <c r="S210" s="7"/>
      <c r="T210" s="6" t="s">
        <v>208</v>
      </c>
      <c r="U210" s="7" t="s">
        <v>699</v>
      </c>
      <c r="V210" s="8" t="n">
        <f>27</f>
        <v>27.0</v>
      </c>
      <c r="W210" s="9" t="n">
        <f>10000</f>
        <v>10000.0</v>
      </c>
      <c r="X210" s="9"/>
      <c r="Y210" s="9" t="n">
        <f>270000</f>
        <v>270000.0</v>
      </c>
      <c r="Z210" s="9"/>
      <c r="AA210" s="9" t="str">
        <f>"－"</f>
        <v>－</v>
      </c>
      <c r="AB210" s="6" t="s">
        <v>58</v>
      </c>
      <c r="AC210" s="10" t="str">
        <f>"－"</f>
        <v>－</v>
      </c>
      <c r="AD210" s="9" t="n">
        <f>2</f>
        <v>2.0</v>
      </c>
    </row>
    <row r="211">
      <c r="A211" s="3" t="s">
        <v>50</v>
      </c>
      <c r="B211" s="3" t="s">
        <v>685</v>
      </c>
      <c r="C211" s="43" t="s">
        <v>686</v>
      </c>
      <c r="D211" s="43" t="s">
        <v>687</v>
      </c>
      <c r="E211" s="3" t="s">
        <v>54</v>
      </c>
      <c r="F211" s="3"/>
      <c r="G211" s="3" t="s">
        <v>67</v>
      </c>
      <c r="H211" s="4" t="s">
        <v>72</v>
      </c>
      <c r="I211" s="5" t="n">
        <v>2400.0</v>
      </c>
      <c r="J211" s="6" t="s">
        <v>510</v>
      </c>
      <c r="K211" s="7" t="s">
        <v>700</v>
      </c>
      <c r="L211" s="6" t="s">
        <v>510</v>
      </c>
      <c r="M211" s="7" t="s">
        <v>700</v>
      </c>
      <c r="N211" s="6"/>
      <c r="O211" s="7"/>
      <c r="P211" s="6" t="s">
        <v>219</v>
      </c>
      <c r="Q211" s="7" t="s">
        <v>701</v>
      </c>
      <c r="R211" s="6"/>
      <c r="S211" s="7"/>
      <c r="T211" s="6" t="s">
        <v>219</v>
      </c>
      <c r="U211" s="7" t="s">
        <v>701</v>
      </c>
      <c r="V211" s="8" t="n">
        <f>45.5</f>
        <v>45.5</v>
      </c>
      <c r="W211" s="9" t="n">
        <f>10000</f>
        <v>10000.0</v>
      </c>
      <c r="X211" s="9"/>
      <c r="Y211" s="9" t="n">
        <f>455000</f>
        <v>455000.0</v>
      </c>
      <c r="Z211" s="9"/>
      <c r="AA211" s="9" t="str">
        <f>"－"</f>
        <v>－</v>
      </c>
      <c r="AB211" s="6" t="s">
        <v>58</v>
      </c>
      <c r="AC211" s="10" t="str">
        <f>"－"</f>
        <v>－</v>
      </c>
      <c r="AD211" s="9" t="n">
        <f>2</f>
        <v>2.0</v>
      </c>
    </row>
    <row r="212">
      <c r="A212" s="3" t="s">
        <v>50</v>
      </c>
      <c r="B212" s="3" t="s">
        <v>685</v>
      </c>
      <c r="C212" s="43" t="s">
        <v>686</v>
      </c>
      <c r="D212" s="43" t="s">
        <v>687</v>
      </c>
      <c r="E212" s="3" t="s">
        <v>54</v>
      </c>
      <c r="F212" s="3"/>
      <c r="G212" s="3" t="s">
        <v>67</v>
      </c>
      <c r="H212" s="4" t="s">
        <v>702</v>
      </c>
      <c r="I212" s="5" t="n">
        <v>2800.0</v>
      </c>
      <c r="J212" s="6" t="s">
        <v>223</v>
      </c>
      <c r="K212" s="7" t="s">
        <v>404</v>
      </c>
      <c r="L212" s="6" t="s">
        <v>225</v>
      </c>
      <c r="M212" s="7" t="s">
        <v>703</v>
      </c>
      <c r="N212" s="6"/>
      <c r="O212" s="7"/>
      <c r="P212" s="6" t="s">
        <v>223</v>
      </c>
      <c r="Q212" s="7" t="s">
        <v>404</v>
      </c>
      <c r="R212" s="6"/>
      <c r="S212" s="7"/>
      <c r="T212" s="6" t="s">
        <v>225</v>
      </c>
      <c r="U212" s="7" t="s">
        <v>703</v>
      </c>
      <c r="V212" s="8" t="n">
        <f>160</f>
        <v>160.0</v>
      </c>
      <c r="W212" s="9" t="n">
        <f>200</f>
        <v>200.0</v>
      </c>
      <c r="X212" s="9"/>
      <c r="Y212" s="9" t="n">
        <f>32000</f>
        <v>32000.0</v>
      </c>
      <c r="Z212" s="9"/>
      <c r="AA212" s="9" t="n">
        <f>100</f>
        <v>100.0</v>
      </c>
      <c r="AB212" s="6" t="s">
        <v>58</v>
      </c>
      <c r="AC212" s="10" t="str">
        <f>"－"</f>
        <v>－</v>
      </c>
      <c r="AD212" s="9" t="n">
        <f>2</f>
        <v>2.0</v>
      </c>
    </row>
    <row r="213">
      <c r="A213" s="3" t="s">
        <v>50</v>
      </c>
      <c r="B213" s="3" t="s">
        <v>685</v>
      </c>
      <c r="C213" s="43" t="s">
        <v>686</v>
      </c>
      <c r="D213" s="43" t="s">
        <v>687</v>
      </c>
      <c r="E213" s="3" t="s">
        <v>54</v>
      </c>
      <c r="F213" s="3"/>
      <c r="G213" s="3" t="s">
        <v>112</v>
      </c>
      <c r="H213" s="4" t="s">
        <v>113</v>
      </c>
      <c r="I213" s="5" t="n">
        <v>2600.0</v>
      </c>
      <c r="J213" s="6" t="s">
        <v>271</v>
      </c>
      <c r="K213" s="7" t="s">
        <v>704</v>
      </c>
      <c r="L213" s="6" t="s">
        <v>271</v>
      </c>
      <c r="M213" s="7" t="s">
        <v>704</v>
      </c>
      <c r="N213" s="6"/>
      <c r="O213" s="7"/>
      <c r="P213" s="6" t="s">
        <v>271</v>
      </c>
      <c r="Q213" s="7" t="s">
        <v>704</v>
      </c>
      <c r="R213" s="6"/>
      <c r="S213" s="7"/>
      <c r="T213" s="6" t="s">
        <v>271</v>
      </c>
      <c r="U213" s="7" t="s">
        <v>704</v>
      </c>
      <c r="V213" s="8" t="n">
        <f>90</f>
        <v>90.0</v>
      </c>
      <c r="W213" s="9" t="n">
        <f>100</f>
        <v>100.0</v>
      </c>
      <c r="X213" s="9"/>
      <c r="Y213" s="9" t="n">
        <f>9000</f>
        <v>9000.0</v>
      </c>
      <c r="Z213" s="9"/>
      <c r="AA213" s="9" t="str">
        <f>"－"</f>
        <v>－</v>
      </c>
      <c r="AB213" s="6" t="s">
        <v>58</v>
      </c>
      <c r="AC213" s="10" t="n">
        <f>100</f>
        <v>100.0</v>
      </c>
      <c r="AD213" s="9" t="n">
        <f>1</f>
        <v>1.0</v>
      </c>
    </row>
    <row r="214">
      <c r="A214" s="3" t="s">
        <v>50</v>
      </c>
      <c r="B214" s="3" t="s">
        <v>685</v>
      </c>
      <c r="C214" s="43" t="s">
        <v>686</v>
      </c>
      <c r="D214" s="43" t="s">
        <v>687</v>
      </c>
      <c r="E214" s="3" t="s">
        <v>54</v>
      </c>
      <c r="F214" s="3"/>
      <c r="G214" s="3" t="s">
        <v>112</v>
      </c>
      <c r="H214" s="4" t="s">
        <v>113</v>
      </c>
      <c r="I214" s="5" t="n">
        <v>2800.0</v>
      </c>
      <c r="J214" s="6" t="s">
        <v>705</v>
      </c>
      <c r="K214" s="7" t="s">
        <v>414</v>
      </c>
      <c r="L214" s="6" t="s">
        <v>705</v>
      </c>
      <c r="M214" s="7" t="s">
        <v>414</v>
      </c>
      <c r="N214" s="6"/>
      <c r="O214" s="7"/>
      <c r="P214" s="6" t="s">
        <v>269</v>
      </c>
      <c r="Q214" s="7" t="s">
        <v>699</v>
      </c>
      <c r="R214" s="6"/>
      <c r="S214" s="7"/>
      <c r="T214" s="6" t="s">
        <v>269</v>
      </c>
      <c r="U214" s="7" t="s">
        <v>699</v>
      </c>
      <c r="V214" s="8" t="n">
        <f>79.2</f>
        <v>79.2</v>
      </c>
      <c r="W214" s="9" t="n">
        <f>40000</f>
        <v>40000.0</v>
      </c>
      <c r="X214" s="9"/>
      <c r="Y214" s="9" t="n">
        <f>2815000</f>
        <v>2815000.0</v>
      </c>
      <c r="Z214" s="9"/>
      <c r="AA214" s="9" t="str">
        <f>"－"</f>
        <v>－</v>
      </c>
      <c r="AB214" s="6" t="s">
        <v>58</v>
      </c>
      <c r="AC214" s="10" t="str">
        <f>"－"</f>
        <v>－</v>
      </c>
      <c r="AD214" s="9" t="n">
        <f>5</f>
        <v>5.0</v>
      </c>
    </row>
    <row r="215">
      <c r="A215" s="3" t="s">
        <v>50</v>
      </c>
      <c r="B215" s="3" t="s">
        <v>685</v>
      </c>
      <c r="C215" s="43" t="s">
        <v>686</v>
      </c>
      <c r="D215" s="43" t="s">
        <v>687</v>
      </c>
      <c r="E215" s="3" t="s">
        <v>54</v>
      </c>
      <c r="F215" s="3"/>
      <c r="G215" s="3" t="s">
        <v>116</v>
      </c>
      <c r="H215" s="4" t="s">
        <v>706</v>
      </c>
      <c r="I215" s="5" t="n">
        <v>3000.0</v>
      </c>
      <c r="J215" s="6" t="s">
        <v>269</v>
      </c>
      <c r="K215" s="7" t="s">
        <v>707</v>
      </c>
      <c r="L215" s="6" t="s">
        <v>517</v>
      </c>
      <c r="M215" s="7" t="s">
        <v>708</v>
      </c>
      <c r="N215" s="6"/>
      <c r="O215" s="7"/>
      <c r="P215" s="6" t="s">
        <v>280</v>
      </c>
      <c r="Q215" s="7" t="s">
        <v>704</v>
      </c>
      <c r="R215" s="6"/>
      <c r="S215" s="7"/>
      <c r="T215" s="6" t="s">
        <v>280</v>
      </c>
      <c r="U215" s="7" t="s">
        <v>704</v>
      </c>
      <c r="V215" s="8" t="n">
        <f>152.25</f>
        <v>152.25</v>
      </c>
      <c r="W215" s="9" t="n">
        <f>40000</f>
        <v>40000.0</v>
      </c>
      <c r="X215" s="9"/>
      <c r="Y215" s="9" t="n">
        <f>6090000</f>
        <v>6090000.0</v>
      </c>
      <c r="Z215" s="9"/>
      <c r="AA215" s="9" t="str">
        <f>"－"</f>
        <v>－</v>
      </c>
      <c r="AB215" s="6" t="s">
        <v>58</v>
      </c>
      <c r="AC215" s="10" t="str">
        <f>"－"</f>
        <v>－</v>
      </c>
      <c r="AD215" s="9" t="n">
        <f>4</f>
        <v>4.0</v>
      </c>
    </row>
    <row r="216">
      <c r="A216" s="3" t="s">
        <v>50</v>
      </c>
      <c r="B216" s="3" t="s">
        <v>685</v>
      </c>
      <c r="C216" s="43" t="s">
        <v>686</v>
      </c>
      <c r="D216" s="43" t="s">
        <v>687</v>
      </c>
      <c r="E216" s="3" t="s">
        <v>54</v>
      </c>
      <c r="F216" s="3"/>
      <c r="G216" s="3" t="s">
        <v>294</v>
      </c>
      <c r="H216" s="4" t="s">
        <v>295</v>
      </c>
      <c r="I216" s="5" t="n">
        <v>3200.0</v>
      </c>
      <c r="J216" s="6" t="s">
        <v>709</v>
      </c>
      <c r="K216" s="7" t="s">
        <v>710</v>
      </c>
      <c r="L216" s="6" t="s">
        <v>709</v>
      </c>
      <c r="M216" s="7" t="s">
        <v>710</v>
      </c>
      <c r="N216" s="6"/>
      <c r="O216" s="7"/>
      <c r="P216" s="6" t="s">
        <v>711</v>
      </c>
      <c r="Q216" s="7" t="s">
        <v>712</v>
      </c>
      <c r="R216" s="6"/>
      <c r="S216" s="7"/>
      <c r="T216" s="6" t="s">
        <v>711</v>
      </c>
      <c r="U216" s="7" t="s">
        <v>712</v>
      </c>
      <c r="V216" s="8" t="n">
        <f>130</f>
        <v>130.0</v>
      </c>
      <c r="W216" s="9" t="n">
        <f>20000</f>
        <v>20000.0</v>
      </c>
      <c r="X216" s="9"/>
      <c r="Y216" s="9" t="n">
        <f>2220000</f>
        <v>2220000.0</v>
      </c>
      <c r="Z216" s="9"/>
      <c r="AA216" s="9" t="str">
        <f>"－"</f>
        <v>－</v>
      </c>
      <c r="AB216" s="6" t="s">
        <v>58</v>
      </c>
      <c r="AC216" s="10" t="str">
        <f>"－"</f>
        <v>－</v>
      </c>
      <c r="AD216" s="9" t="n">
        <f>3</f>
        <v>3.0</v>
      </c>
    </row>
    <row r="217">
      <c r="A217" s="3" t="s">
        <v>50</v>
      </c>
      <c r="B217" s="3" t="s">
        <v>685</v>
      </c>
      <c r="C217" s="43" t="s">
        <v>686</v>
      </c>
      <c r="D217" s="43" t="s">
        <v>687</v>
      </c>
      <c r="E217" s="3" t="s">
        <v>104</v>
      </c>
      <c r="F217" s="3"/>
      <c r="G217" s="3" t="s">
        <v>59</v>
      </c>
      <c r="H217" s="4" t="s">
        <v>60</v>
      </c>
      <c r="I217" s="5" t="n">
        <v>1800.0</v>
      </c>
      <c r="J217" s="6" t="s">
        <v>142</v>
      </c>
      <c r="K217" s="7" t="s">
        <v>339</v>
      </c>
      <c r="L217" s="6" t="s">
        <v>165</v>
      </c>
      <c r="M217" s="7" t="s">
        <v>364</v>
      </c>
      <c r="N217" s="6"/>
      <c r="O217" s="7"/>
      <c r="P217" s="6" t="s">
        <v>142</v>
      </c>
      <c r="Q217" s="7" t="s">
        <v>339</v>
      </c>
      <c r="R217" s="6"/>
      <c r="S217" s="7"/>
      <c r="T217" s="6" t="s">
        <v>165</v>
      </c>
      <c r="U217" s="7" t="s">
        <v>364</v>
      </c>
      <c r="V217" s="8" t="n">
        <f>134</f>
        <v>134.0</v>
      </c>
      <c r="W217" s="9" t="n">
        <f>10000</f>
        <v>10000.0</v>
      </c>
      <c r="X217" s="9"/>
      <c r="Y217" s="9" t="n">
        <f>1340000</f>
        <v>1340000.0</v>
      </c>
      <c r="Z217" s="9"/>
      <c r="AA217" s="9" t="n">
        <f>100</f>
        <v>100.0</v>
      </c>
      <c r="AB217" s="6" t="s">
        <v>58</v>
      </c>
      <c r="AC217" s="10" t="str">
        <f>"－"</f>
        <v>－</v>
      </c>
      <c r="AD217" s="9" t="n">
        <f>2</f>
        <v>2.0</v>
      </c>
    </row>
    <row r="218">
      <c r="A218" s="3" t="s">
        <v>50</v>
      </c>
      <c r="B218" s="3" t="s">
        <v>685</v>
      </c>
      <c r="C218" s="43" t="s">
        <v>686</v>
      </c>
      <c r="D218" s="43" t="s">
        <v>687</v>
      </c>
      <c r="E218" s="3" t="s">
        <v>104</v>
      </c>
      <c r="F218" s="3"/>
      <c r="G218" s="3" t="s">
        <v>59</v>
      </c>
      <c r="H218" s="4" t="s">
        <v>60</v>
      </c>
      <c r="I218" s="5" t="n">
        <v>1900.0</v>
      </c>
      <c r="J218" s="6" t="s">
        <v>165</v>
      </c>
      <c r="K218" s="7" t="s">
        <v>704</v>
      </c>
      <c r="L218" s="6" t="s">
        <v>165</v>
      </c>
      <c r="M218" s="7" t="s">
        <v>704</v>
      </c>
      <c r="N218" s="6"/>
      <c r="O218" s="7"/>
      <c r="P218" s="6" t="s">
        <v>180</v>
      </c>
      <c r="Q218" s="7" t="s">
        <v>713</v>
      </c>
      <c r="R218" s="6"/>
      <c r="S218" s="7"/>
      <c r="T218" s="6" t="s">
        <v>180</v>
      </c>
      <c r="U218" s="7" t="s">
        <v>713</v>
      </c>
      <c r="V218" s="8" t="n">
        <f>81.5</f>
        <v>81.5</v>
      </c>
      <c r="W218" s="9" t="n">
        <f>10000</f>
        <v>10000.0</v>
      </c>
      <c r="X218" s="9"/>
      <c r="Y218" s="9" t="n">
        <f>815000</f>
        <v>815000.0</v>
      </c>
      <c r="Z218" s="9"/>
      <c r="AA218" s="9" t="str">
        <f>"－"</f>
        <v>－</v>
      </c>
      <c r="AB218" s="6" t="s">
        <v>58</v>
      </c>
      <c r="AC218" s="10" t="str">
        <f>"－"</f>
        <v>－</v>
      </c>
      <c r="AD218" s="9" t="n">
        <f>2</f>
        <v>2.0</v>
      </c>
    </row>
    <row r="219">
      <c r="A219" s="3" t="s">
        <v>50</v>
      </c>
      <c r="B219" s="3" t="s">
        <v>685</v>
      </c>
      <c r="C219" s="43" t="s">
        <v>686</v>
      </c>
      <c r="D219" s="43" t="s">
        <v>687</v>
      </c>
      <c r="E219" s="3" t="s">
        <v>104</v>
      </c>
      <c r="F219" s="3"/>
      <c r="G219" s="3" t="s">
        <v>59</v>
      </c>
      <c r="H219" s="4" t="s">
        <v>691</v>
      </c>
      <c r="I219" s="5" t="n">
        <v>2000.0</v>
      </c>
      <c r="J219" s="6" t="s">
        <v>105</v>
      </c>
      <c r="K219" s="7" t="s">
        <v>714</v>
      </c>
      <c r="L219" s="6" t="s">
        <v>105</v>
      </c>
      <c r="M219" s="7" t="s">
        <v>714</v>
      </c>
      <c r="N219" s="6"/>
      <c r="O219" s="7"/>
      <c r="P219" s="6" t="s">
        <v>180</v>
      </c>
      <c r="Q219" s="7" t="s">
        <v>159</v>
      </c>
      <c r="R219" s="6"/>
      <c r="S219" s="7"/>
      <c r="T219" s="6" t="s">
        <v>180</v>
      </c>
      <c r="U219" s="7" t="s">
        <v>159</v>
      </c>
      <c r="V219" s="8" t="n">
        <f>44</f>
        <v>44.0</v>
      </c>
      <c r="W219" s="9" t="n">
        <f>10000</f>
        <v>10000.0</v>
      </c>
      <c r="X219" s="9"/>
      <c r="Y219" s="9" t="n">
        <f>440000</f>
        <v>440000.0</v>
      </c>
      <c r="Z219" s="9"/>
      <c r="AA219" s="9" t="str">
        <f>"－"</f>
        <v>－</v>
      </c>
      <c r="AB219" s="6" t="s">
        <v>58</v>
      </c>
      <c r="AC219" s="10" t="str">
        <f>"－"</f>
        <v>－</v>
      </c>
      <c r="AD219" s="9" t="n">
        <f>2</f>
        <v>2.0</v>
      </c>
    </row>
    <row r="220">
      <c r="A220" s="3" t="s">
        <v>50</v>
      </c>
      <c r="B220" s="3" t="s">
        <v>685</v>
      </c>
      <c r="C220" s="43" t="s">
        <v>686</v>
      </c>
      <c r="D220" s="43" t="s">
        <v>687</v>
      </c>
      <c r="E220" s="3" t="s">
        <v>104</v>
      </c>
      <c r="F220" s="3"/>
      <c r="G220" s="3" t="s">
        <v>63</v>
      </c>
      <c r="H220" s="4" t="s">
        <v>693</v>
      </c>
      <c r="I220" s="5" t="n">
        <v>2000.0</v>
      </c>
      <c r="J220" s="6" t="s">
        <v>158</v>
      </c>
      <c r="K220" s="7" t="s">
        <v>512</v>
      </c>
      <c r="L220" s="6" t="s">
        <v>107</v>
      </c>
      <c r="M220" s="7" t="s">
        <v>715</v>
      </c>
      <c r="N220" s="6"/>
      <c r="O220" s="7"/>
      <c r="P220" s="6" t="s">
        <v>158</v>
      </c>
      <c r="Q220" s="7" t="s">
        <v>512</v>
      </c>
      <c r="R220" s="6"/>
      <c r="S220" s="7"/>
      <c r="T220" s="6" t="s">
        <v>107</v>
      </c>
      <c r="U220" s="7" t="s">
        <v>715</v>
      </c>
      <c r="V220" s="8" t="n">
        <f>184</f>
        <v>184.0</v>
      </c>
      <c r="W220" s="9" t="n">
        <f>10000</f>
        <v>10000.0</v>
      </c>
      <c r="X220" s="9"/>
      <c r="Y220" s="9" t="n">
        <f>1840000</f>
        <v>1840000.0</v>
      </c>
      <c r="Z220" s="9"/>
      <c r="AA220" s="9" t="str">
        <f>"－"</f>
        <v>－</v>
      </c>
      <c r="AB220" s="6" t="s">
        <v>58</v>
      </c>
      <c r="AC220" s="10" t="str">
        <f>"－"</f>
        <v>－</v>
      </c>
      <c r="AD220" s="9" t="n">
        <f>2</f>
        <v>2.0</v>
      </c>
    </row>
    <row r="221">
      <c r="A221" s="3" t="s">
        <v>50</v>
      </c>
      <c r="B221" s="3" t="s">
        <v>685</v>
      </c>
      <c r="C221" s="43" t="s">
        <v>686</v>
      </c>
      <c r="D221" s="43" t="s">
        <v>687</v>
      </c>
      <c r="E221" s="3" t="s">
        <v>104</v>
      </c>
      <c r="F221" s="3"/>
      <c r="G221" s="3" t="s">
        <v>63</v>
      </c>
      <c r="H221" s="4" t="s">
        <v>694</v>
      </c>
      <c r="I221" s="5" t="n">
        <v>2200.0</v>
      </c>
      <c r="J221" s="6" t="s">
        <v>213</v>
      </c>
      <c r="K221" s="7" t="s">
        <v>716</v>
      </c>
      <c r="L221" s="6" t="s">
        <v>208</v>
      </c>
      <c r="M221" s="7" t="s">
        <v>717</v>
      </c>
      <c r="N221" s="6"/>
      <c r="O221" s="7"/>
      <c r="P221" s="6" t="s">
        <v>213</v>
      </c>
      <c r="Q221" s="7" t="s">
        <v>716</v>
      </c>
      <c r="R221" s="6"/>
      <c r="S221" s="7"/>
      <c r="T221" s="6" t="s">
        <v>208</v>
      </c>
      <c r="U221" s="7" t="s">
        <v>717</v>
      </c>
      <c r="V221" s="8" t="n">
        <f>228.25</f>
        <v>228.25</v>
      </c>
      <c r="W221" s="9" t="n">
        <f>20000</f>
        <v>20000.0</v>
      </c>
      <c r="X221" s="9"/>
      <c r="Y221" s="9" t="n">
        <f>4565000</f>
        <v>4565000.0</v>
      </c>
      <c r="Z221" s="9"/>
      <c r="AA221" s="9" t="str">
        <f>"－"</f>
        <v>－</v>
      </c>
      <c r="AB221" s="6" t="s">
        <v>58</v>
      </c>
      <c r="AC221" s="10" t="str">
        <f>"－"</f>
        <v>－</v>
      </c>
      <c r="AD221" s="9" t="n">
        <f>4</f>
        <v>4.0</v>
      </c>
    </row>
    <row r="222">
      <c r="A222" s="3" t="s">
        <v>50</v>
      </c>
      <c r="B222" s="3" t="s">
        <v>685</v>
      </c>
      <c r="C222" s="43" t="s">
        <v>686</v>
      </c>
      <c r="D222" s="43" t="s">
        <v>687</v>
      </c>
      <c r="E222" s="3" t="s">
        <v>104</v>
      </c>
      <c r="F222" s="3"/>
      <c r="G222" s="3" t="s">
        <v>63</v>
      </c>
      <c r="H222" s="4" t="s">
        <v>697</v>
      </c>
      <c r="I222" s="5" t="n">
        <v>2600.0</v>
      </c>
      <c r="J222" s="6" t="s">
        <v>698</v>
      </c>
      <c r="K222" s="7" t="s">
        <v>597</v>
      </c>
      <c r="L222" s="6" t="s">
        <v>208</v>
      </c>
      <c r="M222" s="7" t="s">
        <v>439</v>
      </c>
      <c r="N222" s="6"/>
      <c r="O222" s="7"/>
      <c r="P222" s="6" t="s">
        <v>698</v>
      </c>
      <c r="Q222" s="7" t="s">
        <v>597</v>
      </c>
      <c r="R222" s="6"/>
      <c r="S222" s="7"/>
      <c r="T222" s="6" t="s">
        <v>208</v>
      </c>
      <c r="U222" s="7" t="s">
        <v>439</v>
      </c>
      <c r="V222" s="8" t="n">
        <f>176</f>
        <v>176.0</v>
      </c>
      <c r="W222" s="9" t="n">
        <f>10000</f>
        <v>10000.0</v>
      </c>
      <c r="X222" s="9"/>
      <c r="Y222" s="9" t="n">
        <f>1760000</f>
        <v>1760000.0</v>
      </c>
      <c r="Z222" s="9"/>
      <c r="AA222" s="9" t="str">
        <f>"－"</f>
        <v>－</v>
      </c>
      <c r="AB222" s="6" t="s">
        <v>58</v>
      </c>
      <c r="AC222" s="10" t="str">
        <f>"－"</f>
        <v>－</v>
      </c>
      <c r="AD222" s="9" t="n">
        <f>2</f>
        <v>2.0</v>
      </c>
    </row>
    <row r="223">
      <c r="A223" s="3" t="s">
        <v>50</v>
      </c>
      <c r="B223" s="3" t="s">
        <v>685</v>
      </c>
      <c r="C223" s="43" t="s">
        <v>686</v>
      </c>
      <c r="D223" s="43" t="s">
        <v>687</v>
      </c>
      <c r="E223" s="3" t="s">
        <v>104</v>
      </c>
      <c r="F223" s="3"/>
      <c r="G223" s="3" t="s">
        <v>67</v>
      </c>
      <c r="H223" s="4" t="s">
        <v>72</v>
      </c>
      <c r="I223" s="5" t="n">
        <v>2400.0</v>
      </c>
      <c r="J223" s="6" t="s">
        <v>510</v>
      </c>
      <c r="K223" s="7" t="s">
        <v>507</v>
      </c>
      <c r="L223" s="6" t="s">
        <v>219</v>
      </c>
      <c r="M223" s="7" t="s">
        <v>410</v>
      </c>
      <c r="N223" s="6"/>
      <c r="O223" s="7"/>
      <c r="P223" s="6" t="s">
        <v>510</v>
      </c>
      <c r="Q223" s="7" t="s">
        <v>507</v>
      </c>
      <c r="R223" s="6"/>
      <c r="S223" s="7"/>
      <c r="T223" s="6" t="s">
        <v>219</v>
      </c>
      <c r="U223" s="7" t="s">
        <v>410</v>
      </c>
      <c r="V223" s="8" t="n">
        <f>283.5</f>
        <v>283.5</v>
      </c>
      <c r="W223" s="9" t="n">
        <f>10000</f>
        <v>10000.0</v>
      </c>
      <c r="X223" s="9"/>
      <c r="Y223" s="9" t="n">
        <f>2835000</f>
        <v>2835000.0</v>
      </c>
      <c r="Z223" s="9"/>
      <c r="AA223" s="9" t="str">
        <f>"－"</f>
        <v>－</v>
      </c>
      <c r="AB223" s="6" t="s">
        <v>58</v>
      </c>
      <c r="AC223" s="10" t="str">
        <f>"－"</f>
        <v>－</v>
      </c>
      <c r="AD223" s="9" t="n">
        <f>2</f>
        <v>2.0</v>
      </c>
    </row>
    <row r="224">
      <c r="A224" s="3" t="s">
        <v>50</v>
      </c>
      <c r="B224" s="3" t="s">
        <v>685</v>
      </c>
      <c r="C224" s="43" t="s">
        <v>686</v>
      </c>
      <c r="D224" s="43" t="s">
        <v>687</v>
      </c>
      <c r="E224" s="3" t="s">
        <v>104</v>
      </c>
      <c r="F224" s="3"/>
      <c r="G224" s="3" t="s">
        <v>112</v>
      </c>
      <c r="H224" s="4" t="s">
        <v>113</v>
      </c>
      <c r="I224" s="5" t="n">
        <v>2800.0</v>
      </c>
      <c r="J224" s="6" t="s">
        <v>705</v>
      </c>
      <c r="K224" s="7" t="s">
        <v>718</v>
      </c>
      <c r="L224" s="6" t="s">
        <v>269</v>
      </c>
      <c r="M224" s="7" t="s">
        <v>719</v>
      </c>
      <c r="N224" s="6"/>
      <c r="O224" s="7"/>
      <c r="P224" s="6" t="s">
        <v>720</v>
      </c>
      <c r="Q224" s="7" t="s">
        <v>591</v>
      </c>
      <c r="R224" s="6"/>
      <c r="S224" s="7"/>
      <c r="T224" s="6" t="s">
        <v>269</v>
      </c>
      <c r="U224" s="7" t="s">
        <v>719</v>
      </c>
      <c r="V224" s="8" t="n">
        <f>173.8</f>
        <v>173.8</v>
      </c>
      <c r="W224" s="9" t="n">
        <f>40000</f>
        <v>40000.0</v>
      </c>
      <c r="X224" s="9"/>
      <c r="Y224" s="9" t="n">
        <f>6970000</f>
        <v>6970000.0</v>
      </c>
      <c r="Z224" s="9"/>
      <c r="AA224" s="9" t="str">
        <f>"－"</f>
        <v>－</v>
      </c>
      <c r="AB224" s="6" t="s">
        <v>58</v>
      </c>
      <c r="AC224" s="10" t="str">
        <f>"－"</f>
        <v>－</v>
      </c>
      <c r="AD224" s="9" t="n">
        <f>5</f>
        <v>5.0</v>
      </c>
    </row>
    <row r="225">
      <c r="A225" s="3" t="s">
        <v>50</v>
      </c>
      <c r="B225" s="3" t="s">
        <v>685</v>
      </c>
      <c r="C225" s="43" t="s">
        <v>686</v>
      </c>
      <c r="D225" s="43" t="s">
        <v>687</v>
      </c>
      <c r="E225" s="3" t="s">
        <v>104</v>
      </c>
      <c r="F225" s="3"/>
      <c r="G225" s="3" t="s">
        <v>116</v>
      </c>
      <c r="H225" s="4" t="s">
        <v>706</v>
      </c>
      <c r="I225" s="5" t="n">
        <v>3000.0</v>
      </c>
      <c r="J225" s="6" t="s">
        <v>269</v>
      </c>
      <c r="K225" s="7" t="s">
        <v>640</v>
      </c>
      <c r="L225" s="6" t="s">
        <v>269</v>
      </c>
      <c r="M225" s="7" t="s">
        <v>640</v>
      </c>
      <c r="N225" s="6"/>
      <c r="O225" s="7"/>
      <c r="P225" s="6" t="s">
        <v>517</v>
      </c>
      <c r="Q225" s="7" t="s">
        <v>152</v>
      </c>
      <c r="R225" s="6"/>
      <c r="S225" s="7"/>
      <c r="T225" s="6" t="s">
        <v>280</v>
      </c>
      <c r="U225" s="7" t="s">
        <v>721</v>
      </c>
      <c r="V225" s="8" t="n">
        <f>143.75</f>
        <v>143.75</v>
      </c>
      <c r="W225" s="9" t="n">
        <f>40000</f>
        <v>40000.0</v>
      </c>
      <c r="X225" s="9"/>
      <c r="Y225" s="9" t="n">
        <f>5750000</f>
        <v>5750000.0</v>
      </c>
      <c r="Z225" s="9"/>
      <c r="AA225" s="9" t="str">
        <f>"－"</f>
        <v>－</v>
      </c>
      <c r="AB225" s="6" t="s">
        <v>58</v>
      </c>
      <c r="AC225" s="10" t="str">
        <f>"－"</f>
        <v>－</v>
      </c>
      <c r="AD225" s="9" t="n">
        <f>4</f>
        <v>4.0</v>
      </c>
    </row>
    <row r="226">
      <c r="A226" s="3" t="s">
        <v>50</v>
      </c>
      <c r="B226" s="3" t="s">
        <v>685</v>
      </c>
      <c r="C226" s="43" t="s">
        <v>686</v>
      </c>
      <c r="D226" s="43" t="s">
        <v>687</v>
      </c>
      <c r="E226" s="3" t="s">
        <v>104</v>
      </c>
      <c r="F226" s="3"/>
      <c r="G226" s="3" t="s">
        <v>294</v>
      </c>
      <c r="H226" s="4" t="s">
        <v>295</v>
      </c>
      <c r="I226" s="5" t="n">
        <v>3200.0</v>
      </c>
      <c r="J226" s="6" t="s">
        <v>709</v>
      </c>
      <c r="K226" s="7" t="s">
        <v>722</v>
      </c>
      <c r="L226" s="6" t="s">
        <v>711</v>
      </c>
      <c r="M226" s="7" t="s">
        <v>665</v>
      </c>
      <c r="N226" s="6"/>
      <c r="O226" s="7"/>
      <c r="P226" s="6" t="s">
        <v>709</v>
      </c>
      <c r="Q226" s="7" t="s">
        <v>722</v>
      </c>
      <c r="R226" s="6"/>
      <c r="S226" s="7"/>
      <c r="T226" s="6" t="s">
        <v>711</v>
      </c>
      <c r="U226" s="7" t="s">
        <v>665</v>
      </c>
      <c r="V226" s="8" t="n">
        <f>242</f>
        <v>242.0</v>
      </c>
      <c r="W226" s="9" t="n">
        <f>20000</f>
        <v>20000.0</v>
      </c>
      <c r="X226" s="9"/>
      <c r="Y226" s="9" t="n">
        <f>5375000</f>
        <v>5375000.0</v>
      </c>
      <c r="Z226" s="9"/>
      <c r="AA226" s="9" t="str">
        <f>"－"</f>
        <v>－</v>
      </c>
      <c r="AB226" s="6" t="s">
        <v>58</v>
      </c>
      <c r="AC226" s="10" t="str">
        <f>"－"</f>
        <v>－</v>
      </c>
      <c r="AD226" s="9" t="n">
        <f>3</f>
        <v>3.0</v>
      </c>
    </row>
    <row r="227">
      <c r="A227" s="3" t="s">
        <v>50</v>
      </c>
      <c r="B227" s="3" t="s">
        <v>685</v>
      </c>
      <c r="C227" s="43" t="s">
        <v>686</v>
      </c>
      <c r="D227" s="43" t="s">
        <v>687</v>
      </c>
      <c r="E227" s="3" t="s">
        <v>104</v>
      </c>
      <c r="F227" s="3"/>
      <c r="G227" s="3" t="s">
        <v>80</v>
      </c>
      <c r="H227" s="4" t="s">
        <v>81</v>
      </c>
      <c r="I227" s="5" t="n">
        <v>3200.0</v>
      </c>
      <c r="J227" s="6" t="s">
        <v>86</v>
      </c>
      <c r="K227" s="7" t="s">
        <v>704</v>
      </c>
      <c r="L227" s="6" t="s">
        <v>86</v>
      </c>
      <c r="M227" s="7" t="s">
        <v>704</v>
      </c>
      <c r="N227" s="6"/>
      <c r="O227" s="7"/>
      <c r="P227" s="6" t="s">
        <v>86</v>
      </c>
      <c r="Q227" s="7" t="s">
        <v>704</v>
      </c>
      <c r="R227" s="6"/>
      <c r="S227" s="7"/>
      <c r="T227" s="6" t="s">
        <v>86</v>
      </c>
      <c r="U227" s="7" t="s">
        <v>704</v>
      </c>
      <c r="V227" s="8" t="n">
        <f>90</f>
        <v>90.0</v>
      </c>
      <c r="W227" s="9" t="n">
        <f>100</f>
        <v>100.0</v>
      </c>
      <c r="X227" s="9"/>
      <c r="Y227" s="9" t="n">
        <f>9000</f>
        <v>9000.0</v>
      </c>
      <c r="Z227" s="9"/>
      <c r="AA227" s="9" t="str">
        <f>"－"</f>
        <v>－</v>
      </c>
      <c r="AB227" s="6" t="s">
        <v>58</v>
      </c>
      <c r="AC227" s="10" t="n">
        <f>100</f>
        <v>100.0</v>
      </c>
      <c r="AD227" s="9" t="n">
        <f>1</f>
        <v>1.0</v>
      </c>
    </row>
    <row r="228">
      <c r="A228" s="3" t="s">
        <v>50</v>
      </c>
      <c r="B228" s="3" t="s">
        <v>723</v>
      </c>
      <c r="C228" s="43" t="s">
        <v>724</v>
      </c>
      <c r="D228" s="43" t="s">
        <v>725</v>
      </c>
      <c r="E228" s="3" t="s">
        <v>54</v>
      </c>
      <c r="F228" s="3"/>
      <c r="G228" s="3" t="s">
        <v>294</v>
      </c>
      <c r="H228" s="4" t="s">
        <v>295</v>
      </c>
      <c r="I228" s="5" t="n">
        <v>750.0</v>
      </c>
      <c r="J228" s="6" t="s">
        <v>323</v>
      </c>
      <c r="K228" s="7" t="s">
        <v>726</v>
      </c>
      <c r="L228" s="6" t="s">
        <v>323</v>
      </c>
      <c r="M228" s="7" t="s">
        <v>726</v>
      </c>
      <c r="N228" s="6"/>
      <c r="O228" s="7"/>
      <c r="P228" s="6" t="s">
        <v>323</v>
      </c>
      <c r="Q228" s="7" t="s">
        <v>726</v>
      </c>
      <c r="R228" s="6"/>
      <c r="S228" s="7"/>
      <c r="T228" s="6" t="s">
        <v>323</v>
      </c>
      <c r="U228" s="7" t="s">
        <v>726</v>
      </c>
      <c r="V228" s="8" t="n">
        <f>26.2</f>
        <v>26.2</v>
      </c>
      <c r="W228" s="9" t="n">
        <f>1</f>
        <v>1.0</v>
      </c>
      <c r="X228" s="9"/>
      <c r="Y228" s="9" t="n">
        <f>2620</f>
        <v>2620.0</v>
      </c>
      <c r="Z228" s="9"/>
      <c r="AA228" s="9" t="n">
        <f>1</f>
        <v>1.0</v>
      </c>
      <c r="AB228" s="6" t="s">
        <v>58</v>
      </c>
      <c r="AC228" s="10" t="str">
        <f>"－"</f>
        <v>－</v>
      </c>
      <c r="AD228" s="9" t="n">
        <f>1</f>
        <v>1.0</v>
      </c>
    </row>
    <row r="229">
      <c r="A229" s="3" t="s">
        <v>50</v>
      </c>
      <c r="B229" s="3" t="s">
        <v>723</v>
      </c>
      <c r="C229" s="43" t="s">
        <v>724</v>
      </c>
      <c r="D229" s="43" t="s">
        <v>725</v>
      </c>
      <c r="E229" s="3" t="s">
        <v>104</v>
      </c>
      <c r="F229" s="3"/>
      <c r="G229" s="3" t="s">
        <v>80</v>
      </c>
      <c r="H229" s="4" t="s">
        <v>81</v>
      </c>
      <c r="I229" s="5" t="n">
        <v>750.0</v>
      </c>
      <c r="J229" s="6" t="s">
        <v>86</v>
      </c>
      <c r="K229" s="7" t="s">
        <v>727</v>
      </c>
      <c r="L229" s="6" t="s">
        <v>86</v>
      </c>
      <c r="M229" s="7" t="s">
        <v>727</v>
      </c>
      <c r="N229" s="6"/>
      <c r="O229" s="7"/>
      <c r="P229" s="6" t="s">
        <v>86</v>
      </c>
      <c r="Q229" s="7" t="s">
        <v>727</v>
      </c>
      <c r="R229" s="6"/>
      <c r="S229" s="7"/>
      <c r="T229" s="6" t="s">
        <v>86</v>
      </c>
      <c r="U229" s="7" t="s">
        <v>727</v>
      </c>
      <c r="V229" s="8" t="n">
        <f>11.8</f>
        <v>11.8</v>
      </c>
      <c r="W229" s="9" t="n">
        <f>1</f>
        <v>1.0</v>
      </c>
      <c r="X229" s="9"/>
      <c r="Y229" s="9" t="n">
        <f>1180</f>
        <v>1180.0</v>
      </c>
      <c r="Z229" s="9"/>
      <c r="AA229" s="9" t="str">
        <f>"－"</f>
        <v>－</v>
      </c>
      <c r="AB229" s="6" t="s">
        <v>58</v>
      </c>
      <c r="AC229" s="10" t="n">
        <f>1</f>
        <v>1.0</v>
      </c>
      <c r="AD229" s="9" t="n">
        <f>1</f>
        <v>1.0</v>
      </c>
    </row>
    <row r="230">
      <c r="A230" s="3" t="s">
        <v>50</v>
      </c>
      <c r="B230" s="3" t="s">
        <v>723</v>
      </c>
      <c r="C230" s="43" t="s">
        <v>724</v>
      </c>
      <c r="D230" s="43" t="s">
        <v>725</v>
      </c>
      <c r="E230" s="3" t="s">
        <v>104</v>
      </c>
      <c r="F230" s="3"/>
      <c r="G230" s="3" t="s">
        <v>84</v>
      </c>
      <c r="H230" s="4" t="s">
        <v>85</v>
      </c>
      <c r="I230" s="5" t="n">
        <v>750.0</v>
      </c>
      <c r="J230" s="6" t="s">
        <v>367</v>
      </c>
      <c r="K230" s="7" t="s">
        <v>728</v>
      </c>
      <c r="L230" s="6" t="s">
        <v>367</v>
      </c>
      <c r="M230" s="7" t="s">
        <v>728</v>
      </c>
      <c r="N230" s="6"/>
      <c r="O230" s="7"/>
      <c r="P230" s="6" t="s">
        <v>367</v>
      </c>
      <c r="Q230" s="7" t="s">
        <v>728</v>
      </c>
      <c r="R230" s="6"/>
      <c r="S230" s="7"/>
      <c r="T230" s="6" t="s">
        <v>367</v>
      </c>
      <c r="U230" s="7" t="s">
        <v>728</v>
      </c>
      <c r="V230" s="8" t="n">
        <f>30.4</f>
        <v>30.4</v>
      </c>
      <c r="W230" s="9" t="n">
        <f>1</f>
        <v>1.0</v>
      </c>
      <c r="X230" s="9"/>
      <c r="Y230" s="9" t="n">
        <f>3040</f>
        <v>3040.0</v>
      </c>
      <c r="Z230" s="9"/>
      <c r="AA230" s="9" t="n">
        <f>1</f>
        <v>1.0</v>
      </c>
      <c r="AB230" s="6" t="s">
        <v>58</v>
      </c>
      <c r="AC230" s="10" t="str">
        <f>"－"</f>
        <v>－</v>
      </c>
      <c r="AD230" s="9" t="n">
        <f>1</f>
        <v>1.0</v>
      </c>
    </row>
    <row r="231">
      <c r="A231" s="3" t="s">
        <v>50</v>
      </c>
      <c r="B231" s="3" t="s">
        <v>729</v>
      </c>
      <c r="C231" s="43" t="s">
        <v>730</v>
      </c>
      <c r="D231" s="43" t="s">
        <v>731</v>
      </c>
      <c r="E231" s="3" t="s">
        <v>54</v>
      </c>
      <c r="F231" s="3"/>
      <c r="G231" s="3" t="s">
        <v>55</v>
      </c>
      <c r="H231" s="4" t="s">
        <v>732</v>
      </c>
      <c r="I231" s="5" t="n">
        <v>4200.0</v>
      </c>
      <c r="J231" s="6"/>
      <c r="K231" s="7" t="s">
        <v>57</v>
      </c>
      <c r="L231" s="6"/>
      <c r="M231" s="7" t="s">
        <v>57</v>
      </c>
      <c r="N231" s="6"/>
      <c r="O231" s="7"/>
      <c r="P231" s="6"/>
      <c r="Q231" s="7" t="s">
        <v>57</v>
      </c>
      <c r="R231" s="6"/>
      <c r="S231" s="7"/>
      <c r="T231" s="6"/>
      <c r="U231" s="7" t="s">
        <v>57</v>
      </c>
      <c r="V231" s="8" t="str">
        <f>"－"</f>
        <v>－</v>
      </c>
      <c r="W231" s="9" t="str">
        <f>"－"</f>
        <v>－</v>
      </c>
      <c r="X231" s="9"/>
      <c r="Y231" s="9" t="str">
        <f>"－"</f>
        <v>－</v>
      </c>
      <c r="Z231" s="9"/>
      <c r="AA231" s="9" t="str">
        <f>"－"</f>
        <v>－</v>
      </c>
      <c r="AB231" s="6" t="s">
        <v>58</v>
      </c>
      <c r="AC231" s="10" t="n">
        <f>994</f>
        <v>994.0</v>
      </c>
      <c r="AD231" s="9" t="str">
        <f>"－"</f>
        <v>－</v>
      </c>
    </row>
    <row r="232">
      <c r="A232" s="3" t="s">
        <v>50</v>
      </c>
      <c r="B232" s="3" t="s">
        <v>729</v>
      </c>
      <c r="C232" s="43" t="s">
        <v>730</v>
      </c>
      <c r="D232" s="43" t="s">
        <v>731</v>
      </c>
      <c r="E232" s="3" t="s">
        <v>54</v>
      </c>
      <c r="F232" s="3"/>
      <c r="G232" s="3" t="s">
        <v>63</v>
      </c>
      <c r="H232" s="4" t="s">
        <v>733</v>
      </c>
      <c r="I232" s="5" t="n">
        <v>4400.0</v>
      </c>
      <c r="J232" s="6"/>
      <c r="K232" s="7" t="s">
        <v>57</v>
      </c>
      <c r="L232" s="6"/>
      <c r="M232" s="7" t="s">
        <v>57</v>
      </c>
      <c r="N232" s="6" t="s">
        <v>156</v>
      </c>
      <c r="O232" s="7" t="s">
        <v>734</v>
      </c>
      <c r="P232" s="6"/>
      <c r="Q232" s="7" t="s">
        <v>57</v>
      </c>
      <c r="R232" s="6" t="s">
        <v>156</v>
      </c>
      <c r="S232" s="7" t="s">
        <v>735</v>
      </c>
      <c r="T232" s="6"/>
      <c r="U232" s="7" t="s">
        <v>57</v>
      </c>
      <c r="V232" s="8" t="str">
        <f>"－"</f>
        <v>－</v>
      </c>
      <c r="W232" s="9" t="n">
        <f>110</f>
        <v>110.0</v>
      </c>
      <c r="X232" s="9" t="n">
        <v>110.0</v>
      </c>
      <c r="Y232" s="9" t="n">
        <f>794010</f>
        <v>794010.0</v>
      </c>
      <c r="Z232" s="9" t="n">
        <v>794010.0</v>
      </c>
      <c r="AA232" s="9" t="n">
        <f>110</f>
        <v>110.0</v>
      </c>
      <c r="AB232" s="6" t="s">
        <v>58</v>
      </c>
      <c r="AC232" s="10" t="str">
        <f>"－"</f>
        <v>－</v>
      </c>
      <c r="AD232" s="9" t="str">
        <f>"－"</f>
        <v>－</v>
      </c>
    </row>
    <row r="233">
      <c r="A233" s="3" t="s">
        <v>50</v>
      </c>
      <c r="B233" s="3" t="s">
        <v>729</v>
      </c>
      <c r="C233" s="43" t="s">
        <v>730</v>
      </c>
      <c r="D233" s="43" t="s">
        <v>731</v>
      </c>
      <c r="E233" s="3" t="s">
        <v>54</v>
      </c>
      <c r="F233" s="3"/>
      <c r="G233" s="3" t="s">
        <v>112</v>
      </c>
      <c r="H233" s="4" t="s">
        <v>113</v>
      </c>
      <c r="I233" s="5" t="n">
        <v>4200.0</v>
      </c>
      <c r="J233" s="6"/>
      <c r="K233" s="7" t="s">
        <v>57</v>
      </c>
      <c r="L233" s="6"/>
      <c r="M233" s="7" t="s">
        <v>57</v>
      </c>
      <c r="N233" s="6" t="s">
        <v>221</v>
      </c>
      <c r="O233" s="7" t="s">
        <v>736</v>
      </c>
      <c r="P233" s="6"/>
      <c r="Q233" s="7" t="s">
        <v>57</v>
      </c>
      <c r="R233" s="6" t="s">
        <v>228</v>
      </c>
      <c r="S233" s="7" t="s">
        <v>737</v>
      </c>
      <c r="T233" s="6"/>
      <c r="U233" s="7" t="s">
        <v>57</v>
      </c>
      <c r="V233" s="8" t="str">
        <f>"－"</f>
        <v>－</v>
      </c>
      <c r="W233" s="9" t="n">
        <f>1140</f>
        <v>1140.0</v>
      </c>
      <c r="X233" s="9" t="n">
        <v>1140.0</v>
      </c>
      <c r="Y233" s="9" t="n">
        <f>7701480</f>
        <v>7701480.0</v>
      </c>
      <c r="Z233" s="9" t="n">
        <v>7701480.0</v>
      </c>
      <c r="AA233" s="9" t="str">
        <f>"－"</f>
        <v>－</v>
      </c>
      <c r="AB233" s="6" t="s">
        <v>58</v>
      </c>
      <c r="AC233" s="10" t="n">
        <f>1140</f>
        <v>1140.0</v>
      </c>
      <c r="AD233" s="9" t="str">
        <f>"－"</f>
        <v>－</v>
      </c>
    </row>
    <row r="234">
      <c r="A234" s="3" t="s">
        <v>50</v>
      </c>
      <c r="B234" s="3" t="s">
        <v>729</v>
      </c>
      <c r="C234" s="43" t="s">
        <v>730</v>
      </c>
      <c r="D234" s="43" t="s">
        <v>731</v>
      </c>
      <c r="E234" s="3" t="s">
        <v>54</v>
      </c>
      <c r="F234" s="3"/>
      <c r="G234" s="3" t="s">
        <v>294</v>
      </c>
      <c r="H234" s="4" t="s">
        <v>738</v>
      </c>
      <c r="I234" s="5" t="n">
        <v>4200.0</v>
      </c>
      <c r="J234" s="6"/>
      <c r="K234" s="7" t="s">
        <v>57</v>
      </c>
      <c r="L234" s="6"/>
      <c r="M234" s="7" t="s">
        <v>57</v>
      </c>
      <c r="N234" s="6" t="s">
        <v>547</v>
      </c>
      <c r="O234" s="7" t="s">
        <v>739</v>
      </c>
      <c r="P234" s="6"/>
      <c r="Q234" s="7" t="s">
        <v>57</v>
      </c>
      <c r="R234" s="6" t="s">
        <v>547</v>
      </c>
      <c r="S234" s="7" t="s">
        <v>740</v>
      </c>
      <c r="T234" s="6"/>
      <c r="U234" s="7" t="s">
        <v>57</v>
      </c>
      <c r="V234" s="8" t="str">
        <f>"－"</f>
        <v>－</v>
      </c>
      <c r="W234" s="9" t="n">
        <f>690</f>
        <v>690.0</v>
      </c>
      <c r="X234" s="9" t="n">
        <v>690.0</v>
      </c>
      <c r="Y234" s="9" t="n">
        <f>10247000</f>
        <v>1.0247E7</v>
      </c>
      <c r="Z234" s="9" t="n">
        <v>1.0247E7</v>
      </c>
      <c r="AA234" s="9" t="str">
        <f>"－"</f>
        <v>－</v>
      </c>
      <c r="AB234" s="6" t="s">
        <v>58</v>
      </c>
      <c r="AC234" s="10" t="n">
        <f>690</f>
        <v>690.0</v>
      </c>
      <c r="AD234" s="9" t="str">
        <f>"－"</f>
        <v>－</v>
      </c>
    </row>
    <row r="235">
      <c r="A235" s="3" t="s">
        <v>50</v>
      </c>
      <c r="B235" s="3" t="s">
        <v>729</v>
      </c>
      <c r="C235" s="43" t="s">
        <v>730</v>
      </c>
      <c r="D235" s="43" t="s">
        <v>731</v>
      </c>
      <c r="E235" s="3" t="s">
        <v>54</v>
      </c>
      <c r="F235" s="3"/>
      <c r="G235" s="3" t="s">
        <v>84</v>
      </c>
      <c r="H235" s="4" t="s">
        <v>85</v>
      </c>
      <c r="I235" s="5" t="n">
        <v>4400.0</v>
      </c>
      <c r="J235" s="6"/>
      <c r="K235" s="7" t="s">
        <v>57</v>
      </c>
      <c r="L235" s="6"/>
      <c r="M235" s="7" t="s">
        <v>57</v>
      </c>
      <c r="N235" s="6" t="s">
        <v>318</v>
      </c>
      <c r="O235" s="7" t="s">
        <v>741</v>
      </c>
      <c r="P235" s="6"/>
      <c r="Q235" s="7" t="s">
        <v>57</v>
      </c>
      <c r="R235" s="6" t="s">
        <v>318</v>
      </c>
      <c r="S235" s="7" t="s">
        <v>741</v>
      </c>
      <c r="T235" s="6"/>
      <c r="U235" s="7" t="s">
        <v>57</v>
      </c>
      <c r="V235" s="8" t="str">
        <f>"－"</f>
        <v>－</v>
      </c>
      <c r="W235" s="9" t="n">
        <f>1182</f>
        <v>1182.0</v>
      </c>
      <c r="X235" s="9" t="n">
        <v>1182.0</v>
      </c>
      <c r="Y235" s="9" t="n">
        <f>11039880</f>
        <v>1.103988E7</v>
      </c>
      <c r="Z235" s="9" t="n">
        <v>1.103988E7</v>
      </c>
      <c r="AA235" s="9" t="str">
        <f>"－"</f>
        <v>－</v>
      </c>
      <c r="AB235" s="6" t="s">
        <v>58</v>
      </c>
      <c r="AC235" s="10" t="n">
        <f>1182</f>
        <v>1182.0</v>
      </c>
      <c r="AD235" s="9" t="str">
        <f>"－"</f>
        <v>－</v>
      </c>
    </row>
    <row r="236">
      <c r="A236" s="3" t="s">
        <v>50</v>
      </c>
      <c r="B236" s="3" t="s">
        <v>729</v>
      </c>
      <c r="C236" s="43" t="s">
        <v>730</v>
      </c>
      <c r="D236" s="43" t="s">
        <v>731</v>
      </c>
      <c r="E236" s="3" t="s">
        <v>54</v>
      </c>
      <c r="F236" s="3"/>
      <c r="G236" s="3" t="s">
        <v>96</v>
      </c>
      <c r="H236" s="4" t="s">
        <v>97</v>
      </c>
      <c r="I236" s="5" t="n">
        <v>4400.0</v>
      </c>
      <c r="J236" s="6"/>
      <c r="K236" s="7" t="s">
        <v>57</v>
      </c>
      <c r="L236" s="6"/>
      <c r="M236" s="7" t="s">
        <v>57</v>
      </c>
      <c r="N236" s="6" t="s">
        <v>94</v>
      </c>
      <c r="O236" s="7" t="s">
        <v>742</v>
      </c>
      <c r="P236" s="6"/>
      <c r="Q236" s="7" t="s">
        <v>57</v>
      </c>
      <c r="R236" s="6" t="s">
        <v>94</v>
      </c>
      <c r="S236" s="7" t="s">
        <v>742</v>
      </c>
      <c r="T236" s="6"/>
      <c r="U236" s="7" t="s">
        <v>57</v>
      </c>
      <c r="V236" s="8" t="str">
        <f>"－"</f>
        <v>－</v>
      </c>
      <c r="W236" s="9" t="n">
        <f>1842</f>
        <v>1842.0</v>
      </c>
      <c r="X236" s="9" t="n">
        <v>1842.0</v>
      </c>
      <c r="Y236" s="9" t="n">
        <f>12967680</f>
        <v>1.296768E7</v>
      </c>
      <c r="Z236" s="9" t="n">
        <v>1.296768E7</v>
      </c>
      <c r="AA236" s="9" t="n">
        <f>1842</f>
        <v>1842.0</v>
      </c>
      <c r="AB236" s="6" t="s">
        <v>58</v>
      </c>
      <c r="AC236" s="10" t="str">
        <f>"－"</f>
        <v>－</v>
      </c>
      <c r="AD236" s="9" t="str">
        <f>"－"</f>
        <v>－</v>
      </c>
    </row>
    <row r="237">
      <c r="A237" s="3" t="s">
        <v>50</v>
      </c>
      <c r="B237" s="3" t="s">
        <v>729</v>
      </c>
      <c r="C237" s="43" t="s">
        <v>730</v>
      </c>
      <c r="D237" s="43" t="s">
        <v>731</v>
      </c>
      <c r="E237" s="3" t="s">
        <v>54</v>
      </c>
      <c r="F237" s="3"/>
      <c r="G237" s="3" t="s">
        <v>127</v>
      </c>
      <c r="H237" s="4" t="s">
        <v>128</v>
      </c>
      <c r="I237" s="5" t="n">
        <v>4000.0</v>
      </c>
      <c r="J237" s="6"/>
      <c r="K237" s="7" t="s">
        <v>57</v>
      </c>
      <c r="L237" s="6"/>
      <c r="M237" s="7" t="s">
        <v>57</v>
      </c>
      <c r="N237" s="6" t="s">
        <v>411</v>
      </c>
      <c r="O237" s="7" t="s">
        <v>743</v>
      </c>
      <c r="P237" s="6"/>
      <c r="Q237" s="7" t="s">
        <v>57</v>
      </c>
      <c r="R237" s="6" t="s">
        <v>411</v>
      </c>
      <c r="S237" s="7" t="s">
        <v>743</v>
      </c>
      <c r="T237" s="6"/>
      <c r="U237" s="7" t="s">
        <v>57</v>
      </c>
      <c r="V237" s="8" t="str">
        <f>"－"</f>
        <v>－</v>
      </c>
      <c r="W237" s="9" t="n">
        <f>77</f>
        <v>77.0</v>
      </c>
      <c r="X237" s="9" t="n">
        <v>77.0</v>
      </c>
      <c r="Y237" s="9" t="n">
        <f>554400</f>
        <v>554400.0</v>
      </c>
      <c r="Z237" s="9" t="n">
        <v>554400.0</v>
      </c>
      <c r="AA237" s="9" t="str">
        <f>"－"</f>
        <v>－</v>
      </c>
      <c r="AB237" s="6" t="s">
        <v>58</v>
      </c>
      <c r="AC237" s="10" t="n">
        <f>77</f>
        <v>77.0</v>
      </c>
      <c r="AD237" s="9" t="str">
        <f>"－"</f>
        <v>－</v>
      </c>
    </row>
    <row r="238">
      <c r="A238" s="3" t="s">
        <v>50</v>
      </c>
      <c r="B238" s="3" t="s">
        <v>729</v>
      </c>
      <c r="C238" s="43" t="s">
        <v>730</v>
      </c>
      <c r="D238" s="43" t="s">
        <v>731</v>
      </c>
      <c r="E238" s="3" t="s">
        <v>54</v>
      </c>
      <c r="F238" s="3"/>
      <c r="G238" s="3" t="s">
        <v>100</v>
      </c>
      <c r="H238" s="4" t="s">
        <v>101</v>
      </c>
      <c r="I238" s="5" t="n">
        <v>4200.0</v>
      </c>
      <c r="J238" s="6"/>
      <c r="K238" s="7" t="s">
        <v>57</v>
      </c>
      <c r="L238" s="6"/>
      <c r="M238" s="7" t="s">
        <v>57</v>
      </c>
      <c r="N238" s="6" t="s">
        <v>429</v>
      </c>
      <c r="O238" s="7" t="s">
        <v>744</v>
      </c>
      <c r="P238" s="6"/>
      <c r="Q238" s="7" t="s">
        <v>57</v>
      </c>
      <c r="R238" s="6" t="s">
        <v>429</v>
      </c>
      <c r="S238" s="7" t="s">
        <v>745</v>
      </c>
      <c r="T238" s="6"/>
      <c r="U238" s="7" t="s">
        <v>57</v>
      </c>
      <c r="V238" s="8" t="str">
        <f>"－"</f>
        <v>－</v>
      </c>
      <c r="W238" s="9" t="n">
        <f>1494</f>
        <v>1494.0</v>
      </c>
      <c r="X238" s="9" t="n">
        <v>1494.0</v>
      </c>
      <c r="Y238" s="9" t="n">
        <f>17238010</f>
        <v>1.723801E7</v>
      </c>
      <c r="Z238" s="9" t="n">
        <v>1.723801E7</v>
      </c>
      <c r="AA238" s="9" t="str">
        <f>"－"</f>
        <v>－</v>
      </c>
      <c r="AB238" s="6"/>
      <c r="AC238" s="10" t="n">
        <f>1494</f>
        <v>1494.0</v>
      </c>
      <c r="AD238" s="9" t="str">
        <f>"－"</f>
        <v>－</v>
      </c>
    </row>
    <row r="239">
      <c r="A239" s="3" t="s">
        <v>50</v>
      </c>
      <c r="B239" s="3" t="s">
        <v>729</v>
      </c>
      <c r="C239" s="43" t="s">
        <v>730</v>
      </c>
      <c r="D239" s="43" t="s">
        <v>731</v>
      </c>
      <c r="E239" s="3" t="s">
        <v>54</v>
      </c>
      <c r="F239" s="3"/>
      <c r="G239" s="3" t="s">
        <v>457</v>
      </c>
      <c r="H239" s="4" t="s">
        <v>465</v>
      </c>
      <c r="I239" s="5" t="n">
        <v>4200.0</v>
      </c>
      <c r="J239" s="6"/>
      <c r="K239" s="7" t="s">
        <v>57</v>
      </c>
      <c r="L239" s="6"/>
      <c r="M239" s="7" t="s">
        <v>57</v>
      </c>
      <c r="N239" s="6" t="s">
        <v>452</v>
      </c>
      <c r="O239" s="7" t="s">
        <v>746</v>
      </c>
      <c r="P239" s="6"/>
      <c r="Q239" s="7" t="s">
        <v>57</v>
      </c>
      <c r="R239" s="6" t="s">
        <v>452</v>
      </c>
      <c r="S239" s="7" t="s">
        <v>746</v>
      </c>
      <c r="T239" s="6"/>
      <c r="U239" s="7" t="s">
        <v>57</v>
      </c>
      <c r="V239" s="8" t="str">
        <f>"－"</f>
        <v>－</v>
      </c>
      <c r="W239" s="9" t="n">
        <f>48</f>
        <v>48.0</v>
      </c>
      <c r="X239" s="9" t="n">
        <v>48.0</v>
      </c>
      <c r="Y239" s="9" t="n">
        <f>432000</f>
        <v>432000.0</v>
      </c>
      <c r="Z239" s="9" t="n">
        <v>432000.0</v>
      </c>
      <c r="AA239" s="9" t="str">
        <f>"－"</f>
        <v>－</v>
      </c>
      <c r="AB239" s="6"/>
      <c r="AC239" s="10" t="n">
        <f>48</f>
        <v>48.0</v>
      </c>
      <c r="AD239" s="9" t="str">
        <f>"－"</f>
        <v>－</v>
      </c>
    </row>
    <row r="240">
      <c r="A240" s="3" t="s">
        <v>50</v>
      </c>
      <c r="B240" s="3" t="s">
        <v>747</v>
      </c>
      <c r="C240" s="43" t="s">
        <v>748</v>
      </c>
      <c r="D240" s="43" t="s">
        <v>749</v>
      </c>
      <c r="E240" s="3" t="s">
        <v>54</v>
      </c>
      <c r="F240" s="3"/>
      <c r="G240" s="3" t="s">
        <v>294</v>
      </c>
      <c r="H240" s="4" t="s">
        <v>750</v>
      </c>
      <c r="I240" s="5" t="n">
        <v>4000.0</v>
      </c>
      <c r="J240" s="6" t="s">
        <v>563</v>
      </c>
      <c r="K240" s="7" t="s">
        <v>751</v>
      </c>
      <c r="L240" s="6" t="s">
        <v>563</v>
      </c>
      <c r="M240" s="7" t="s">
        <v>751</v>
      </c>
      <c r="N240" s="6"/>
      <c r="O240" s="7"/>
      <c r="P240" s="6" t="s">
        <v>563</v>
      </c>
      <c r="Q240" s="7" t="s">
        <v>751</v>
      </c>
      <c r="R240" s="6"/>
      <c r="S240" s="7"/>
      <c r="T240" s="6" t="s">
        <v>563</v>
      </c>
      <c r="U240" s="7" t="s">
        <v>751</v>
      </c>
      <c r="V240" s="8" t="n">
        <f>139.5</f>
        <v>139.5</v>
      </c>
      <c r="W240" s="9" t="n">
        <f>1</f>
        <v>1.0</v>
      </c>
      <c r="X240" s="9"/>
      <c r="Y240" s="9" t="n">
        <f>13950</f>
        <v>13950.0</v>
      </c>
      <c r="Z240" s="9"/>
      <c r="AA240" s="9" t="str">
        <f>"－"</f>
        <v>－</v>
      </c>
      <c r="AB240" s="6" t="s">
        <v>58</v>
      </c>
      <c r="AC240" s="10" t="n">
        <f>1</f>
        <v>1.0</v>
      </c>
      <c r="AD240" s="9" t="n">
        <f>1</f>
        <v>1.0</v>
      </c>
    </row>
    <row r="241">
      <c r="A241" s="3" t="s">
        <v>50</v>
      </c>
      <c r="B241" s="3" t="s">
        <v>747</v>
      </c>
      <c r="C241" s="43" t="s">
        <v>748</v>
      </c>
      <c r="D241" s="43" t="s">
        <v>749</v>
      </c>
      <c r="E241" s="3" t="s">
        <v>104</v>
      </c>
      <c r="F241" s="3"/>
      <c r="G241" s="3" t="s">
        <v>88</v>
      </c>
      <c r="H241" s="4" t="s">
        <v>89</v>
      </c>
      <c r="I241" s="5" t="n">
        <v>4800.0</v>
      </c>
      <c r="J241" s="6" t="s">
        <v>752</v>
      </c>
      <c r="K241" s="7" t="s">
        <v>753</v>
      </c>
      <c r="L241" s="6" t="s">
        <v>752</v>
      </c>
      <c r="M241" s="7" t="s">
        <v>753</v>
      </c>
      <c r="N241" s="6"/>
      <c r="O241" s="7"/>
      <c r="P241" s="6" t="s">
        <v>752</v>
      </c>
      <c r="Q241" s="7" t="s">
        <v>753</v>
      </c>
      <c r="R241" s="6"/>
      <c r="S241" s="7"/>
      <c r="T241" s="6" t="s">
        <v>752</v>
      </c>
      <c r="U241" s="7" t="s">
        <v>753</v>
      </c>
      <c r="V241" s="8" t="n">
        <f>15</f>
        <v>15.0</v>
      </c>
      <c r="W241" s="9" t="n">
        <f>1</f>
        <v>1.0</v>
      </c>
      <c r="X241" s="9"/>
      <c r="Y241" s="9" t="n">
        <f>1500</f>
        <v>1500.0</v>
      </c>
      <c r="Z241" s="9"/>
      <c r="AA241" s="9" t="str">
        <f>"－"</f>
        <v>－</v>
      </c>
      <c r="AB241" s="6" t="s">
        <v>58</v>
      </c>
      <c r="AC241" s="10" t="n">
        <f>1</f>
        <v>1.0</v>
      </c>
      <c r="AD241" s="9" t="n">
        <f>1</f>
        <v>1.0</v>
      </c>
    </row>
    <row r="242">
      <c r="A242" s="3" t="s">
        <v>50</v>
      </c>
      <c r="B242" s="3" t="s">
        <v>754</v>
      </c>
      <c r="C242" s="43" t="s">
        <v>755</v>
      </c>
      <c r="D242" s="43" t="s">
        <v>756</v>
      </c>
      <c r="E242" s="3" t="s">
        <v>54</v>
      </c>
      <c r="F242" s="3"/>
      <c r="G242" s="3" t="s">
        <v>63</v>
      </c>
      <c r="H242" s="4" t="s">
        <v>757</v>
      </c>
      <c r="I242" s="5" t="n">
        <v>3400.0</v>
      </c>
      <c r="J242" s="6" t="s">
        <v>156</v>
      </c>
      <c r="K242" s="7" t="s">
        <v>581</v>
      </c>
      <c r="L242" s="6" t="s">
        <v>156</v>
      </c>
      <c r="M242" s="7" t="s">
        <v>581</v>
      </c>
      <c r="N242" s="6"/>
      <c r="O242" s="7"/>
      <c r="P242" s="6" t="s">
        <v>156</v>
      </c>
      <c r="Q242" s="7" t="s">
        <v>581</v>
      </c>
      <c r="R242" s="6"/>
      <c r="S242" s="7"/>
      <c r="T242" s="6" t="s">
        <v>156</v>
      </c>
      <c r="U242" s="7" t="s">
        <v>581</v>
      </c>
      <c r="V242" s="8" t="n">
        <f>120</f>
        <v>120.0</v>
      </c>
      <c r="W242" s="9" t="n">
        <f>1</f>
        <v>1.0</v>
      </c>
      <c r="X242" s="9"/>
      <c r="Y242" s="9" t="n">
        <f>12000</f>
        <v>12000.0</v>
      </c>
      <c r="Z242" s="9"/>
      <c r="AA242" s="9" t="str">
        <f>"－"</f>
        <v>－</v>
      </c>
      <c r="AB242" s="6" t="s">
        <v>58</v>
      </c>
      <c r="AC242" s="10" t="n">
        <f>1</f>
        <v>1.0</v>
      </c>
      <c r="AD242" s="9" t="n">
        <f>1</f>
        <v>1.0</v>
      </c>
    </row>
    <row r="243">
      <c r="A243" s="3" t="s">
        <v>50</v>
      </c>
      <c r="B243" s="3" t="s">
        <v>754</v>
      </c>
      <c r="C243" s="43" t="s">
        <v>755</v>
      </c>
      <c r="D243" s="43" t="s">
        <v>756</v>
      </c>
      <c r="E243" s="3" t="s">
        <v>104</v>
      </c>
      <c r="F243" s="3"/>
      <c r="G243" s="3" t="s">
        <v>127</v>
      </c>
      <c r="H243" s="4" t="s">
        <v>758</v>
      </c>
      <c r="I243" s="5" t="n">
        <v>2600.0</v>
      </c>
      <c r="J243" s="6"/>
      <c r="K243" s="7" t="s">
        <v>57</v>
      </c>
      <c r="L243" s="6"/>
      <c r="M243" s="7" t="s">
        <v>57</v>
      </c>
      <c r="N243" s="6" t="s">
        <v>431</v>
      </c>
      <c r="O243" s="7" t="s">
        <v>759</v>
      </c>
      <c r="P243" s="6"/>
      <c r="Q243" s="7" t="s">
        <v>57</v>
      </c>
      <c r="R243" s="6" t="s">
        <v>594</v>
      </c>
      <c r="S243" s="7" t="s">
        <v>760</v>
      </c>
      <c r="T243" s="6"/>
      <c r="U243" s="7" t="s">
        <v>57</v>
      </c>
      <c r="V243" s="8" t="str">
        <f>"－"</f>
        <v>－</v>
      </c>
      <c r="W243" s="9" t="n">
        <f>100</f>
        <v>100.0</v>
      </c>
      <c r="X243" s="9" t="n">
        <v>100.0</v>
      </c>
      <c r="Y243" s="9" t="n">
        <f>15456000</f>
        <v>1.5456E7</v>
      </c>
      <c r="Z243" s="9" t="n">
        <v>1.5456E7</v>
      </c>
      <c r="AA243" s="9" t="str">
        <f>"－"</f>
        <v>－</v>
      </c>
      <c r="AB243" s="6" t="s">
        <v>58</v>
      </c>
      <c r="AC243" s="10" t="str">
        <f>"－"</f>
        <v>－</v>
      </c>
      <c r="AD243" s="9" t="str">
        <f>"－"</f>
        <v>－</v>
      </c>
    </row>
    <row r="244">
      <c r="A244" s="3" t="s">
        <v>50</v>
      </c>
      <c r="B244" s="3" t="s">
        <v>761</v>
      </c>
      <c r="C244" s="43" t="s">
        <v>762</v>
      </c>
      <c r="D244" s="43" t="s">
        <v>763</v>
      </c>
      <c r="E244" s="3" t="s">
        <v>104</v>
      </c>
      <c r="F244" s="3"/>
      <c r="G244" s="3" t="s">
        <v>80</v>
      </c>
      <c r="H244" s="4" t="s">
        <v>81</v>
      </c>
      <c r="I244" s="5" t="n">
        <v>2200.0</v>
      </c>
      <c r="J244" s="6" t="s">
        <v>764</v>
      </c>
      <c r="K244" s="7" t="s">
        <v>765</v>
      </c>
      <c r="L244" s="6" t="s">
        <v>764</v>
      </c>
      <c r="M244" s="7" t="s">
        <v>765</v>
      </c>
      <c r="N244" s="6"/>
      <c r="O244" s="7"/>
      <c r="P244" s="6" t="s">
        <v>764</v>
      </c>
      <c r="Q244" s="7" t="s">
        <v>765</v>
      </c>
      <c r="R244" s="6"/>
      <c r="S244" s="7"/>
      <c r="T244" s="6" t="s">
        <v>764</v>
      </c>
      <c r="U244" s="7" t="s">
        <v>765</v>
      </c>
      <c r="V244" s="8" t="n">
        <f>150</f>
        <v>150.0</v>
      </c>
      <c r="W244" s="9" t="n">
        <f>1</f>
        <v>1.0</v>
      </c>
      <c r="X244" s="9"/>
      <c r="Y244" s="9" t="n">
        <f>15000</f>
        <v>15000.0</v>
      </c>
      <c r="Z244" s="9"/>
      <c r="AA244" s="9" t="n">
        <f>1</f>
        <v>1.0</v>
      </c>
      <c r="AB244" s="6" t="s">
        <v>58</v>
      </c>
      <c r="AC244" s="10" t="str">
        <f>"－"</f>
        <v>－</v>
      </c>
      <c r="AD244" s="9" t="n">
        <f>1</f>
        <v>1.0</v>
      </c>
    </row>
    <row r="245">
      <c r="A245" s="3" t="s">
        <v>50</v>
      </c>
      <c r="B245" s="3" t="s">
        <v>766</v>
      </c>
      <c r="C245" s="43" t="s">
        <v>767</v>
      </c>
      <c r="D245" s="43" t="s">
        <v>768</v>
      </c>
      <c r="E245" s="3" t="s">
        <v>54</v>
      </c>
      <c r="F245" s="3"/>
      <c r="G245" s="3" t="s">
        <v>88</v>
      </c>
      <c r="H245" s="4" t="s">
        <v>89</v>
      </c>
      <c r="I245" s="5" t="n">
        <v>3000.0</v>
      </c>
      <c r="J245" s="6" t="s">
        <v>769</v>
      </c>
      <c r="K245" s="7" t="s">
        <v>770</v>
      </c>
      <c r="L245" s="6" t="s">
        <v>769</v>
      </c>
      <c r="M245" s="7" t="s">
        <v>770</v>
      </c>
      <c r="N245" s="6"/>
      <c r="O245" s="7"/>
      <c r="P245" s="6" t="s">
        <v>383</v>
      </c>
      <c r="Q245" s="7" t="s">
        <v>71</v>
      </c>
      <c r="R245" s="6"/>
      <c r="S245" s="7"/>
      <c r="T245" s="6" t="s">
        <v>383</v>
      </c>
      <c r="U245" s="7" t="s">
        <v>71</v>
      </c>
      <c r="V245" s="8" t="n">
        <f>67.53</f>
        <v>67.53</v>
      </c>
      <c r="W245" s="9" t="n">
        <f>6</f>
        <v>6.0</v>
      </c>
      <c r="X245" s="9"/>
      <c r="Y245" s="9" t="n">
        <f>40520</f>
        <v>40520.0</v>
      </c>
      <c r="Z245" s="9"/>
      <c r="AA245" s="9" t="n">
        <f>2</f>
        <v>2.0</v>
      </c>
      <c r="AB245" s="6" t="s">
        <v>58</v>
      </c>
      <c r="AC245" s="10" t="str">
        <f>"－"</f>
        <v>－</v>
      </c>
      <c r="AD245" s="9" t="n">
        <f>3</f>
        <v>3.0</v>
      </c>
    </row>
    <row r="246">
      <c r="A246" s="3" t="s">
        <v>50</v>
      </c>
      <c r="B246" s="3" t="s">
        <v>771</v>
      </c>
      <c r="C246" s="43" t="s">
        <v>772</v>
      </c>
      <c r="D246" s="43" t="s">
        <v>773</v>
      </c>
      <c r="E246" s="3" t="s">
        <v>104</v>
      </c>
      <c r="F246" s="3"/>
      <c r="G246" s="3" t="s">
        <v>59</v>
      </c>
      <c r="H246" s="4" t="s">
        <v>153</v>
      </c>
      <c r="I246" s="5" t="n">
        <v>550.0</v>
      </c>
      <c r="J246" s="6"/>
      <c r="K246" s="7" t="s">
        <v>57</v>
      </c>
      <c r="L246" s="6"/>
      <c r="M246" s="7" t="s">
        <v>57</v>
      </c>
      <c r="N246" s="6" t="s">
        <v>137</v>
      </c>
      <c r="O246" s="7" t="s">
        <v>774</v>
      </c>
      <c r="P246" s="6"/>
      <c r="Q246" s="7" t="s">
        <v>57</v>
      </c>
      <c r="R246" s="6" t="s">
        <v>150</v>
      </c>
      <c r="S246" s="7" t="s">
        <v>775</v>
      </c>
      <c r="T246" s="6"/>
      <c r="U246" s="7" t="s">
        <v>57</v>
      </c>
      <c r="V246" s="8" t="str">
        <f>"－"</f>
        <v>－</v>
      </c>
      <c r="W246" s="9" t="n">
        <f>440</f>
        <v>440.0</v>
      </c>
      <c r="X246" s="9" t="n">
        <v>440.0</v>
      </c>
      <c r="Y246" s="9" t="n">
        <f>7955200</f>
        <v>7955200.0</v>
      </c>
      <c r="Z246" s="9" t="n">
        <v>7955200.0</v>
      </c>
      <c r="AA246" s="9" t="str">
        <f>"－"</f>
        <v>－</v>
      </c>
      <c r="AB246" s="6" t="s">
        <v>58</v>
      </c>
      <c r="AC246" s="10" t="str">
        <f>"－"</f>
        <v>－</v>
      </c>
      <c r="AD246" s="9" t="str">
        <f>"－"</f>
        <v>－</v>
      </c>
    </row>
    <row r="247">
      <c r="A247" s="3" t="s">
        <v>50</v>
      </c>
      <c r="B247" s="3" t="s">
        <v>771</v>
      </c>
      <c r="C247" s="43" t="s">
        <v>772</v>
      </c>
      <c r="D247" s="43" t="s">
        <v>773</v>
      </c>
      <c r="E247" s="3" t="s">
        <v>104</v>
      </c>
      <c r="F247" s="3"/>
      <c r="G247" s="3" t="s">
        <v>96</v>
      </c>
      <c r="H247" s="4" t="s">
        <v>97</v>
      </c>
      <c r="I247" s="5" t="n">
        <v>750.0</v>
      </c>
      <c r="J247" s="6" t="s">
        <v>401</v>
      </c>
      <c r="K247" s="7" t="s">
        <v>776</v>
      </c>
      <c r="L247" s="6" t="s">
        <v>401</v>
      </c>
      <c r="M247" s="7" t="s">
        <v>776</v>
      </c>
      <c r="N247" s="6"/>
      <c r="O247" s="7"/>
      <c r="P247" s="6" t="s">
        <v>401</v>
      </c>
      <c r="Q247" s="7" t="s">
        <v>776</v>
      </c>
      <c r="R247" s="6"/>
      <c r="S247" s="7"/>
      <c r="T247" s="6" t="s">
        <v>401</v>
      </c>
      <c r="U247" s="7" t="s">
        <v>776</v>
      </c>
      <c r="V247" s="8" t="n">
        <f>5.7</f>
        <v>5.7</v>
      </c>
      <c r="W247" s="9" t="n">
        <f>3</f>
        <v>3.0</v>
      </c>
      <c r="X247" s="9"/>
      <c r="Y247" s="9" t="n">
        <f>1710</f>
        <v>1710.0</v>
      </c>
      <c r="Z247" s="9"/>
      <c r="AA247" s="9" t="str">
        <f>"－"</f>
        <v>－</v>
      </c>
      <c r="AB247" s="6" t="s">
        <v>58</v>
      </c>
      <c r="AC247" s="10" t="n">
        <f>3</f>
        <v>3.0</v>
      </c>
      <c r="AD247" s="9" t="n">
        <f>1</f>
        <v>1.0</v>
      </c>
    </row>
    <row r="248">
      <c r="A248" s="3" t="s">
        <v>50</v>
      </c>
      <c r="B248" s="3" t="s">
        <v>771</v>
      </c>
      <c r="C248" s="43" t="s">
        <v>772</v>
      </c>
      <c r="D248" s="43" t="s">
        <v>773</v>
      </c>
      <c r="E248" s="3" t="s">
        <v>104</v>
      </c>
      <c r="F248" s="3"/>
      <c r="G248" s="3" t="s">
        <v>100</v>
      </c>
      <c r="H248" s="4" t="s">
        <v>101</v>
      </c>
      <c r="I248" s="5" t="n">
        <v>800.0</v>
      </c>
      <c r="J248" s="6" t="s">
        <v>670</v>
      </c>
      <c r="K248" s="7" t="s">
        <v>122</v>
      </c>
      <c r="L248" s="6" t="s">
        <v>670</v>
      </c>
      <c r="M248" s="7" t="s">
        <v>122</v>
      </c>
      <c r="N248" s="6"/>
      <c r="O248" s="7"/>
      <c r="P248" s="6" t="s">
        <v>670</v>
      </c>
      <c r="Q248" s="7" t="s">
        <v>122</v>
      </c>
      <c r="R248" s="6"/>
      <c r="S248" s="7"/>
      <c r="T248" s="6" t="s">
        <v>670</v>
      </c>
      <c r="U248" s="7" t="s">
        <v>122</v>
      </c>
      <c r="V248" s="8" t="n">
        <f>2.9</f>
        <v>2.9</v>
      </c>
      <c r="W248" s="9" t="n">
        <f>3</f>
        <v>3.0</v>
      </c>
      <c r="X248" s="9"/>
      <c r="Y248" s="9" t="n">
        <f>870</f>
        <v>870.0</v>
      </c>
      <c r="Z248" s="9"/>
      <c r="AA248" s="9" t="str">
        <f>"－"</f>
        <v>－</v>
      </c>
      <c r="AB248" s="6"/>
      <c r="AC248" s="10" t="n">
        <f>3</f>
        <v>3.0</v>
      </c>
      <c r="AD248" s="9" t="n">
        <f>1</f>
        <v>1.0</v>
      </c>
    </row>
    <row r="249">
      <c r="A249" s="3" t="s">
        <v>50</v>
      </c>
      <c r="B249" s="3" t="s">
        <v>777</v>
      </c>
      <c r="C249" s="43" t="s">
        <v>778</v>
      </c>
      <c r="D249" s="43" t="s">
        <v>779</v>
      </c>
      <c r="E249" s="3" t="s">
        <v>54</v>
      </c>
      <c r="F249" s="3"/>
      <c r="G249" s="3" t="s">
        <v>127</v>
      </c>
      <c r="H249" s="4" t="s">
        <v>780</v>
      </c>
      <c r="I249" s="5" t="n">
        <v>1400.0</v>
      </c>
      <c r="J249" s="6"/>
      <c r="K249" s="7" t="s">
        <v>57</v>
      </c>
      <c r="L249" s="6"/>
      <c r="M249" s="7" t="s">
        <v>57</v>
      </c>
      <c r="N249" s="6" t="s">
        <v>392</v>
      </c>
      <c r="O249" s="7" t="s">
        <v>781</v>
      </c>
      <c r="P249" s="6"/>
      <c r="Q249" s="7" t="s">
        <v>57</v>
      </c>
      <c r="R249" s="6" t="s">
        <v>431</v>
      </c>
      <c r="S249" s="7" t="s">
        <v>782</v>
      </c>
      <c r="T249" s="6"/>
      <c r="U249" s="7" t="s">
        <v>57</v>
      </c>
      <c r="V249" s="8" t="str">
        <f>"－"</f>
        <v>－</v>
      </c>
      <c r="W249" s="9" t="n">
        <f>220</f>
        <v>220.0</v>
      </c>
      <c r="X249" s="9" t="n">
        <v>220.0</v>
      </c>
      <c r="Y249" s="9" t="n">
        <f>7566900</f>
        <v>7566900.0</v>
      </c>
      <c r="Z249" s="9" t="n">
        <v>7566900.0</v>
      </c>
      <c r="AA249" s="9" t="str">
        <f>"－"</f>
        <v>－</v>
      </c>
      <c r="AB249" s="6" t="s">
        <v>58</v>
      </c>
      <c r="AC249" s="10" t="str">
        <f>"－"</f>
        <v>－</v>
      </c>
      <c r="AD249" s="9" t="str">
        <f>"－"</f>
        <v>－</v>
      </c>
    </row>
    <row r="250">
      <c r="A250" s="3" t="s">
        <v>50</v>
      </c>
      <c r="B250" s="3" t="s">
        <v>783</v>
      </c>
      <c r="C250" s="43" t="s">
        <v>784</v>
      </c>
      <c r="D250" s="43" t="s">
        <v>785</v>
      </c>
      <c r="E250" s="3" t="s">
        <v>104</v>
      </c>
      <c r="F250" s="3"/>
      <c r="G250" s="3" t="s">
        <v>88</v>
      </c>
      <c r="H250" s="4" t="s">
        <v>89</v>
      </c>
      <c r="I250" s="5" t="n">
        <v>950.0</v>
      </c>
      <c r="J250" s="6" t="s">
        <v>592</v>
      </c>
      <c r="K250" s="7" t="s">
        <v>728</v>
      </c>
      <c r="L250" s="6" t="s">
        <v>592</v>
      </c>
      <c r="M250" s="7" t="s">
        <v>728</v>
      </c>
      <c r="N250" s="6"/>
      <c r="O250" s="7"/>
      <c r="P250" s="6" t="s">
        <v>592</v>
      </c>
      <c r="Q250" s="7" t="s">
        <v>728</v>
      </c>
      <c r="R250" s="6"/>
      <c r="S250" s="7"/>
      <c r="T250" s="6" t="s">
        <v>592</v>
      </c>
      <c r="U250" s="7" t="s">
        <v>728</v>
      </c>
      <c r="V250" s="8" t="n">
        <f>30.4</f>
        <v>30.4</v>
      </c>
      <c r="W250" s="9" t="n">
        <f>1</f>
        <v>1.0</v>
      </c>
      <c r="X250" s="9"/>
      <c r="Y250" s="9" t="n">
        <f>3040</f>
        <v>3040.0</v>
      </c>
      <c r="Z250" s="9"/>
      <c r="AA250" s="9" t="str">
        <f>"－"</f>
        <v>－</v>
      </c>
      <c r="AB250" s="6" t="s">
        <v>58</v>
      </c>
      <c r="AC250" s="10" t="n">
        <f>1</f>
        <v>1.0</v>
      </c>
      <c r="AD250" s="9" t="n">
        <f>1</f>
        <v>1.0</v>
      </c>
    </row>
    <row r="251">
      <c r="A251" s="3" t="s">
        <v>50</v>
      </c>
      <c r="B251" s="3" t="s">
        <v>786</v>
      </c>
      <c r="C251" s="43" t="s">
        <v>787</v>
      </c>
      <c r="D251" s="43" t="s">
        <v>788</v>
      </c>
      <c r="E251" s="3" t="s">
        <v>104</v>
      </c>
      <c r="F251" s="3"/>
      <c r="G251" s="3" t="s">
        <v>55</v>
      </c>
      <c r="H251" s="4" t="s">
        <v>56</v>
      </c>
      <c r="I251" s="5" t="n">
        <v>2600.0</v>
      </c>
      <c r="J251" s="6"/>
      <c r="K251" s="7" t="s">
        <v>57</v>
      </c>
      <c r="L251" s="6"/>
      <c r="M251" s="7" t="s">
        <v>57</v>
      </c>
      <c r="N251" s="6"/>
      <c r="O251" s="7"/>
      <c r="P251" s="6"/>
      <c r="Q251" s="7" t="s">
        <v>57</v>
      </c>
      <c r="R251" s="6"/>
      <c r="S251" s="7"/>
      <c r="T251" s="6"/>
      <c r="U251" s="7" t="s">
        <v>57</v>
      </c>
      <c r="V251" s="8" t="str">
        <f>"－"</f>
        <v>－</v>
      </c>
      <c r="W251" s="9" t="str">
        <f>"－"</f>
        <v>－</v>
      </c>
      <c r="X251" s="9"/>
      <c r="Y251" s="9" t="str">
        <f>"－"</f>
        <v>－</v>
      </c>
      <c r="Z251" s="9"/>
      <c r="AA251" s="9" t="str">
        <f>"－"</f>
        <v>－</v>
      </c>
      <c r="AB251" s="6" t="s">
        <v>58</v>
      </c>
      <c r="AC251" s="10" t="n">
        <f>670</f>
        <v>670.0</v>
      </c>
      <c r="AD251" s="9" t="str">
        <f>"－"</f>
        <v>－</v>
      </c>
    </row>
    <row r="252">
      <c r="A252" s="3" t="s">
        <v>50</v>
      </c>
      <c r="B252" s="3" t="s">
        <v>789</v>
      </c>
      <c r="C252" s="43" t="s">
        <v>790</v>
      </c>
      <c r="D252" s="43" t="s">
        <v>791</v>
      </c>
      <c r="E252" s="3" t="s">
        <v>54</v>
      </c>
      <c r="F252" s="3"/>
      <c r="G252" s="3" t="s">
        <v>80</v>
      </c>
      <c r="H252" s="4" t="s">
        <v>81</v>
      </c>
      <c r="I252" s="5" t="n">
        <v>900.0</v>
      </c>
      <c r="J252" s="6" t="s">
        <v>568</v>
      </c>
      <c r="K252" s="7" t="s">
        <v>792</v>
      </c>
      <c r="L252" s="6" t="s">
        <v>568</v>
      </c>
      <c r="M252" s="7" t="s">
        <v>792</v>
      </c>
      <c r="N252" s="6"/>
      <c r="O252" s="7"/>
      <c r="P252" s="6" t="s">
        <v>570</v>
      </c>
      <c r="Q252" s="7" t="s">
        <v>95</v>
      </c>
      <c r="R252" s="6"/>
      <c r="S252" s="7"/>
      <c r="T252" s="6" t="s">
        <v>570</v>
      </c>
      <c r="U252" s="7" t="s">
        <v>95</v>
      </c>
      <c r="V252" s="8" t="n">
        <f>25.95</f>
        <v>25.95</v>
      </c>
      <c r="W252" s="9" t="n">
        <f>4</f>
        <v>4.0</v>
      </c>
      <c r="X252" s="9"/>
      <c r="Y252" s="9" t="n">
        <f>10380</f>
        <v>10380.0</v>
      </c>
      <c r="Z252" s="9"/>
      <c r="AA252" s="9" t="n">
        <f>2</f>
        <v>2.0</v>
      </c>
      <c r="AB252" s="6" t="s">
        <v>58</v>
      </c>
      <c r="AC252" s="10" t="str">
        <f>"－"</f>
        <v>－</v>
      </c>
      <c r="AD252" s="9" t="n">
        <f>2</f>
        <v>2.0</v>
      </c>
    </row>
    <row r="253">
      <c r="A253" s="3" t="s">
        <v>50</v>
      </c>
      <c r="B253" s="3" t="s">
        <v>789</v>
      </c>
      <c r="C253" s="43" t="s">
        <v>790</v>
      </c>
      <c r="D253" s="43" t="s">
        <v>791</v>
      </c>
      <c r="E253" s="3" t="s">
        <v>54</v>
      </c>
      <c r="F253" s="3"/>
      <c r="G253" s="3" t="s">
        <v>84</v>
      </c>
      <c r="H253" s="4" t="s">
        <v>702</v>
      </c>
      <c r="I253" s="5" t="n">
        <v>900.0</v>
      </c>
      <c r="J253" s="6" t="s">
        <v>570</v>
      </c>
      <c r="K253" s="7" t="s">
        <v>793</v>
      </c>
      <c r="L253" s="6" t="s">
        <v>570</v>
      </c>
      <c r="M253" s="7" t="s">
        <v>793</v>
      </c>
      <c r="N253" s="6"/>
      <c r="O253" s="7"/>
      <c r="P253" s="6" t="s">
        <v>794</v>
      </c>
      <c r="Q253" s="7" t="s">
        <v>795</v>
      </c>
      <c r="R253" s="6"/>
      <c r="S253" s="7"/>
      <c r="T253" s="6" t="s">
        <v>794</v>
      </c>
      <c r="U253" s="7" t="s">
        <v>795</v>
      </c>
      <c r="V253" s="8" t="n">
        <f>19.45</f>
        <v>19.45</v>
      </c>
      <c r="W253" s="9" t="n">
        <f>10</f>
        <v>10.0</v>
      </c>
      <c r="X253" s="9"/>
      <c r="Y253" s="9" t="n">
        <f>19450</f>
        <v>19450.0</v>
      </c>
      <c r="Z253" s="9"/>
      <c r="AA253" s="9" t="n">
        <f>5</f>
        <v>5.0</v>
      </c>
      <c r="AB253" s="6" t="s">
        <v>58</v>
      </c>
      <c r="AC253" s="10" t="str">
        <f>"－"</f>
        <v>－</v>
      </c>
      <c r="AD253" s="9" t="n">
        <f>2</f>
        <v>2.0</v>
      </c>
    </row>
    <row r="254">
      <c r="A254" s="3" t="s">
        <v>50</v>
      </c>
      <c r="B254" s="3" t="s">
        <v>789</v>
      </c>
      <c r="C254" s="43" t="s">
        <v>790</v>
      </c>
      <c r="D254" s="43" t="s">
        <v>791</v>
      </c>
      <c r="E254" s="3" t="s">
        <v>104</v>
      </c>
      <c r="F254" s="3"/>
      <c r="G254" s="3" t="s">
        <v>88</v>
      </c>
      <c r="H254" s="4" t="s">
        <v>89</v>
      </c>
      <c r="I254" s="5" t="n">
        <v>900.0</v>
      </c>
      <c r="J254" s="6" t="s">
        <v>401</v>
      </c>
      <c r="K254" s="7" t="s">
        <v>796</v>
      </c>
      <c r="L254" s="6" t="s">
        <v>401</v>
      </c>
      <c r="M254" s="7" t="s">
        <v>796</v>
      </c>
      <c r="N254" s="6"/>
      <c r="O254" s="7"/>
      <c r="P254" s="6" t="s">
        <v>401</v>
      </c>
      <c r="Q254" s="7" t="s">
        <v>796</v>
      </c>
      <c r="R254" s="6"/>
      <c r="S254" s="7"/>
      <c r="T254" s="6" t="s">
        <v>401</v>
      </c>
      <c r="U254" s="7" t="s">
        <v>796</v>
      </c>
      <c r="V254" s="8" t="n">
        <f>19.4</f>
        <v>19.4</v>
      </c>
      <c r="W254" s="9" t="n">
        <f>5</f>
        <v>5.0</v>
      </c>
      <c r="X254" s="9"/>
      <c r="Y254" s="9" t="n">
        <f>9700</f>
        <v>9700.0</v>
      </c>
      <c r="Z254" s="9"/>
      <c r="AA254" s="9" t="n">
        <f>5</f>
        <v>5.0</v>
      </c>
      <c r="AB254" s="6" t="s">
        <v>58</v>
      </c>
      <c r="AC254" s="10" t="str">
        <f>"－"</f>
        <v>－</v>
      </c>
      <c r="AD254" s="9" t="n">
        <f>1</f>
        <v>1.0</v>
      </c>
    </row>
    <row r="255">
      <c r="A255" s="3" t="s">
        <v>50</v>
      </c>
      <c r="B255" s="3" t="s">
        <v>797</v>
      </c>
      <c r="C255" s="43" t="s">
        <v>798</v>
      </c>
      <c r="D255" s="43" t="s">
        <v>799</v>
      </c>
      <c r="E255" s="3" t="s">
        <v>54</v>
      </c>
      <c r="F255" s="3"/>
      <c r="G255" s="3" t="s">
        <v>63</v>
      </c>
      <c r="H255" s="4" t="s">
        <v>800</v>
      </c>
      <c r="I255" s="5" t="n">
        <v>8000.0</v>
      </c>
      <c r="J255" s="6"/>
      <c r="K255" s="7" t="s">
        <v>57</v>
      </c>
      <c r="L255" s="6"/>
      <c r="M255" s="7" t="s">
        <v>57</v>
      </c>
      <c r="N255" s="6" t="s">
        <v>485</v>
      </c>
      <c r="O255" s="7" t="s">
        <v>801</v>
      </c>
      <c r="P255" s="6"/>
      <c r="Q255" s="7" t="s">
        <v>57</v>
      </c>
      <c r="R255" s="6" t="s">
        <v>158</v>
      </c>
      <c r="S255" s="7" t="s">
        <v>802</v>
      </c>
      <c r="T255" s="6"/>
      <c r="U255" s="7" t="s">
        <v>57</v>
      </c>
      <c r="V255" s="8" t="str">
        <f>"－"</f>
        <v>－</v>
      </c>
      <c r="W255" s="9" t="n">
        <f>34</f>
        <v>34.0</v>
      </c>
      <c r="X255" s="9" t="n">
        <v>34.0</v>
      </c>
      <c r="Y255" s="9" t="n">
        <f>7886640</f>
        <v>7886640.0</v>
      </c>
      <c r="Z255" s="9" t="n">
        <v>7886640.0</v>
      </c>
      <c r="AA255" s="9" t="str">
        <f>"－"</f>
        <v>－</v>
      </c>
      <c r="AB255" s="6" t="s">
        <v>58</v>
      </c>
      <c r="AC255" s="10" t="str">
        <f>"－"</f>
        <v>－</v>
      </c>
      <c r="AD255" s="9" t="str">
        <f>"－"</f>
        <v>－</v>
      </c>
    </row>
    <row r="256">
      <c r="A256" s="3" t="s">
        <v>50</v>
      </c>
      <c r="B256" s="3" t="s">
        <v>797</v>
      </c>
      <c r="C256" s="43" t="s">
        <v>798</v>
      </c>
      <c r="D256" s="43" t="s">
        <v>799</v>
      </c>
      <c r="E256" s="3" t="s">
        <v>54</v>
      </c>
      <c r="F256" s="3"/>
      <c r="G256" s="3" t="s">
        <v>116</v>
      </c>
      <c r="H256" s="4" t="s">
        <v>803</v>
      </c>
      <c r="I256" s="5" t="n">
        <v>8000.0</v>
      </c>
      <c r="J256" s="6"/>
      <c r="K256" s="7" t="s">
        <v>57</v>
      </c>
      <c r="L256" s="6"/>
      <c r="M256" s="7" t="s">
        <v>57</v>
      </c>
      <c r="N256" s="6" t="s">
        <v>485</v>
      </c>
      <c r="O256" s="7" t="s">
        <v>804</v>
      </c>
      <c r="P256" s="6"/>
      <c r="Q256" s="7" t="s">
        <v>57</v>
      </c>
      <c r="R256" s="6" t="s">
        <v>805</v>
      </c>
      <c r="S256" s="7" t="s">
        <v>806</v>
      </c>
      <c r="T256" s="6"/>
      <c r="U256" s="7" t="s">
        <v>57</v>
      </c>
      <c r="V256" s="8" t="str">
        <f>"－"</f>
        <v>－</v>
      </c>
      <c r="W256" s="9" t="n">
        <f>34</f>
        <v>34.0</v>
      </c>
      <c r="X256" s="9" t="n">
        <v>34.0</v>
      </c>
      <c r="Y256" s="9" t="n">
        <f>7506180</f>
        <v>7506180.0</v>
      </c>
      <c r="Z256" s="9" t="n">
        <v>7506180.0</v>
      </c>
      <c r="AA256" s="9" t="str">
        <f>"－"</f>
        <v>－</v>
      </c>
      <c r="AB256" s="6" t="s">
        <v>58</v>
      </c>
      <c r="AC256" s="10" t="str">
        <f>"－"</f>
        <v>－</v>
      </c>
      <c r="AD256" s="9" t="str">
        <f>"－"</f>
        <v>－</v>
      </c>
    </row>
    <row r="257">
      <c r="A257" s="3" t="s">
        <v>50</v>
      </c>
      <c r="B257" s="3" t="s">
        <v>797</v>
      </c>
      <c r="C257" s="43" t="s">
        <v>798</v>
      </c>
      <c r="D257" s="43" t="s">
        <v>799</v>
      </c>
      <c r="E257" s="3" t="s">
        <v>54</v>
      </c>
      <c r="F257" s="3"/>
      <c r="G257" s="3" t="s">
        <v>84</v>
      </c>
      <c r="H257" s="4" t="s">
        <v>85</v>
      </c>
      <c r="I257" s="5" t="n">
        <v>8000.0</v>
      </c>
      <c r="J257" s="6"/>
      <c r="K257" s="7" t="s">
        <v>57</v>
      </c>
      <c r="L257" s="6"/>
      <c r="M257" s="7" t="s">
        <v>57</v>
      </c>
      <c r="N257" s="6" t="s">
        <v>807</v>
      </c>
      <c r="O257" s="7" t="s">
        <v>808</v>
      </c>
      <c r="P257" s="6"/>
      <c r="Q257" s="7" t="s">
        <v>57</v>
      </c>
      <c r="R257" s="6" t="s">
        <v>709</v>
      </c>
      <c r="S257" s="7" t="s">
        <v>809</v>
      </c>
      <c r="T257" s="6"/>
      <c r="U257" s="7" t="s">
        <v>57</v>
      </c>
      <c r="V257" s="8" t="str">
        <f>"－"</f>
        <v>－</v>
      </c>
      <c r="W257" s="9" t="n">
        <f>30</f>
        <v>30.0</v>
      </c>
      <c r="X257" s="9" t="n">
        <v>30.0</v>
      </c>
      <c r="Y257" s="9" t="n">
        <f>9741750</f>
        <v>9741750.0</v>
      </c>
      <c r="Z257" s="9" t="n">
        <v>9741750.0</v>
      </c>
      <c r="AA257" s="9" t="str">
        <f>"－"</f>
        <v>－</v>
      </c>
      <c r="AB257" s="6" t="s">
        <v>58</v>
      </c>
      <c r="AC257" s="10" t="str">
        <f>"－"</f>
        <v>－</v>
      </c>
      <c r="AD257" s="9" t="str">
        <f>"－"</f>
        <v>－</v>
      </c>
    </row>
    <row r="258">
      <c r="A258" s="3" t="s">
        <v>50</v>
      </c>
      <c r="B258" s="3" t="s">
        <v>810</v>
      </c>
      <c r="C258" s="43" t="s">
        <v>811</v>
      </c>
      <c r="D258" s="43" t="s">
        <v>812</v>
      </c>
      <c r="E258" s="3" t="s">
        <v>104</v>
      </c>
      <c r="F258" s="3"/>
      <c r="G258" s="3" t="s">
        <v>294</v>
      </c>
      <c r="H258" s="4" t="s">
        <v>311</v>
      </c>
      <c r="I258" s="5" t="n">
        <v>19000.0</v>
      </c>
      <c r="J258" s="6"/>
      <c r="K258" s="7" t="s">
        <v>57</v>
      </c>
      <c r="L258" s="6"/>
      <c r="M258" s="7" t="s">
        <v>57</v>
      </c>
      <c r="N258" s="6" t="s">
        <v>538</v>
      </c>
      <c r="O258" s="7" t="s">
        <v>813</v>
      </c>
      <c r="P258" s="6"/>
      <c r="Q258" s="7" t="s">
        <v>57</v>
      </c>
      <c r="R258" s="6" t="s">
        <v>538</v>
      </c>
      <c r="S258" s="7" t="s">
        <v>813</v>
      </c>
      <c r="T258" s="6"/>
      <c r="U258" s="7" t="s">
        <v>57</v>
      </c>
      <c r="V258" s="8" t="str">
        <f>"－"</f>
        <v>－</v>
      </c>
      <c r="W258" s="9" t="n">
        <f>8</f>
        <v>8.0</v>
      </c>
      <c r="X258" s="9" t="n">
        <v>8.0</v>
      </c>
      <c r="Y258" s="9" t="n">
        <f>275440</f>
        <v>275440.0</v>
      </c>
      <c r="Z258" s="9" t="n">
        <v>275440.0</v>
      </c>
      <c r="AA258" s="9" t="str">
        <f>"－"</f>
        <v>－</v>
      </c>
      <c r="AB258" s="6" t="s">
        <v>58</v>
      </c>
      <c r="AC258" s="10" t="n">
        <f>8</f>
        <v>8.0</v>
      </c>
      <c r="AD258" s="9" t="str">
        <f>"－"</f>
        <v>－</v>
      </c>
    </row>
    <row r="259">
      <c r="A259" s="3" t="s">
        <v>50</v>
      </c>
      <c r="B259" s="3" t="s">
        <v>814</v>
      </c>
      <c r="C259" s="43" t="s">
        <v>815</v>
      </c>
      <c r="D259" s="43" t="s">
        <v>816</v>
      </c>
      <c r="E259" s="3" t="s">
        <v>54</v>
      </c>
      <c r="F259" s="3"/>
      <c r="G259" s="3" t="s">
        <v>67</v>
      </c>
      <c r="H259" s="4" t="s">
        <v>72</v>
      </c>
      <c r="I259" s="5" t="n">
        <v>5000.0</v>
      </c>
      <c r="J259" s="6" t="s">
        <v>208</v>
      </c>
      <c r="K259" s="7" t="s">
        <v>817</v>
      </c>
      <c r="L259" s="6" t="s">
        <v>203</v>
      </c>
      <c r="M259" s="7" t="s">
        <v>183</v>
      </c>
      <c r="N259" s="6"/>
      <c r="O259" s="7"/>
      <c r="P259" s="6" t="s">
        <v>208</v>
      </c>
      <c r="Q259" s="7" t="s">
        <v>817</v>
      </c>
      <c r="R259" s="6"/>
      <c r="S259" s="7"/>
      <c r="T259" s="6" t="s">
        <v>203</v>
      </c>
      <c r="U259" s="7" t="s">
        <v>183</v>
      </c>
      <c r="V259" s="8" t="n">
        <f>168.17</f>
        <v>168.17</v>
      </c>
      <c r="W259" s="9" t="n">
        <f>3</f>
        <v>3.0</v>
      </c>
      <c r="X259" s="9"/>
      <c r="Y259" s="9" t="n">
        <f>50450</f>
        <v>50450.0</v>
      </c>
      <c r="Z259" s="9"/>
      <c r="AA259" s="9" t="n">
        <f>1</f>
        <v>1.0</v>
      </c>
      <c r="AB259" s="6" t="s">
        <v>58</v>
      </c>
      <c r="AC259" s="10" t="str">
        <f>"－"</f>
        <v>－</v>
      </c>
      <c r="AD259" s="9" t="n">
        <f>3</f>
        <v>3.0</v>
      </c>
    </row>
    <row r="260">
      <c r="A260" s="3" t="s">
        <v>50</v>
      </c>
      <c r="B260" s="3" t="s">
        <v>814</v>
      </c>
      <c r="C260" s="43" t="s">
        <v>815</v>
      </c>
      <c r="D260" s="43" t="s">
        <v>816</v>
      </c>
      <c r="E260" s="3" t="s">
        <v>54</v>
      </c>
      <c r="F260" s="3"/>
      <c r="G260" s="3" t="s">
        <v>84</v>
      </c>
      <c r="H260" s="4" t="s">
        <v>85</v>
      </c>
      <c r="I260" s="5" t="n">
        <v>5000.0</v>
      </c>
      <c r="J260" s="6" t="s">
        <v>69</v>
      </c>
      <c r="K260" s="7" t="s">
        <v>222</v>
      </c>
      <c r="L260" s="6" t="s">
        <v>69</v>
      </c>
      <c r="M260" s="7" t="s">
        <v>222</v>
      </c>
      <c r="N260" s="6"/>
      <c r="O260" s="7"/>
      <c r="P260" s="6" t="s">
        <v>69</v>
      </c>
      <c r="Q260" s="7" t="s">
        <v>222</v>
      </c>
      <c r="R260" s="6"/>
      <c r="S260" s="7"/>
      <c r="T260" s="6" t="s">
        <v>69</v>
      </c>
      <c r="U260" s="7" t="s">
        <v>222</v>
      </c>
      <c r="V260" s="8" t="n">
        <f>200</f>
        <v>200.0</v>
      </c>
      <c r="W260" s="9" t="n">
        <f>1</f>
        <v>1.0</v>
      </c>
      <c r="X260" s="9"/>
      <c r="Y260" s="9" t="n">
        <f>20000</f>
        <v>20000.0</v>
      </c>
      <c r="Z260" s="9"/>
      <c r="AA260" s="9" t="str">
        <f>"－"</f>
        <v>－</v>
      </c>
      <c r="AB260" s="6" t="s">
        <v>58</v>
      </c>
      <c r="AC260" s="10" t="n">
        <f>1</f>
        <v>1.0</v>
      </c>
      <c r="AD260" s="9" t="n">
        <f>1</f>
        <v>1.0</v>
      </c>
    </row>
    <row r="261">
      <c r="A261" s="3" t="s">
        <v>50</v>
      </c>
      <c r="B261" s="3" t="s">
        <v>818</v>
      </c>
      <c r="C261" s="43" t="s">
        <v>819</v>
      </c>
      <c r="D261" s="43" t="s">
        <v>820</v>
      </c>
      <c r="E261" s="3" t="s">
        <v>104</v>
      </c>
      <c r="F261" s="3"/>
      <c r="G261" s="3" t="s">
        <v>80</v>
      </c>
      <c r="H261" s="4" t="s">
        <v>81</v>
      </c>
      <c r="I261" s="5" t="n">
        <v>4000.0</v>
      </c>
      <c r="J261" s="6" t="s">
        <v>86</v>
      </c>
      <c r="K261" s="7" t="s">
        <v>115</v>
      </c>
      <c r="L261" s="6" t="s">
        <v>86</v>
      </c>
      <c r="M261" s="7" t="s">
        <v>115</v>
      </c>
      <c r="N261" s="6"/>
      <c r="O261" s="7"/>
      <c r="P261" s="6" t="s">
        <v>86</v>
      </c>
      <c r="Q261" s="7" t="s">
        <v>115</v>
      </c>
      <c r="R261" s="6"/>
      <c r="S261" s="7"/>
      <c r="T261" s="6" t="s">
        <v>86</v>
      </c>
      <c r="U261" s="7" t="s">
        <v>115</v>
      </c>
      <c r="V261" s="8" t="n">
        <f>50</f>
        <v>50.0</v>
      </c>
      <c r="W261" s="9" t="n">
        <f>6</f>
        <v>6.0</v>
      </c>
      <c r="X261" s="9"/>
      <c r="Y261" s="9" t="n">
        <f>30000</f>
        <v>30000.0</v>
      </c>
      <c r="Z261" s="9"/>
      <c r="AA261" s="9" t="str">
        <f>"－"</f>
        <v>－</v>
      </c>
      <c r="AB261" s="6" t="s">
        <v>58</v>
      </c>
      <c r="AC261" s="10" t="n">
        <f>6</f>
        <v>6.0</v>
      </c>
      <c r="AD261" s="9" t="n">
        <f>1</f>
        <v>1.0</v>
      </c>
    </row>
    <row r="262">
      <c r="A262" s="3" t="s">
        <v>50</v>
      </c>
      <c r="B262" s="3" t="s">
        <v>818</v>
      </c>
      <c r="C262" s="43" t="s">
        <v>819</v>
      </c>
      <c r="D262" s="43" t="s">
        <v>820</v>
      </c>
      <c r="E262" s="3" t="s">
        <v>104</v>
      </c>
      <c r="F262" s="3"/>
      <c r="G262" s="3" t="s">
        <v>127</v>
      </c>
      <c r="H262" s="4" t="s">
        <v>128</v>
      </c>
      <c r="I262" s="5" t="n">
        <v>3800.0</v>
      </c>
      <c r="J262" s="6" t="s">
        <v>422</v>
      </c>
      <c r="K262" s="7" t="s">
        <v>821</v>
      </c>
      <c r="L262" s="6" t="s">
        <v>422</v>
      </c>
      <c r="M262" s="7" t="s">
        <v>821</v>
      </c>
      <c r="N262" s="6"/>
      <c r="O262" s="7"/>
      <c r="P262" s="6" t="s">
        <v>422</v>
      </c>
      <c r="Q262" s="7" t="s">
        <v>821</v>
      </c>
      <c r="R262" s="6"/>
      <c r="S262" s="7"/>
      <c r="T262" s="6" t="s">
        <v>422</v>
      </c>
      <c r="U262" s="7" t="s">
        <v>821</v>
      </c>
      <c r="V262" s="8" t="n">
        <f>105</f>
        <v>105.0</v>
      </c>
      <c r="W262" s="9" t="n">
        <f>1</f>
        <v>1.0</v>
      </c>
      <c r="X262" s="9"/>
      <c r="Y262" s="9" t="n">
        <f>10500</f>
        <v>10500.0</v>
      </c>
      <c r="Z262" s="9"/>
      <c r="AA262" s="9" t="n">
        <f>1</f>
        <v>1.0</v>
      </c>
      <c r="AB262" s="6" t="s">
        <v>58</v>
      </c>
      <c r="AC262" s="10" t="str">
        <f>"－"</f>
        <v>－</v>
      </c>
      <c r="AD262" s="9" t="n">
        <f>1</f>
        <v>1.0</v>
      </c>
    </row>
    <row r="263">
      <c r="A263" s="3" t="s">
        <v>50</v>
      </c>
      <c r="B263" s="3" t="s">
        <v>818</v>
      </c>
      <c r="C263" s="43" t="s">
        <v>819</v>
      </c>
      <c r="D263" s="43" t="s">
        <v>820</v>
      </c>
      <c r="E263" s="3" t="s">
        <v>104</v>
      </c>
      <c r="F263" s="3"/>
      <c r="G263" s="3" t="s">
        <v>127</v>
      </c>
      <c r="H263" s="4" t="s">
        <v>822</v>
      </c>
      <c r="I263" s="5" t="n">
        <v>4200.0</v>
      </c>
      <c r="J263" s="6"/>
      <c r="K263" s="7" t="s">
        <v>57</v>
      </c>
      <c r="L263" s="6"/>
      <c r="M263" s="7" t="s">
        <v>57</v>
      </c>
      <c r="N263" s="6" t="s">
        <v>86</v>
      </c>
      <c r="O263" s="7" t="s">
        <v>823</v>
      </c>
      <c r="P263" s="6"/>
      <c r="Q263" s="7" t="s">
        <v>57</v>
      </c>
      <c r="R263" s="6" t="s">
        <v>86</v>
      </c>
      <c r="S263" s="7" t="s">
        <v>823</v>
      </c>
      <c r="T263" s="6"/>
      <c r="U263" s="7" t="s">
        <v>57</v>
      </c>
      <c r="V263" s="8" t="str">
        <f>"－"</f>
        <v>－</v>
      </c>
      <c r="W263" s="9" t="n">
        <f>500</f>
        <v>500.0</v>
      </c>
      <c r="X263" s="9" t="n">
        <v>500.0</v>
      </c>
      <c r="Y263" s="9" t="n">
        <f>4400000</f>
        <v>4400000.0</v>
      </c>
      <c r="Z263" s="9" t="n">
        <v>4400000.0</v>
      </c>
      <c r="AA263" s="9" t="str">
        <f>"－"</f>
        <v>－</v>
      </c>
      <c r="AB263" s="6" t="s">
        <v>58</v>
      </c>
      <c r="AC263" s="10" t="n">
        <f>500</f>
        <v>500.0</v>
      </c>
      <c r="AD263" s="9" t="str">
        <f>"－"</f>
        <v>－</v>
      </c>
    </row>
    <row r="264">
      <c r="A264" s="3" t="s">
        <v>50</v>
      </c>
      <c r="B264" s="3" t="s">
        <v>824</v>
      </c>
      <c r="C264" s="43" t="s">
        <v>825</v>
      </c>
      <c r="D264" s="43" t="s">
        <v>826</v>
      </c>
      <c r="E264" s="3" t="s">
        <v>54</v>
      </c>
      <c r="F264" s="3"/>
      <c r="G264" s="3" t="s">
        <v>827</v>
      </c>
      <c r="H264" s="4" t="s">
        <v>828</v>
      </c>
      <c r="I264" s="5" t="n">
        <v>4200.0</v>
      </c>
      <c r="J264" s="6" t="s">
        <v>643</v>
      </c>
      <c r="K264" s="7" t="s">
        <v>829</v>
      </c>
      <c r="L264" s="6" t="s">
        <v>643</v>
      </c>
      <c r="M264" s="7" t="s">
        <v>829</v>
      </c>
      <c r="N264" s="6"/>
      <c r="O264" s="7"/>
      <c r="P264" s="6" t="s">
        <v>643</v>
      </c>
      <c r="Q264" s="7" t="s">
        <v>829</v>
      </c>
      <c r="R264" s="6"/>
      <c r="S264" s="7"/>
      <c r="T264" s="6" t="s">
        <v>643</v>
      </c>
      <c r="U264" s="7" t="s">
        <v>829</v>
      </c>
      <c r="V264" s="8" t="n">
        <f>815</f>
        <v>815.0</v>
      </c>
      <c r="W264" s="9" t="n">
        <f>104</f>
        <v>104.0</v>
      </c>
      <c r="X264" s="9"/>
      <c r="Y264" s="9" t="n">
        <f>8476000</f>
        <v>8476000.0</v>
      </c>
      <c r="Z264" s="9"/>
      <c r="AA264" s="9" t="str">
        <f>"－"</f>
        <v>－</v>
      </c>
      <c r="AB264" s="6"/>
      <c r="AC264" s="10" t="n">
        <f>104</f>
        <v>104.0</v>
      </c>
      <c r="AD264" s="9" t="n">
        <f>1</f>
        <v>1.0</v>
      </c>
    </row>
    <row r="265">
      <c r="A265" s="3" t="s">
        <v>50</v>
      </c>
      <c r="B265" s="3" t="s">
        <v>830</v>
      </c>
      <c r="C265" s="43" t="s">
        <v>831</v>
      </c>
      <c r="D265" s="43" t="s">
        <v>832</v>
      </c>
      <c r="E265" s="3" t="s">
        <v>54</v>
      </c>
      <c r="F265" s="3"/>
      <c r="G265" s="3" t="s">
        <v>59</v>
      </c>
      <c r="H265" s="4" t="s">
        <v>833</v>
      </c>
      <c r="I265" s="5" t="n">
        <v>6000.0</v>
      </c>
      <c r="J265" s="6"/>
      <c r="K265" s="7" t="s">
        <v>57</v>
      </c>
      <c r="L265" s="6"/>
      <c r="M265" s="7" t="s">
        <v>57</v>
      </c>
      <c r="N265" s="6" t="s">
        <v>158</v>
      </c>
      <c r="O265" s="7" t="s">
        <v>834</v>
      </c>
      <c r="P265" s="6"/>
      <c r="Q265" s="7" t="s">
        <v>57</v>
      </c>
      <c r="R265" s="6" t="s">
        <v>139</v>
      </c>
      <c r="S265" s="7" t="s">
        <v>835</v>
      </c>
      <c r="T265" s="6"/>
      <c r="U265" s="7" t="s">
        <v>57</v>
      </c>
      <c r="V265" s="8" t="str">
        <f>"－"</f>
        <v>－</v>
      </c>
      <c r="W265" s="9" t="n">
        <f>44</f>
        <v>44.0</v>
      </c>
      <c r="X265" s="9" t="n">
        <v>44.0</v>
      </c>
      <c r="Y265" s="9" t="n">
        <f>7280020</f>
        <v>7280020.0</v>
      </c>
      <c r="Z265" s="9" t="n">
        <v>7280020.0</v>
      </c>
      <c r="AA265" s="9" t="str">
        <f>"－"</f>
        <v>－</v>
      </c>
      <c r="AB265" s="6" t="s">
        <v>58</v>
      </c>
      <c r="AC265" s="10" t="str">
        <f>"－"</f>
        <v>－</v>
      </c>
      <c r="AD265" s="9" t="str">
        <f>"－"</f>
        <v>－</v>
      </c>
    </row>
    <row r="266">
      <c r="A266" s="3" t="s">
        <v>50</v>
      </c>
      <c r="B266" s="3" t="s">
        <v>830</v>
      </c>
      <c r="C266" s="43" t="s">
        <v>831</v>
      </c>
      <c r="D266" s="43" t="s">
        <v>832</v>
      </c>
      <c r="E266" s="3" t="s">
        <v>54</v>
      </c>
      <c r="F266" s="3"/>
      <c r="G266" s="3" t="s">
        <v>116</v>
      </c>
      <c r="H266" s="4" t="s">
        <v>693</v>
      </c>
      <c r="I266" s="5" t="n">
        <v>6000.0</v>
      </c>
      <c r="J266" s="6"/>
      <c r="K266" s="7" t="s">
        <v>57</v>
      </c>
      <c r="L266" s="6"/>
      <c r="M266" s="7" t="s">
        <v>57</v>
      </c>
      <c r="N266" s="6" t="s">
        <v>805</v>
      </c>
      <c r="O266" s="7" t="s">
        <v>836</v>
      </c>
      <c r="P266" s="6"/>
      <c r="Q266" s="7" t="s">
        <v>57</v>
      </c>
      <c r="R266" s="6" t="s">
        <v>547</v>
      </c>
      <c r="S266" s="7" t="s">
        <v>837</v>
      </c>
      <c r="T266" s="6"/>
      <c r="U266" s="7" t="s">
        <v>57</v>
      </c>
      <c r="V266" s="8" t="str">
        <f>"－"</f>
        <v>－</v>
      </c>
      <c r="W266" s="9" t="n">
        <f>44</f>
        <v>44.0</v>
      </c>
      <c r="X266" s="9" t="n">
        <v>44.0</v>
      </c>
      <c r="Y266" s="9" t="n">
        <f>9025280</f>
        <v>9025280.0</v>
      </c>
      <c r="Z266" s="9" t="n">
        <v>9025280.0</v>
      </c>
      <c r="AA266" s="9" t="str">
        <f>"－"</f>
        <v>－</v>
      </c>
      <c r="AB266" s="6" t="s">
        <v>58</v>
      </c>
      <c r="AC266" s="10" t="str">
        <f>"－"</f>
        <v>－</v>
      </c>
      <c r="AD266" s="9" t="str">
        <f>"－"</f>
        <v>－</v>
      </c>
    </row>
    <row r="267">
      <c r="A267" s="3" t="s">
        <v>50</v>
      </c>
      <c r="B267" s="3" t="s">
        <v>830</v>
      </c>
      <c r="C267" s="43" t="s">
        <v>831</v>
      </c>
      <c r="D267" s="43" t="s">
        <v>832</v>
      </c>
      <c r="E267" s="3" t="s">
        <v>54</v>
      </c>
      <c r="F267" s="3"/>
      <c r="G267" s="3" t="s">
        <v>96</v>
      </c>
      <c r="H267" s="4" t="s">
        <v>97</v>
      </c>
      <c r="I267" s="5" t="n">
        <v>4400.0</v>
      </c>
      <c r="J267" s="6" t="s">
        <v>608</v>
      </c>
      <c r="K267" s="7" t="s">
        <v>838</v>
      </c>
      <c r="L267" s="6" t="s">
        <v>608</v>
      </c>
      <c r="M267" s="7" t="s">
        <v>838</v>
      </c>
      <c r="N267" s="6"/>
      <c r="O267" s="7"/>
      <c r="P267" s="6" t="s">
        <v>839</v>
      </c>
      <c r="Q267" s="7" t="s">
        <v>840</v>
      </c>
      <c r="R267" s="6"/>
      <c r="S267" s="7"/>
      <c r="T267" s="6" t="s">
        <v>839</v>
      </c>
      <c r="U267" s="7" t="s">
        <v>840</v>
      </c>
      <c r="V267" s="8" t="n">
        <f>111.5</f>
        <v>111.5</v>
      </c>
      <c r="W267" s="9" t="n">
        <f>2</f>
        <v>2.0</v>
      </c>
      <c r="X267" s="9"/>
      <c r="Y267" s="9" t="n">
        <f>22300</f>
        <v>22300.0</v>
      </c>
      <c r="Z267" s="9"/>
      <c r="AA267" s="9" t="str">
        <f>"－"</f>
        <v>－</v>
      </c>
      <c r="AB267" s="6" t="s">
        <v>58</v>
      </c>
      <c r="AC267" s="10" t="str">
        <f>"－"</f>
        <v>－</v>
      </c>
      <c r="AD267" s="9" t="n">
        <f>2</f>
        <v>2.0</v>
      </c>
    </row>
    <row r="268">
      <c r="A268" s="3" t="s">
        <v>50</v>
      </c>
      <c r="B268" s="3" t="s">
        <v>830</v>
      </c>
      <c r="C268" s="43" t="s">
        <v>831</v>
      </c>
      <c r="D268" s="43" t="s">
        <v>832</v>
      </c>
      <c r="E268" s="3" t="s">
        <v>54</v>
      </c>
      <c r="F268" s="3"/>
      <c r="G268" s="3" t="s">
        <v>679</v>
      </c>
      <c r="H268" s="4" t="s">
        <v>841</v>
      </c>
      <c r="I268" s="5" t="n">
        <v>5500.0</v>
      </c>
      <c r="J268" s="6"/>
      <c r="K268" s="7" t="s">
        <v>57</v>
      </c>
      <c r="L268" s="6"/>
      <c r="M268" s="7" t="s">
        <v>57</v>
      </c>
      <c r="N268" s="6" t="s">
        <v>431</v>
      </c>
      <c r="O268" s="7" t="s">
        <v>842</v>
      </c>
      <c r="P268" s="6"/>
      <c r="Q268" s="7" t="s">
        <v>57</v>
      </c>
      <c r="R268" s="6" t="s">
        <v>431</v>
      </c>
      <c r="S268" s="7" t="s">
        <v>842</v>
      </c>
      <c r="T268" s="6"/>
      <c r="U268" s="7" t="s">
        <v>57</v>
      </c>
      <c r="V268" s="8" t="str">
        <f>"－"</f>
        <v>－</v>
      </c>
      <c r="W268" s="9" t="n">
        <f>32</f>
        <v>32.0</v>
      </c>
      <c r="X268" s="9" t="n">
        <v>32.0</v>
      </c>
      <c r="Y268" s="9" t="n">
        <f>4815680</f>
        <v>4815680.0</v>
      </c>
      <c r="Z268" s="9" t="n">
        <v>4815680.0</v>
      </c>
      <c r="AA268" s="9" t="str">
        <f>"－"</f>
        <v>－</v>
      </c>
      <c r="AB268" s="6"/>
      <c r="AC268" s="10" t="n">
        <f>32</f>
        <v>32.0</v>
      </c>
      <c r="AD268" s="9" t="str">
        <f>"－"</f>
        <v>－</v>
      </c>
    </row>
    <row r="269">
      <c r="A269" s="3" t="s">
        <v>50</v>
      </c>
      <c r="B269" s="3" t="s">
        <v>843</v>
      </c>
      <c r="C269" s="43" t="s">
        <v>844</v>
      </c>
      <c r="D269" s="43" t="s">
        <v>845</v>
      </c>
      <c r="E269" s="3" t="s">
        <v>104</v>
      </c>
      <c r="F269" s="3"/>
      <c r="G269" s="3" t="s">
        <v>127</v>
      </c>
      <c r="H269" s="4" t="s">
        <v>128</v>
      </c>
      <c r="I269" s="5" t="n">
        <v>2400.0</v>
      </c>
      <c r="J269" s="6"/>
      <c r="K269" s="7" t="s">
        <v>57</v>
      </c>
      <c r="L269" s="6"/>
      <c r="M269" s="7" t="s">
        <v>57</v>
      </c>
      <c r="N269" s="6" t="s">
        <v>374</v>
      </c>
      <c r="O269" s="7" t="s">
        <v>846</v>
      </c>
      <c r="P269" s="6"/>
      <c r="Q269" s="7" t="s">
        <v>57</v>
      </c>
      <c r="R269" s="6" t="s">
        <v>594</v>
      </c>
      <c r="S269" s="7" t="s">
        <v>847</v>
      </c>
      <c r="T269" s="6"/>
      <c r="U269" s="7" t="s">
        <v>57</v>
      </c>
      <c r="V269" s="8" t="str">
        <f>"－"</f>
        <v>－</v>
      </c>
      <c r="W269" s="9" t="n">
        <f>80</f>
        <v>80.0</v>
      </c>
      <c r="X269" s="9" t="n">
        <v>80.0</v>
      </c>
      <c r="Y269" s="9" t="n">
        <f>14218000</f>
        <v>1.4218E7</v>
      </c>
      <c r="Z269" s="9" t="n">
        <v>1.4218E7</v>
      </c>
      <c r="AA269" s="9" t="str">
        <f>"－"</f>
        <v>－</v>
      </c>
      <c r="AB269" s="6" t="s">
        <v>58</v>
      </c>
      <c r="AC269" s="10" t="str">
        <f>"－"</f>
        <v>－</v>
      </c>
      <c r="AD269" s="9" t="str">
        <f>"－"</f>
        <v>－</v>
      </c>
    </row>
    <row r="270">
      <c r="A270" s="3" t="s">
        <v>50</v>
      </c>
      <c r="B270" s="3" t="s">
        <v>848</v>
      </c>
      <c r="C270" s="43" t="s">
        <v>849</v>
      </c>
      <c r="D270" s="43" t="s">
        <v>850</v>
      </c>
      <c r="E270" s="3" t="s">
        <v>54</v>
      </c>
      <c r="F270" s="3"/>
      <c r="G270" s="3" t="s">
        <v>55</v>
      </c>
      <c r="H270" s="4" t="s">
        <v>851</v>
      </c>
      <c r="I270" s="5" t="n">
        <v>950.0</v>
      </c>
      <c r="J270" s="6"/>
      <c r="K270" s="7" t="s">
        <v>57</v>
      </c>
      <c r="L270" s="6"/>
      <c r="M270" s="7" t="s">
        <v>57</v>
      </c>
      <c r="N270" s="6" t="s">
        <v>473</v>
      </c>
      <c r="O270" s="7" t="s">
        <v>852</v>
      </c>
      <c r="P270" s="6"/>
      <c r="Q270" s="7" t="s">
        <v>57</v>
      </c>
      <c r="R270" s="6" t="s">
        <v>473</v>
      </c>
      <c r="S270" s="7" t="s">
        <v>852</v>
      </c>
      <c r="T270" s="6"/>
      <c r="U270" s="7" t="s">
        <v>57</v>
      </c>
      <c r="V270" s="8" t="str">
        <f>"－"</f>
        <v>－</v>
      </c>
      <c r="W270" s="9" t="n">
        <f>140</f>
        <v>140.0</v>
      </c>
      <c r="X270" s="9" t="n">
        <v>140.0</v>
      </c>
      <c r="Y270" s="9" t="n">
        <f>4554200</f>
        <v>4554200.0</v>
      </c>
      <c r="Z270" s="9" t="n">
        <v>4554200.0</v>
      </c>
      <c r="AA270" s="9" t="str">
        <f>"－"</f>
        <v>－</v>
      </c>
      <c r="AB270" s="6" t="s">
        <v>58</v>
      </c>
      <c r="AC270" s="10" t="str">
        <f>"－"</f>
        <v>－</v>
      </c>
      <c r="AD270" s="9" t="str">
        <f>"－"</f>
        <v>－</v>
      </c>
    </row>
    <row r="271">
      <c r="A271" s="3" t="s">
        <v>50</v>
      </c>
      <c r="B271" s="3" t="s">
        <v>848</v>
      </c>
      <c r="C271" s="43" t="s">
        <v>849</v>
      </c>
      <c r="D271" s="43" t="s">
        <v>850</v>
      </c>
      <c r="E271" s="3" t="s">
        <v>54</v>
      </c>
      <c r="F271" s="3"/>
      <c r="G271" s="3" t="s">
        <v>59</v>
      </c>
      <c r="H271" s="4" t="s">
        <v>60</v>
      </c>
      <c r="I271" s="5" t="n">
        <v>850.0</v>
      </c>
      <c r="J271" s="6"/>
      <c r="K271" s="7" t="s">
        <v>57</v>
      </c>
      <c r="L271" s="6"/>
      <c r="M271" s="7" t="s">
        <v>57</v>
      </c>
      <c r="N271" s="6" t="s">
        <v>158</v>
      </c>
      <c r="O271" s="7" t="s">
        <v>853</v>
      </c>
      <c r="P271" s="6"/>
      <c r="Q271" s="7" t="s">
        <v>57</v>
      </c>
      <c r="R271" s="6" t="s">
        <v>473</v>
      </c>
      <c r="S271" s="7" t="s">
        <v>854</v>
      </c>
      <c r="T271" s="6"/>
      <c r="U271" s="7" t="s">
        <v>57</v>
      </c>
      <c r="V271" s="8" t="str">
        <f>"－"</f>
        <v>－</v>
      </c>
      <c r="W271" s="9" t="n">
        <f>320</f>
        <v>320.0</v>
      </c>
      <c r="X271" s="9" t="n">
        <v>320.0</v>
      </c>
      <c r="Y271" s="9" t="n">
        <f>7844800</f>
        <v>7844800.0</v>
      </c>
      <c r="Z271" s="9" t="n">
        <v>7844800.0</v>
      </c>
      <c r="AA271" s="9" t="str">
        <f>"－"</f>
        <v>－</v>
      </c>
      <c r="AB271" s="6" t="s">
        <v>58</v>
      </c>
      <c r="AC271" s="10" t="str">
        <f>"－"</f>
        <v>－</v>
      </c>
      <c r="AD271" s="9" t="str">
        <f>"－"</f>
        <v>－</v>
      </c>
    </row>
    <row r="272">
      <c r="A272" s="3" t="s">
        <v>50</v>
      </c>
      <c r="B272" s="3" t="s">
        <v>848</v>
      </c>
      <c r="C272" s="43" t="s">
        <v>849</v>
      </c>
      <c r="D272" s="43" t="s">
        <v>850</v>
      </c>
      <c r="E272" s="3" t="s">
        <v>54</v>
      </c>
      <c r="F272" s="3"/>
      <c r="G272" s="3" t="s">
        <v>127</v>
      </c>
      <c r="H272" s="4" t="s">
        <v>855</v>
      </c>
      <c r="I272" s="5" t="n">
        <v>650.0</v>
      </c>
      <c r="J272" s="6"/>
      <c r="K272" s="7" t="s">
        <v>57</v>
      </c>
      <c r="L272" s="6"/>
      <c r="M272" s="7" t="s">
        <v>57</v>
      </c>
      <c r="N272" s="6" t="s">
        <v>649</v>
      </c>
      <c r="O272" s="7" t="s">
        <v>856</v>
      </c>
      <c r="P272" s="6"/>
      <c r="Q272" s="7" t="s">
        <v>57</v>
      </c>
      <c r="R272" s="6" t="s">
        <v>374</v>
      </c>
      <c r="S272" s="7" t="s">
        <v>857</v>
      </c>
      <c r="T272" s="6"/>
      <c r="U272" s="7" t="s">
        <v>57</v>
      </c>
      <c r="V272" s="8" t="str">
        <f>"－"</f>
        <v>－</v>
      </c>
      <c r="W272" s="9" t="n">
        <f>500</f>
        <v>500.0</v>
      </c>
      <c r="X272" s="9" t="n">
        <v>500.0</v>
      </c>
      <c r="Y272" s="9" t="n">
        <f>12495000</f>
        <v>1.2495E7</v>
      </c>
      <c r="Z272" s="9" t="n">
        <v>1.2495E7</v>
      </c>
      <c r="AA272" s="9" t="str">
        <f>"－"</f>
        <v>－</v>
      </c>
      <c r="AB272" s="6" t="s">
        <v>58</v>
      </c>
      <c r="AC272" s="10" t="str">
        <f>"－"</f>
        <v>－</v>
      </c>
      <c r="AD272" s="9" t="str">
        <f>"－"</f>
        <v>－</v>
      </c>
    </row>
    <row r="273">
      <c r="A273" s="3" t="s">
        <v>50</v>
      </c>
      <c r="B273" s="3" t="s">
        <v>848</v>
      </c>
      <c r="C273" s="43" t="s">
        <v>849</v>
      </c>
      <c r="D273" s="43" t="s">
        <v>850</v>
      </c>
      <c r="E273" s="3" t="s">
        <v>54</v>
      </c>
      <c r="F273" s="3"/>
      <c r="G273" s="3" t="s">
        <v>679</v>
      </c>
      <c r="H273" s="4" t="s">
        <v>858</v>
      </c>
      <c r="I273" s="5" t="n">
        <v>600.0</v>
      </c>
      <c r="J273" s="6"/>
      <c r="K273" s="7" t="s">
        <v>57</v>
      </c>
      <c r="L273" s="6"/>
      <c r="M273" s="7" t="s">
        <v>57</v>
      </c>
      <c r="N273" s="6" t="s">
        <v>649</v>
      </c>
      <c r="O273" s="7" t="s">
        <v>859</v>
      </c>
      <c r="P273" s="6"/>
      <c r="Q273" s="7" t="s">
        <v>57</v>
      </c>
      <c r="R273" s="6" t="s">
        <v>649</v>
      </c>
      <c r="S273" s="7" t="s">
        <v>859</v>
      </c>
      <c r="T273" s="6"/>
      <c r="U273" s="7" t="s">
        <v>57</v>
      </c>
      <c r="V273" s="8" t="str">
        <f>"－"</f>
        <v>－</v>
      </c>
      <c r="W273" s="9" t="n">
        <f>300</f>
        <v>300.0</v>
      </c>
      <c r="X273" s="9" t="n">
        <v>300.0</v>
      </c>
      <c r="Y273" s="9" t="n">
        <f>7080000</f>
        <v>7080000.0</v>
      </c>
      <c r="Z273" s="9" t="n">
        <v>7080000.0</v>
      </c>
      <c r="AA273" s="9" t="str">
        <f>"－"</f>
        <v>－</v>
      </c>
      <c r="AB273" s="6"/>
      <c r="AC273" s="10" t="n">
        <f>300</f>
        <v>300.0</v>
      </c>
      <c r="AD273" s="9" t="str">
        <f>"－"</f>
        <v>－</v>
      </c>
    </row>
    <row r="274">
      <c r="A274" s="3" t="s">
        <v>50</v>
      </c>
      <c r="B274" s="3" t="s">
        <v>860</v>
      </c>
      <c r="C274" s="43" t="s">
        <v>861</v>
      </c>
      <c r="D274" s="43" t="s">
        <v>862</v>
      </c>
      <c r="E274" s="3" t="s">
        <v>104</v>
      </c>
      <c r="F274" s="3"/>
      <c r="G274" s="3" t="s">
        <v>127</v>
      </c>
      <c r="H274" s="4" t="s">
        <v>863</v>
      </c>
      <c r="I274" s="5" t="n">
        <v>5500.0</v>
      </c>
      <c r="J274" s="6"/>
      <c r="K274" s="7" t="s">
        <v>57</v>
      </c>
      <c r="L274" s="6"/>
      <c r="M274" s="7" t="s">
        <v>57</v>
      </c>
      <c r="N274" s="6" t="s">
        <v>807</v>
      </c>
      <c r="O274" s="7" t="s">
        <v>864</v>
      </c>
      <c r="P274" s="6"/>
      <c r="Q274" s="7" t="s">
        <v>57</v>
      </c>
      <c r="R274" s="6" t="s">
        <v>392</v>
      </c>
      <c r="S274" s="7" t="s">
        <v>865</v>
      </c>
      <c r="T274" s="6"/>
      <c r="U274" s="7" t="s">
        <v>57</v>
      </c>
      <c r="V274" s="8" t="str">
        <f>"－"</f>
        <v>－</v>
      </c>
      <c r="W274" s="9" t="n">
        <f>40</f>
        <v>40.0</v>
      </c>
      <c r="X274" s="9" t="n">
        <v>40.0</v>
      </c>
      <c r="Y274" s="9" t="n">
        <f>12205400</f>
        <v>1.22054E7</v>
      </c>
      <c r="Z274" s="9" t="n">
        <v>1.22054E7</v>
      </c>
      <c r="AA274" s="9" t="str">
        <f>"－"</f>
        <v>－</v>
      </c>
      <c r="AB274" s="6" t="s">
        <v>58</v>
      </c>
      <c r="AC274" s="10" t="str">
        <f>"－"</f>
        <v>－</v>
      </c>
      <c r="AD274" s="9" t="str">
        <f>"－"</f>
        <v>－</v>
      </c>
    </row>
    <row r="275">
      <c r="A275" s="3" t="s">
        <v>50</v>
      </c>
      <c r="B275" s="3" t="s">
        <v>866</v>
      </c>
      <c r="C275" s="43" t="s">
        <v>867</v>
      </c>
      <c r="D275" s="43" t="s">
        <v>868</v>
      </c>
      <c r="E275" s="3" t="s">
        <v>54</v>
      </c>
      <c r="F275" s="3"/>
      <c r="G275" s="3" t="s">
        <v>59</v>
      </c>
      <c r="H275" s="4" t="s">
        <v>833</v>
      </c>
      <c r="I275" s="5" t="n">
        <v>8000.0</v>
      </c>
      <c r="J275" s="6"/>
      <c r="K275" s="7" t="s">
        <v>57</v>
      </c>
      <c r="L275" s="6"/>
      <c r="M275" s="7" t="s">
        <v>57</v>
      </c>
      <c r="N275" s="6" t="s">
        <v>162</v>
      </c>
      <c r="O275" s="7" t="s">
        <v>869</v>
      </c>
      <c r="P275" s="6"/>
      <c r="Q275" s="7" t="s">
        <v>57</v>
      </c>
      <c r="R275" s="6" t="s">
        <v>162</v>
      </c>
      <c r="S275" s="7" t="s">
        <v>870</v>
      </c>
      <c r="T275" s="6"/>
      <c r="U275" s="7" t="s">
        <v>57</v>
      </c>
      <c r="V275" s="8" t="str">
        <f>"－"</f>
        <v>－</v>
      </c>
      <c r="W275" s="9" t="n">
        <f>100</f>
        <v>100.0</v>
      </c>
      <c r="X275" s="9" t="n">
        <v>100.0</v>
      </c>
      <c r="Y275" s="9" t="n">
        <f>798960</f>
        <v>798960.0</v>
      </c>
      <c r="Z275" s="9" t="n">
        <v>798960.0</v>
      </c>
      <c r="AA275" s="9" t="str">
        <f>"－"</f>
        <v>－</v>
      </c>
      <c r="AB275" s="6" t="s">
        <v>58</v>
      </c>
      <c r="AC275" s="10" t="n">
        <f>100</f>
        <v>100.0</v>
      </c>
      <c r="AD275" s="9" t="str">
        <f>"－"</f>
        <v>－</v>
      </c>
    </row>
    <row r="276">
      <c r="A276" s="3" t="s">
        <v>50</v>
      </c>
      <c r="B276" s="3" t="s">
        <v>871</v>
      </c>
      <c r="C276" s="43" t="s">
        <v>872</v>
      </c>
      <c r="D276" s="43" t="s">
        <v>873</v>
      </c>
      <c r="E276" s="3" t="s">
        <v>54</v>
      </c>
      <c r="F276" s="3"/>
      <c r="G276" s="3" t="s">
        <v>63</v>
      </c>
      <c r="H276" s="4" t="s">
        <v>64</v>
      </c>
      <c r="I276" s="5" t="n">
        <v>1300.0</v>
      </c>
      <c r="J276" s="6" t="s">
        <v>107</v>
      </c>
      <c r="K276" s="7" t="s">
        <v>574</v>
      </c>
      <c r="L276" s="6" t="s">
        <v>107</v>
      </c>
      <c r="M276" s="7" t="s">
        <v>574</v>
      </c>
      <c r="N276" s="6"/>
      <c r="O276" s="7"/>
      <c r="P276" s="6" t="s">
        <v>107</v>
      </c>
      <c r="Q276" s="7" t="s">
        <v>574</v>
      </c>
      <c r="R276" s="6"/>
      <c r="S276" s="7"/>
      <c r="T276" s="6" t="s">
        <v>107</v>
      </c>
      <c r="U276" s="7" t="s">
        <v>574</v>
      </c>
      <c r="V276" s="8" t="n">
        <f>380</f>
        <v>380.0</v>
      </c>
      <c r="W276" s="9" t="n">
        <f>7</f>
        <v>7.0</v>
      </c>
      <c r="X276" s="9"/>
      <c r="Y276" s="9" t="n">
        <f>266000</f>
        <v>266000.0</v>
      </c>
      <c r="Z276" s="9"/>
      <c r="AA276" s="9" t="str">
        <f>"－"</f>
        <v>－</v>
      </c>
      <c r="AB276" s="6" t="s">
        <v>58</v>
      </c>
      <c r="AC276" s="10" t="str">
        <f>"－"</f>
        <v>－</v>
      </c>
      <c r="AD276" s="9" t="n">
        <f>1</f>
        <v>1.0</v>
      </c>
    </row>
    <row r="277">
      <c r="A277" s="3" t="s">
        <v>50</v>
      </c>
      <c r="B277" s="3" t="s">
        <v>871</v>
      </c>
      <c r="C277" s="43" t="s">
        <v>872</v>
      </c>
      <c r="D277" s="43" t="s">
        <v>873</v>
      </c>
      <c r="E277" s="3" t="s">
        <v>54</v>
      </c>
      <c r="F277" s="3"/>
      <c r="G277" s="3" t="s">
        <v>116</v>
      </c>
      <c r="H277" s="4" t="s">
        <v>117</v>
      </c>
      <c r="I277" s="5" t="n">
        <v>1300.0</v>
      </c>
      <c r="J277" s="6" t="s">
        <v>510</v>
      </c>
      <c r="K277" s="7" t="s">
        <v>467</v>
      </c>
      <c r="L277" s="6" t="s">
        <v>510</v>
      </c>
      <c r="M277" s="7" t="s">
        <v>467</v>
      </c>
      <c r="N277" s="6"/>
      <c r="O277" s="7"/>
      <c r="P277" s="6" t="s">
        <v>510</v>
      </c>
      <c r="Q277" s="7" t="s">
        <v>467</v>
      </c>
      <c r="R277" s="6"/>
      <c r="S277" s="7"/>
      <c r="T277" s="6" t="s">
        <v>510</v>
      </c>
      <c r="U277" s="7" t="s">
        <v>467</v>
      </c>
      <c r="V277" s="8" t="n">
        <f>390</f>
        <v>390.0</v>
      </c>
      <c r="W277" s="9" t="n">
        <f>5</f>
        <v>5.0</v>
      </c>
      <c r="X277" s="9"/>
      <c r="Y277" s="9" t="n">
        <f>195000</f>
        <v>195000.0</v>
      </c>
      <c r="Z277" s="9"/>
      <c r="AA277" s="9" t="str">
        <f>"－"</f>
        <v>－</v>
      </c>
      <c r="AB277" s="6" t="s">
        <v>58</v>
      </c>
      <c r="AC277" s="10" t="str">
        <f>"－"</f>
        <v>－</v>
      </c>
      <c r="AD277" s="9" t="n">
        <f>1</f>
        <v>1.0</v>
      </c>
    </row>
    <row r="278">
      <c r="A278" s="3" t="s">
        <v>50</v>
      </c>
      <c r="B278" s="3" t="s">
        <v>871</v>
      </c>
      <c r="C278" s="43" t="s">
        <v>872</v>
      </c>
      <c r="D278" s="43" t="s">
        <v>873</v>
      </c>
      <c r="E278" s="3" t="s">
        <v>54</v>
      </c>
      <c r="F278" s="3"/>
      <c r="G278" s="3" t="s">
        <v>84</v>
      </c>
      <c r="H278" s="4" t="s">
        <v>874</v>
      </c>
      <c r="I278" s="5" t="n">
        <v>750.0</v>
      </c>
      <c r="J278" s="6" t="s">
        <v>323</v>
      </c>
      <c r="K278" s="7" t="s">
        <v>875</v>
      </c>
      <c r="L278" s="6" t="s">
        <v>323</v>
      </c>
      <c r="M278" s="7" t="s">
        <v>875</v>
      </c>
      <c r="N278" s="6"/>
      <c r="O278" s="7"/>
      <c r="P278" s="6" t="s">
        <v>323</v>
      </c>
      <c r="Q278" s="7" t="s">
        <v>875</v>
      </c>
      <c r="R278" s="6"/>
      <c r="S278" s="7"/>
      <c r="T278" s="6" t="s">
        <v>323</v>
      </c>
      <c r="U278" s="7" t="s">
        <v>875</v>
      </c>
      <c r="V278" s="8" t="n">
        <f>144.5</f>
        <v>144.5</v>
      </c>
      <c r="W278" s="9" t="n">
        <f>7</f>
        <v>7.0</v>
      </c>
      <c r="X278" s="9"/>
      <c r="Y278" s="9" t="n">
        <f>101150</f>
        <v>101150.0</v>
      </c>
      <c r="Z278" s="9"/>
      <c r="AA278" s="9" t="n">
        <f>7</f>
        <v>7.0</v>
      </c>
      <c r="AB278" s="6" t="s">
        <v>58</v>
      </c>
      <c r="AC278" s="10" t="str">
        <f>"－"</f>
        <v>－</v>
      </c>
      <c r="AD278" s="9" t="n">
        <f>1</f>
        <v>1.0</v>
      </c>
    </row>
    <row r="279">
      <c r="A279" s="3" t="s">
        <v>50</v>
      </c>
      <c r="B279" s="3" t="s">
        <v>876</v>
      </c>
      <c r="C279" s="43" t="s">
        <v>877</v>
      </c>
      <c r="D279" s="43" t="s">
        <v>878</v>
      </c>
      <c r="E279" s="3" t="s">
        <v>54</v>
      </c>
      <c r="F279" s="3"/>
      <c r="G279" s="3" t="s">
        <v>84</v>
      </c>
      <c r="H279" s="4" t="s">
        <v>879</v>
      </c>
      <c r="I279" s="5" t="n">
        <v>8000.0</v>
      </c>
      <c r="J279" s="6"/>
      <c r="K279" s="7" t="s">
        <v>57</v>
      </c>
      <c r="L279" s="6"/>
      <c r="M279" s="7" t="s">
        <v>57</v>
      </c>
      <c r="N279" s="6" t="s">
        <v>594</v>
      </c>
      <c r="O279" s="7" t="s">
        <v>880</v>
      </c>
      <c r="P279" s="6"/>
      <c r="Q279" s="7" t="s">
        <v>57</v>
      </c>
      <c r="R279" s="6" t="s">
        <v>307</v>
      </c>
      <c r="S279" s="7" t="s">
        <v>881</v>
      </c>
      <c r="T279" s="6"/>
      <c r="U279" s="7" t="s">
        <v>57</v>
      </c>
      <c r="V279" s="8" t="str">
        <f>"－"</f>
        <v>－</v>
      </c>
      <c r="W279" s="9" t="n">
        <f>40</f>
        <v>40.0</v>
      </c>
      <c r="X279" s="9" t="n">
        <v>40.0</v>
      </c>
      <c r="Y279" s="9" t="n">
        <f>10598800</f>
        <v>1.05988E7</v>
      </c>
      <c r="Z279" s="9" t="n">
        <v>1.05988E7</v>
      </c>
      <c r="AA279" s="9" t="str">
        <f>"－"</f>
        <v>－</v>
      </c>
      <c r="AB279" s="6" t="s">
        <v>58</v>
      </c>
      <c r="AC279" s="10" t="str">
        <f>"－"</f>
        <v>－</v>
      </c>
      <c r="AD279" s="9" t="str">
        <f>"－"</f>
        <v>－</v>
      </c>
    </row>
    <row r="280">
      <c r="A280" s="3" t="s">
        <v>50</v>
      </c>
      <c r="B280" s="3" t="s">
        <v>882</v>
      </c>
      <c r="C280" s="43" t="s">
        <v>883</v>
      </c>
      <c r="D280" s="43" t="s">
        <v>884</v>
      </c>
      <c r="E280" s="3" t="s">
        <v>104</v>
      </c>
      <c r="F280" s="3"/>
      <c r="G280" s="3" t="s">
        <v>59</v>
      </c>
      <c r="H280" s="4" t="s">
        <v>60</v>
      </c>
      <c r="I280" s="5" t="n">
        <v>5500.0</v>
      </c>
      <c r="J280" s="6" t="s">
        <v>165</v>
      </c>
      <c r="K280" s="7" t="s">
        <v>885</v>
      </c>
      <c r="L280" s="6" t="s">
        <v>165</v>
      </c>
      <c r="M280" s="7" t="s">
        <v>885</v>
      </c>
      <c r="N280" s="6"/>
      <c r="O280" s="7"/>
      <c r="P280" s="6" t="s">
        <v>195</v>
      </c>
      <c r="Q280" s="7" t="s">
        <v>696</v>
      </c>
      <c r="R280" s="6"/>
      <c r="S280" s="7"/>
      <c r="T280" s="6" t="s">
        <v>195</v>
      </c>
      <c r="U280" s="7" t="s">
        <v>696</v>
      </c>
      <c r="V280" s="8" t="n">
        <f>13</f>
        <v>13.0</v>
      </c>
      <c r="W280" s="9" t="n">
        <f>80</f>
        <v>80.0</v>
      </c>
      <c r="X280" s="9"/>
      <c r="Y280" s="9" t="n">
        <f>104000</f>
        <v>104000.0</v>
      </c>
      <c r="Z280" s="9"/>
      <c r="AA280" s="9" t="str">
        <f>"－"</f>
        <v>－</v>
      </c>
      <c r="AB280" s="6" t="s">
        <v>58</v>
      </c>
      <c r="AC280" s="10" t="str">
        <f>"－"</f>
        <v>－</v>
      </c>
      <c r="AD280" s="9" t="n">
        <f>2</f>
        <v>2.0</v>
      </c>
    </row>
    <row r="281">
      <c r="A281" s="3" t="s">
        <v>50</v>
      </c>
      <c r="B281" s="3" t="s">
        <v>882</v>
      </c>
      <c r="C281" s="43" t="s">
        <v>883</v>
      </c>
      <c r="D281" s="43" t="s">
        <v>884</v>
      </c>
      <c r="E281" s="3" t="s">
        <v>104</v>
      </c>
      <c r="F281" s="3"/>
      <c r="G281" s="3" t="s">
        <v>63</v>
      </c>
      <c r="H281" s="4" t="s">
        <v>64</v>
      </c>
      <c r="I281" s="5" t="n">
        <v>5500.0</v>
      </c>
      <c r="J281" s="6" t="s">
        <v>195</v>
      </c>
      <c r="K281" s="7" t="s">
        <v>99</v>
      </c>
      <c r="L281" s="6" t="s">
        <v>76</v>
      </c>
      <c r="M281" s="7" t="s">
        <v>83</v>
      </c>
      <c r="N281" s="6"/>
      <c r="O281" s="7"/>
      <c r="P281" s="6" t="s">
        <v>168</v>
      </c>
      <c r="Q281" s="7" t="s">
        <v>696</v>
      </c>
      <c r="R281" s="6"/>
      <c r="S281" s="7"/>
      <c r="T281" s="6" t="s">
        <v>170</v>
      </c>
      <c r="U281" s="7" t="s">
        <v>696</v>
      </c>
      <c r="V281" s="8" t="n">
        <f>25.5</f>
        <v>25.5</v>
      </c>
      <c r="W281" s="9" t="n">
        <f>160</f>
        <v>160.0</v>
      </c>
      <c r="X281" s="9"/>
      <c r="Y281" s="9" t="n">
        <f>408000</f>
        <v>408000.0</v>
      </c>
      <c r="Z281" s="9"/>
      <c r="AA281" s="9" t="str">
        <f>"－"</f>
        <v>－</v>
      </c>
      <c r="AB281" s="6" t="s">
        <v>58</v>
      </c>
      <c r="AC281" s="10" t="str">
        <f>"－"</f>
        <v>－</v>
      </c>
      <c r="AD281" s="9" t="n">
        <f>4</f>
        <v>4.0</v>
      </c>
    </row>
    <row r="282">
      <c r="A282" s="3" t="s">
        <v>50</v>
      </c>
      <c r="B282" s="3" t="s">
        <v>882</v>
      </c>
      <c r="C282" s="43" t="s">
        <v>883</v>
      </c>
      <c r="D282" s="43" t="s">
        <v>884</v>
      </c>
      <c r="E282" s="3" t="s">
        <v>104</v>
      </c>
      <c r="F282" s="3"/>
      <c r="G282" s="3" t="s">
        <v>294</v>
      </c>
      <c r="H282" s="4" t="s">
        <v>295</v>
      </c>
      <c r="I282" s="5" t="n">
        <v>5500.0</v>
      </c>
      <c r="J282" s="6" t="s">
        <v>886</v>
      </c>
      <c r="K282" s="7" t="s">
        <v>887</v>
      </c>
      <c r="L282" s="6" t="s">
        <v>886</v>
      </c>
      <c r="M282" s="7" t="s">
        <v>887</v>
      </c>
      <c r="N282" s="6"/>
      <c r="O282" s="7"/>
      <c r="P282" s="6" t="s">
        <v>886</v>
      </c>
      <c r="Q282" s="7" t="s">
        <v>887</v>
      </c>
      <c r="R282" s="6"/>
      <c r="S282" s="7"/>
      <c r="T282" s="6" t="s">
        <v>886</v>
      </c>
      <c r="U282" s="7" t="s">
        <v>887</v>
      </c>
      <c r="V282" s="8" t="n">
        <f>16</f>
        <v>16.0</v>
      </c>
      <c r="W282" s="9" t="n">
        <f>40</f>
        <v>40.0</v>
      </c>
      <c r="X282" s="9"/>
      <c r="Y282" s="9" t="n">
        <f>64000</f>
        <v>64000.0</v>
      </c>
      <c r="Z282" s="9"/>
      <c r="AA282" s="9" t="str">
        <f>"－"</f>
        <v>－</v>
      </c>
      <c r="AB282" s="6" t="s">
        <v>58</v>
      </c>
      <c r="AC282" s="10" t="n">
        <f>40</f>
        <v>40.0</v>
      </c>
      <c r="AD282" s="9" t="n">
        <f>1</f>
        <v>1.0</v>
      </c>
    </row>
    <row r="283">
      <c r="A283" s="3" t="s">
        <v>50</v>
      </c>
      <c r="B283" s="3" t="s">
        <v>882</v>
      </c>
      <c r="C283" s="43" t="s">
        <v>883</v>
      </c>
      <c r="D283" s="43" t="s">
        <v>884</v>
      </c>
      <c r="E283" s="3" t="s">
        <v>104</v>
      </c>
      <c r="F283" s="3"/>
      <c r="G283" s="3" t="s">
        <v>80</v>
      </c>
      <c r="H283" s="4" t="s">
        <v>81</v>
      </c>
      <c r="I283" s="5" t="n">
        <v>5500.0</v>
      </c>
      <c r="J283" s="6" t="s">
        <v>86</v>
      </c>
      <c r="K283" s="7" t="s">
        <v>103</v>
      </c>
      <c r="L283" s="6" t="s">
        <v>86</v>
      </c>
      <c r="M283" s="7" t="s">
        <v>103</v>
      </c>
      <c r="N283" s="6"/>
      <c r="O283" s="7"/>
      <c r="P283" s="6" t="s">
        <v>86</v>
      </c>
      <c r="Q283" s="7" t="s">
        <v>103</v>
      </c>
      <c r="R283" s="6"/>
      <c r="S283" s="7"/>
      <c r="T283" s="6" t="s">
        <v>86</v>
      </c>
      <c r="U283" s="7" t="s">
        <v>103</v>
      </c>
      <c r="V283" s="8" t="n">
        <f>35</f>
        <v>35.0</v>
      </c>
      <c r="W283" s="9" t="n">
        <f>40</f>
        <v>40.0</v>
      </c>
      <c r="X283" s="9"/>
      <c r="Y283" s="9" t="n">
        <f>140000</f>
        <v>140000.0</v>
      </c>
      <c r="Z283" s="9"/>
      <c r="AA283" s="9" t="str">
        <f>"－"</f>
        <v>－</v>
      </c>
      <c r="AB283" s="6" t="s">
        <v>58</v>
      </c>
      <c r="AC283" s="10" t="n">
        <f>40</f>
        <v>40.0</v>
      </c>
      <c r="AD283" s="9" t="n">
        <f>1</f>
        <v>1.0</v>
      </c>
    </row>
    <row r="284">
      <c r="A284" s="3" t="s">
        <v>50</v>
      </c>
      <c r="B284" s="3" t="s">
        <v>882</v>
      </c>
      <c r="C284" s="43" t="s">
        <v>883</v>
      </c>
      <c r="D284" s="43" t="s">
        <v>884</v>
      </c>
      <c r="E284" s="3" t="s">
        <v>104</v>
      </c>
      <c r="F284" s="3"/>
      <c r="G284" s="3" t="s">
        <v>84</v>
      </c>
      <c r="H284" s="4" t="s">
        <v>85</v>
      </c>
      <c r="I284" s="5" t="n">
        <v>5500.0</v>
      </c>
      <c r="J284" s="6" t="s">
        <v>92</v>
      </c>
      <c r="K284" s="7" t="s">
        <v>888</v>
      </c>
      <c r="L284" s="6" t="s">
        <v>92</v>
      </c>
      <c r="M284" s="7" t="s">
        <v>888</v>
      </c>
      <c r="N284" s="6"/>
      <c r="O284" s="7"/>
      <c r="P284" s="6" t="s">
        <v>357</v>
      </c>
      <c r="Q284" s="7" t="s">
        <v>206</v>
      </c>
      <c r="R284" s="6"/>
      <c r="S284" s="7"/>
      <c r="T284" s="6" t="s">
        <v>357</v>
      </c>
      <c r="U284" s="7" t="s">
        <v>206</v>
      </c>
      <c r="V284" s="8" t="n">
        <f>21.5</f>
        <v>21.5</v>
      </c>
      <c r="W284" s="9" t="n">
        <f>80</f>
        <v>80.0</v>
      </c>
      <c r="X284" s="9"/>
      <c r="Y284" s="9" t="n">
        <f>172000</f>
        <v>172000.0</v>
      </c>
      <c r="Z284" s="9"/>
      <c r="AA284" s="9" t="str">
        <f>"－"</f>
        <v>－</v>
      </c>
      <c r="AB284" s="6" t="s">
        <v>58</v>
      </c>
      <c r="AC284" s="10" t="str">
        <f>"－"</f>
        <v>－</v>
      </c>
      <c r="AD284" s="9" t="n">
        <f>2</f>
        <v>2.0</v>
      </c>
    </row>
    <row r="285">
      <c r="A285" s="3" t="s">
        <v>50</v>
      </c>
      <c r="B285" s="3" t="s">
        <v>882</v>
      </c>
      <c r="C285" s="43" t="s">
        <v>883</v>
      </c>
      <c r="D285" s="43" t="s">
        <v>884</v>
      </c>
      <c r="E285" s="3" t="s">
        <v>104</v>
      </c>
      <c r="F285" s="3"/>
      <c r="G285" s="3" t="s">
        <v>96</v>
      </c>
      <c r="H285" s="4" t="s">
        <v>97</v>
      </c>
      <c r="I285" s="5" t="n">
        <v>5500.0</v>
      </c>
      <c r="J285" s="6" t="s">
        <v>406</v>
      </c>
      <c r="K285" s="7" t="s">
        <v>243</v>
      </c>
      <c r="L285" s="6" t="s">
        <v>889</v>
      </c>
      <c r="M285" s="7" t="s">
        <v>138</v>
      </c>
      <c r="N285" s="6"/>
      <c r="O285" s="7"/>
      <c r="P285" s="6" t="s">
        <v>406</v>
      </c>
      <c r="Q285" s="7" t="s">
        <v>243</v>
      </c>
      <c r="R285" s="6"/>
      <c r="S285" s="7"/>
      <c r="T285" s="6" t="s">
        <v>889</v>
      </c>
      <c r="U285" s="7" t="s">
        <v>138</v>
      </c>
      <c r="V285" s="8" t="n">
        <f>10.5</f>
        <v>10.5</v>
      </c>
      <c r="W285" s="9" t="n">
        <f>80</f>
        <v>80.0</v>
      </c>
      <c r="X285" s="9"/>
      <c r="Y285" s="9" t="n">
        <f>84000</f>
        <v>84000.0</v>
      </c>
      <c r="Z285" s="9"/>
      <c r="AA285" s="9" t="str">
        <f>"－"</f>
        <v>－</v>
      </c>
      <c r="AB285" s="6" t="s">
        <v>58</v>
      </c>
      <c r="AC285" s="10" t="str">
        <f>"－"</f>
        <v>－</v>
      </c>
      <c r="AD285" s="9" t="n">
        <f>2</f>
        <v>2.0</v>
      </c>
    </row>
    <row r="286">
      <c r="A286" s="3" t="s">
        <v>50</v>
      </c>
      <c r="B286" s="3" t="s">
        <v>882</v>
      </c>
      <c r="C286" s="43" t="s">
        <v>883</v>
      </c>
      <c r="D286" s="43" t="s">
        <v>884</v>
      </c>
      <c r="E286" s="3" t="s">
        <v>104</v>
      </c>
      <c r="F286" s="3"/>
      <c r="G286" s="3" t="s">
        <v>127</v>
      </c>
      <c r="H286" s="4" t="s">
        <v>890</v>
      </c>
      <c r="I286" s="5" t="n">
        <v>5500.0</v>
      </c>
      <c r="J286" s="6" t="s">
        <v>889</v>
      </c>
      <c r="K286" s="7" t="s">
        <v>226</v>
      </c>
      <c r="L286" s="6" t="s">
        <v>889</v>
      </c>
      <c r="M286" s="7" t="s">
        <v>226</v>
      </c>
      <c r="N286" s="6"/>
      <c r="O286" s="7"/>
      <c r="P286" s="6" t="s">
        <v>889</v>
      </c>
      <c r="Q286" s="7" t="s">
        <v>226</v>
      </c>
      <c r="R286" s="6"/>
      <c r="S286" s="7"/>
      <c r="T286" s="6" t="s">
        <v>889</v>
      </c>
      <c r="U286" s="7" t="s">
        <v>226</v>
      </c>
      <c r="V286" s="8" t="n">
        <f>80</f>
        <v>80.0</v>
      </c>
      <c r="W286" s="9" t="n">
        <f>40</f>
        <v>40.0</v>
      </c>
      <c r="X286" s="9"/>
      <c r="Y286" s="9" t="n">
        <f>320000</f>
        <v>320000.0</v>
      </c>
      <c r="Z286" s="9"/>
      <c r="AA286" s="9" t="str">
        <f>"－"</f>
        <v>－</v>
      </c>
      <c r="AB286" s="6" t="s">
        <v>58</v>
      </c>
      <c r="AC286" s="10" t="n">
        <f>40</f>
        <v>40.0</v>
      </c>
      <c r="AD286" s="9" t="n">
        <f>1</f>
        <v>1.0</v>
      </c>
    </row>
    <row r="287">
      <c r="A287" s="3" t="s">
        <v>50</v>
      </c>
      <c r="B287" s="3" t="s">
        <v>891</v>
      </c>
      <c r="C287" s="43" t="s">
        <v>892</v>
      </c>
      <c r="D287" s="43" t="s">
        <v>893</v>
      </c>
      <c r="E287" s="3" t="s">
        <v>54</v>
      </c>
      <c r="F287" s="3"/>
      <c r="G287" s="3" t="s">
        <v>84</v>
      </c>
      <c r="H287" s="4" t="s">
        <v>85</v>
      </c>
      <c r="I287" s="5" t="n">
        <v>1500.0</v>
      </c>
      <c r="J287" s="6" t="s">
        <v>894</v>
      </c>
      <c r="K287" s="7" t="s">
        <v>345</v>
      </c>
      <c r="L287" s="6" t="s">
        <v>894</v>
      </c>
      <c r="M287" s="7" t="s">
        <v>345</v>
      </c>
      <c r="N287" s="6"/>
      <c r="O287" s="7"/>
      <c r="P287" s="6" t="s">
        <v>86</v>
      </c>
      <c r="Q287" s="7" t="s">
        <v>479</v>
      </c>
      <c r="R287" s="6"/>
      <c r="S287" s="7"/>
      <c r="T287" s="6" t="s">
        <v>86</v>
      </c>
      <c r="U287" s="7" t="s">
        <v>479</v>
      </c>
      <c r="V287" s="8" t="n">
        <f>120</f>
        <v>120.0</v>
      </c>
      <c r="W287" s="9" t="n">
        <f>100</f>
        <v>100.0</v>
      </c>
      <c r="X287" s="9"/>
      <c r="Y287" s="9" t="n">
        <f>1200000</f>
        <v>1200000.0</v>
      </c>
      <c r="Z287" s="9"/>
      <c r="AA287" s="9" t="str">
        <f>"－"</f>
        <v>－</v>
      </c>
      <c r="AB287" s="6" t="s">
        <v>58</v>
      </c>
      <c r="AC287" s="10" t="str">
        <f>"－"</f>
        <v>－</v>
      </c>
      <c r="AD287" s="9" t="n">
        <f>2</f>
        <v>2.0</v>
      </c>
    </row>
    <row r="288">
      <c r="A288" s="3" t="s">
        <v>50</v>
      </c>
      <c r="B288" s="3" t="s">
        <v>895</v>
      </c>
      <c r="C288" s="43" t="s">
        <v>896</v>
      </c>
      <c r="D288" s="43" t="s">
        <v>897</v>
      </c>
      <c r="E288" s="3" t="s">
        <v>54</v>
      </c>
      <c r="F288" s="3"/>
      <c r="G288" s="3" t="s">
        <v>96</v>
      </c>
      <c r="H288" s="4" t="s">
        <v>97</v>
      </c>
      <c r="I288" s="5" t="n">
        <v>1700.0</v>
      </c>
      <c r="J288" s="6" t="s">
        <v>129</v>
      </c>
      <c r="K288" s="7" t="s">
        <v>898</v>
      </c>
      <c r="L288" s="6" t="s">
        <v>129</v>
      </c>
      <c r="M288" s="7" t="s">
        <v>898</v>
      </c>
      <c r="N288" s="6"/>
      <c r="O288" s="7"/>
      <c r="P288" s="6" t="s">
        <v>129</v>
      </c>
      <c r="Q288" s="7" t="s">
        <v>898</v>
      </c>
      <c r="R288" s="6"/>
      <c r="S288" s="7"/>
      <c r="T288" s="6" t="s">
        <v>129</v>
      </c>
      <c r="U288" s="7" t="s">
        <v>898</v>
      </c>
      <c r="V288" s="8" t="n">
        <f>74.5</f>
        <v>74.5</v>
      </c>
      <c r="W288" s="9" t="n">
        <f>8</f>
        <v>8.0</v>
      </c>
      <c r="X288" s="9"/>
      <c r="Y288" s="9" t="n">
        <f>59600</f>
        <v>59600.0</v>
      </c>
      <c r="Z288" s="9"/>
      <c r="AA288" s="9" t="n">
        <f>8</f>
        <v>8.0</v>
      </c>
      <c r="AB288" s="6" t="s">
        <v>58</v>
      </c>
      <c r="AC288" s="10" t="str">
        <f>"－"</f>
        <v>－</v>
      </c>
      <c r="AD288" s="9" t="n">
        <f>1</f>
        <v>1.0</v>
      </c>
    </row>
    <row r="289">
      <c r="A289" s="3" t="s">
        <v>50</v>
      </c>
      <c r="B289" s="3" t="s">
        <v>895</v>
      </c>
      <c r="C289" s="43" t="s">
        <v>896</v>
      </c>
      <c r="D289" s="43" t="s">
        <v>897</v>
      </c>
      <c r="E289" s="3" t="s">
        <v>104</v>
      </c>
      <c r="F289" s="3"/>
      <c r="G289" s="3" t="s">
        <v>67</v>
      </c>
      <c r="H289" s="4" t="s">
        <v>72</v>
      </c>
      <c r="I289" s="5" t="n">
        <v>1600.0</v>
      </c>
      <c r="J289" s="6" t="s">
        <v>221</v>
      </c>
      <c r="K289" s="7" t="s">
        <v>206</v>
      </c>
      <c r="L289" s="6" t="s">
        <v>221</v>
      </c>
      <c r="M289" s="7" t="s">
        <v>206</v>
      </c>
      <c r="N289" s="6"/>
      <c r="O289" s="7"/>
      <c r="P289" s="6" t="s">
        <v>221</v>
      </c>
      <c r="Q289" s="7" t="s">
        <v>206</v>
      </c>
      <c r="R289" s="6"/>
      <c r="S289" s="7"/>
      <c r="T289" s="6" t="s">
        <v>221</v>
      </c>
      <c r="U289" s="7" t="s">
        <v>206</v>
      </c>
      <c r="V289" s="8" t="n">
        <f>3</f>
        <v>3.0</v>
      </c>
      <c r="W289" s="9" t="n">
        <f>6</f>
        <v>6.0</v>
      </c>
      <c r="X289" s="9"/>
      <c r="Y289" s="9" t="n">
        <f>1800</f>
        <v>1800.0</v>
      </c>
      <c r="Z289" s="9"/>
      <c r="AA289" s="9" t="str">
        <f>"－"</f>
        <v>－</v>
      </c>
      <c r="AB289" s="6" t="s">
        <v>58</v>
      </c>
      <c r="AC289" s="10" t="n">
        <f>6</f>
        <v>6.0</v>
      </c>
      <c r="AD289" s="9" t="n">
        <f>1</f>
        <v>1.0</v>
      </c>
    </row>
    <row r="290">
      <c r="A290" s="3" t="s">
        <v>50</v>
      </c>
      <c r="B290" s="3" t="s">
        <v>899</v>
      </c>
      <c r="C290" s="43" t="s">
        <v>900</v>
      </c>
      <c r="D290" s="43" t="s">
        <v>901</v>
      </c>
      <c r="E290" s="3" t="s">
        <v>54</v>
      </c>
      <c r="F290" s="3"/>
      <c r="G290" s="3" t="s">
        <v>55</v>
      </c>
      <c r="H290" s="4" t="s">
        <v>56</v>
      </c>
      <c r="I290" s="5" t="n">
        <v>9000.0</v>
      </c>
      <c r="J290" s="6"/>
      <c r="K290" s="7" t="s">
        <v>57</v>
      </c>
      <c r="L290" s="6"/>
      <c r="M290" s="7" t="s">
        <v>57</v>
      </c>
      <c r="N290" s="6" t="s">
        <v>473</v>
      </c>
      <c r="O290" s="7" t="s">
        <v>902</v>
      </c>
      <c r="P290" s="6"/>
      <c r="Q290" s="7" t="s">
        <v>57</v>
      </c>
      <c r="R290" s="6" t="s">
        <v>473</v>
      </c>
      <c r="S290" s="7" t="s">
        <v>902</v>
      </c>
      <c r="T290" s="6"/>
      <c r="U290" s="7" t="s">
        <v>57</v>
      </c>
      <c r="V290" s="8" t="str">
        <f>"－"</f>
        <v>－</v>
      </c>
      <c r="W290" s="9" t="n">
        <f>17</f>
        <v>17.0</v>
      </c>
      <c r="X290" s="9" t="n">
        <v>17.0</v>
      </c>
      <c r="Y290" s="9" t="n">
        <f>4476100</f>
        <v>4476100.0</v>
      </c>
      <c r="Z290" s="9" t="n">
        <v>4476100.0</v>
      </c>
      <c r="AA290" s="9" t="str">
        <f>"－"</f>
        <v>－</v>
      </c>
      <c r="AB290" s="6" t="s">
        <v>58</v>
      </c>
      <c r="AC290" s="10" t="str">
        <f>"－"</f>
        <v>－</v>
      </c>
      <c r="AD290" s="9" t="str">
        <f>"－"</f>
        <v>－</v>
      </c>
    </row>
    <row r="291">
      <c r="A291" s="3" t="s">
        <v>50</v>
      </c>
      <c r="B291" s="3" t="s">
        <v>899</v>
      </c>
      <c r="C291" s="43" t="s">
        <v>900</v>
      </c>
      <c r="D291" s="43" t="s">
        <v>901</v>
      </c>
      <c r="E291" s="3" t="s">
        <v>54</v>
      </c>
      <c r="F291" s="3"/>
      <c r="G291" s="3" t="s">
        <v>59</v>
      </c>
      <c r="H291" s="4" t="s">
        <v>60</v>
      </c>
      <c r="I291" s="5" t="n">
        <v>8500.0</v>
      </c>
      <c r="J291" s="6"/>
      <c r="K291" s="7" t="s">
        <v>57</v>
      </c>
      <c r="L291" s="6"/>
      <c r="M291" s="7" t="s">
        <v>57</v>
      </c>
      <c r="N291" s="6" t="s">
        <v>158</v>
      </c>
      <c r="O291" s="7" t="s">
        <v>903</v>
      </c>
      <c r="P291" s="6"/>
      <c r="Q291" s="7" t="s">
        <v>57</v>
      </c>
      <c r="R291" s="6" t="s">
        <v>473</v>
      </c>
      <c r="S291" s="7" t="s">
        <v>904</v>
      </c>
      <c r="T291" s="6"/>
      <c r="U291" s="7" t="s">
        <v>57</v>
      </c>
      <c r="V291" s="8" t="str">
        <f>"－"</f>
        <v>－</v>
      </c>
      <c r="W291" s="9" t="n">
        <f>36</f>
        <v>36.0</v>
      </c>
      <c r="X291" s="9" t="n">
        <v>36.0</v>
      </c>
      <c r="Y291" s="9" t="n">
        <f>8413740</f>
        <v>8413740.0</v>
      </c>
      <c r="Z291" s="9" t="n">
        <v>8413740.0</v>
      </c>
      <c r="AA291" s="9" t="str">
        <f>"－"</f>
        <v>－</v>
      </c>
      <c r="AB291" s="6" t="s">
        <v>58</v>
      </c>
      <c r="AC291" s="10" t="str">
        <f>"－"</f>
        <v>－</v>
      </c>
      <c r="AD291" s="9" t="str">
        <f>"－"</f>
        <v>－</v>
      </c>
    </row>
    <row r="292">
      <c r="A292" s="3" t="s">
        <v>50</v>
      </c>
      <c r="B292" s="3" t="s">
        <v>899</v>
      </c>
      <c r="C292" s="43" t="s">
        <v>900</v>
      </c>
      <c r="D292" s="43" t="s">
        <v>901</v>
      </c>
      <c r="E292" s="3" t="s">
        <v>54</v>
      </c>
      <c r="F292" s="3"/>
      <c r="G292" s="3" t="s">
        <v>63</v>
      </c>
      <c r="H292" s="4" t="s">
        <v>905</v>
      </c>
      <c r="I292" s="5" t="n">
        <v>9000.0</v>
      </c>
      <c r="J292" s="6"/>
      <c r="K292" s="7" t="s">
        <v>57</v>
      </c>
      <c r="L292" s="6"/>
      <c r="M292" s="7" t="s">
        <v>57</v>
      </c>
      <c r="N292" s="6" t="s">
        <v>485</v>
      </c>
      <c r="O292" s="7" t="s">
        <v>906</v>
      </c>
      <c r="P292" s="6"/>
      <c r="Q292" s="7" t="s">
        <v>57</v>
      </c>
      <c r="R292" s="6" t="s">
        <v>158</v>
      </c>
      <c r="S292" s="7" t="s">
        <v>907</v>
      </c>
      <c r="T292" s="6"/>
      <c r="U292" s="7" t="s">
        <v>57</v>
      </c>
      <c r="V292" s="8" t="str">
        <f>"－"</f>
        <v>－</v>
      </c>
      <c r="W292" s="9" t="n">
        <f>30</f>
        <v>30.0</v>
      </c>
      <c r="X292" s="9" t="n">
        <v>30.0</v>
      </c>
      <c r="Y292" s="9" t="n">
        <f>10777650</f>
        <v>1.077765E7</v>
      </c>
      <c r="Z292" s="9" t="n">
        <v>1.077765E7</v>
      </c>
      <c r="AA292" s="9" t="str">
        <f>"－"</f>
        <v>－</v>
      </c>
      <c r="AB292" s="6" t="s">
        <v>58</v>
      </c>
      <c r="AC292" s="10" t="str">
        <f>"－"</f>
        <v>－</v>
      </c>
      <c r="AD292" s="9" t="str">
        <f>"－"</f>
        <v>－</v>
      </c>
    </row>
    <row r="293">
      <c r="A293" s="3" t="s">
        <v>50</v>
      </c>
      <c r="B293" s="3" t="s">
        <v>899</v>
      </c>
      <c r="C293" s="43" t="s">
        <v>900</v>
      </c>
      <c r="D293" s="43" t="s">
        <v>901</v>
      </c>
      <c r="E293" s="3" t="s">
        <v>54</v>
      </c>
      <c r="F293" s="3"/>
      <c r="G293" s="3" t="s">
        <v>116</v>
      </c>
      <c r="H293" s="4" t="s">
        <v>905</v>
      </c>
      <c r="I293" s="5" t="n">
        <v>9000.0</v>
      </c>
      <c r="J293" s="6"/>
      <c r="K293" s="7" t="s">
        <v>57</v>
      </c>
      <c r="L293" s="6"/>
      <c r="M293" s="7" t="s">
        <v>57</v>
      </c>
      <c r="N293" s="6" t="s">
        <v>307</v>
      </c>
      <c r="O293" s="7" t="s">
        <v>908</v>
      </c>
      <c r="P293" s="6"/>
      <c r="Q293" s="7" t="s">
        <v>57</v>
      </c>
      <c r="R293" s="6" t="s">
        <v>485</v>
      </c>
      <c r="S293" s="7" t="s">
        <v>909</v>
      </c>
      <c r="T293" s="6"/>
      <c r="U293" s="7" t="s">
        <v>57</v>
      </c>
      <c r="V293" s="8" t="str">
        <f>"－"</f>
        <v>－</v>
      </c>
      <c r="W293" s="9" t="n">
        <f>30</f>
        <v>30.0</v>
      </c>
      <c r="X293" s="9" t="n">
        <v>30.0</v>
      </c>
      <c r="Y293" s="9" t="n">
        <f>12880650</f>
        <v>1.288065E7</v>
      </c>
      <c r="Z293" s="9" t="n">
        <v>1.288065E7</v>
      </c>
      <c r="AA293" s="9" t="str">
        <f>"－"</f>
        <v>－</v>
      </c>
      <c r="AB293" s="6" t="s">
        <v>58</v>
      </c>
      <c r="AC293" s="10" t="str">
        <f>"－"</f>
        <v>－</v>
      </c>
      <c r="AD293" s="9" t="str">
        <f>"－"</f>
        <v>－</v>
      </c>
    </row>
    <row r="294">
      <c r="A294" s="3" t="s">
        <v>50</v>
      </c>
      <c r="B294" s="3" t="s">
        <v>899</v>
      </c>
      <c r="C294" s="43" t="s">
        <v>900</v>
      </c>
      <c r="D294" s="43" t="s">
        <v>901</v>
      </c>
      <c r="E294" s="3" t="s">
        <v>54</v>
      </c>
      <c r="F294" s="3"/>
      <c r="G294" s="3" t="s">
        <v>679</v>
      </c>
      <c r="H294" s="4" t="s">
        <v>910</v>
      </c>
      <c r="I294" s="5" t="n">
        <v>6000.0</v>
      </c>
      <c r="J294" s="6"/>
      <c r="K294" s="7" t="s">
        <v>57</v>
      </c>
      <c r="L294" s="6"/>
      <c r="M294" s="7" t="s">
        <v>57</v>
      </c>
      <c r="N294" s="6" t="s">
        <v>431</v>
      </c>
      <c r="O294" s="7" t="s">
        <v>911</v>
      </c>
      <c r="P294" s="6"/>
      <c r="Q294" s="7" t="s">
        <v>57</v>
      </c>
      <c r="R294" s="6" t="s">
        <v>431</v>
      </c>
      <c r="S294" s="7" t="s">
        <v>911</v>
      </c>
      <c r="T294" s="6"/>
      <c r="U294" s="7" t="s">
        <v>57</v>
      </c>
      <c r="V294" s="8" t="str">
        <f>"－"</f>
        <v>－</v>
      </c>
      <c r="W294" s="9" t="n">
        <f>30</f>
        <v>30.0</v>
      </c>
      <c r="X294" s="9" t="n">
        <v>30.0</v>
      </c>
      <c r="Y294" s="9" t="n">
        <f>5068200</f>
        <v>5068200.0</v>
      </c>
      <c r="Z294" s="9" t="n">
        <v>5068200.0</v>
      </c>
      <c r="AA294" s="9" t="str">
        <f>"－"</f>
        <v>－</v>
      </c>
      <c r="AB294" s="6"/>
      <c r="AC294" s="10" t="n">
        <f>30</f>
        <v>30.0</v>
      </c>
      <c r="AD294" s="9" t="str">
        <f>"－"</f>
        <v>－</v>
      </c>
    </row>
    <row r="295">
      <c r="A295" s="3" t="s">
        <v>50</v>
      </c>
      <c r="B295" s="3" t="s">
        <v>912</v>
      </c>
      <c r="C295" s="43" t="s">
        <v>913</v>
      </c>
      <c r="D295" s="43" t="s">
        <v>914</v>
      </c>
      <c r="E295" s="3" t="s">
        <v>104</v>
      </c>
      <c r="F295" s="3"/>
      <c r="G295" s="3" t="s">
        <v>55</v>
      </c>
      <c r="H295" s="4" t="s">
        <v>56</v>
      </c>
      <c r="I295" s="5" t="n">
        <v>900.0</v>
      </c>
      <c r="J295" s="6"/>
      <c r="K295" s="7" t="s">
        <v>57</v>
      </c>
      <c r="L295" s="6"/>
      <c r="M295" s="7" t="s">
        <v>57</v>
      </c>
      <c r="N295" s="6"/>
      <c r="O295" s="7"/>
      <c r="P295" s="6"/>
      <c r="Q295" s="7" t="s">
        <v>57</v>
      </c>
      <c r="R295" s="6"/>
      <c r="S295" s="7"/>
      <c r="T295" s="6"/>
      <c r="U295" s="7" t="s">
        <v>57</v>
      </c>
      <c r="V295" s="8" t="str">
        <f>"－"</f>
        <v>－</v>
      </c>
      <c r="W295" s="9" t="str">
        <f>"－"</f>
        <v>－</v>
      </c>
      <c r="X295" s="9"/>
      <c r="Y295" s="9" t="str">
        <f>"－"</f>
        <v>－</v>
      </c>
      <c r="Z295" s="9"/>
      <c r="AA295" s="9" t="n">
        <f>150</f>
        <v>150.0</v>
      </c>
      <c r="AB295" s="6" t="s">
        <v>58</v>
      </c>
      <c r="AC295" s="10" t="str">
        <f>"－"</f>
        <v>－</v>
      </c>
      <c r="AD295" s="9" t="str">
        <f>"－"</f>
        <v>－</v>
      </c>
    </row>
    <row r="296">
      <c r="A296" s="3" t="s">
        <v>50</v>
      </c>
      <c r="B296" s="3" t="s">
        <v>915</v>
      </c>
      <c r="C296" s="43" t="s">
        <v>916</v>
      </c>
      <c r="D296" s="43" t="s">
        <v>917</v>
      </c>
      <c r="E296" s="3" t="s">
        <v>54</v>
      </c>
      <c r="F296" s="3"/>
      <c r="G296" s="3" t="s">
        <v>112</v>
      </c>
      <c r="H296" s="4" t="s">
        <v>113</v>
      </c>
      <c r="I296" s="5" t="n">
        <v>2800.0</v>
      </c>
      <c r="J296" s="6" t="s">
        <v>246</v>
      </c>
      <c r="K296" s="7" t="s">
        <v>918</v>
      </c>
      <c r="L296" s="6" t="s">
        <v>246</v>
      </c>
      <c r="M296" s="7" t="s">
        <v>918</v>
      </c>
      <c r="N296" s="6"/>
      <c r="O296" s="7"/>
      <c r="P296" s="6" t="s">
        <v>246</v>
      </c>
      <c r="Q296" s="7" t="s">
        <v>918</v>
      </c>
      <c r="R296" s="6"/>
      <c r="S296" s="7"/>
      <c r="T296" s="6" t="s">
        <v>246</v>
      </c>
      <c r="U296" s="7" t="s">
        <v>918</v>
      </c>
      <c r="V296" s="8" t="n">
        <f>43</f>
        <v>43.0</v>
      </c>
      <c r="W296" s="9" t="n">
        <f>10</f>
        <v>10.0</v>
      </c>
      <c r="X296" s="9"/>
      <c r="Y296" s="9" t="n">
        <f>43000</f>
        <v>43000.0</v>
      </c>
      <c r="Z296" s="9"/>
      <c r="AA296" s="9" t="str">
        <f>"－"</f>
        <v>－</v>
      </c>
      <c r="AB296" s="6" t="s">
        <v>58</v>
      </c>
      <c r="AC296" s="10" t="n">
        <f>10</f>
        <v>10.0</v>
      </c>
      <c r="AD296" s="9" t="n">
        <f>1</f>
        <v>1.0</v>
      </c>
    </row>
    <row r="297">
      <c r="A297" s="3" t="s">
        <v>50</v>
      </c>
      <c r="B297" s="3" t="s">
        <v>919</v>
      </c>
      <c r="C297" s="43" t="s">
        <v>920</v>
      </c>
      <c r="D297" s="43" t="s">
        <v>921</v>
      </c>
      <c r="E297" s="3" t="s">
        <v>54</v>
      </c>
      <c r="F297" s="3"/>
      <c r="G297" s="3" t="s">
        <v>679</v>
      </c>
      <c r="H297" s="4" t="s">
        <v>922</v>
      </c>
      <c r="I297" s="5" t="n">
        <v>2600.0</v>
      </c>
      <c r="J297" s="6"/>
      <c r="K297" s="7" t="s">
        <v>57</v>
      </c>
      <c r="L297" s="6"/>
      <c r="M297" s="7" t="s">
        <v>57</v>
      </c>
      <c r="N297" s="6" t="s">
        <v>649</v>
      </c>
      <c r="O297" s="7" t="s">
        <v>923</v>
      </c>
      <c r="P297" s="6"/>
      <c r="Q297" s="7" t="s">
        <v>57</v>
      </c>
      <c r="R297" s="6" t="s">
        <v>649</v>
      </c>
      <c r="S297" s="7" t="s">
        <v>923</v>
      </c>
      <c r="T297" s="6"/>
      <c r="U297" s="7" t="s">
        <v>57</v>
      </c>
      <c r="V297" s="8" t="str">
        <f>"－"</f>
        <v>－</v>
      </c>
      <c r="W297" s="9" t="n">
        <f>55</f>
        <v>55.0</v>
      </c>
      <c r="X297" s="9" t="n">
        <v>55.0</v>
      </c>
      <c r="Y297" s="9" t="n">
        <f>3483700</f>
        <v>3483700.0</v>
      </c>
      <c r="Z297" s="9" t="n">
        <v>3483700.0</v>
      </c>
      <c r="AA297" s="9" t="str">
        <f>"－"</f>
        <v>－</v>
      </c>
      <c r="AB297" s="6"/>
      <c r="AC297" s="10" t="n">
        <f>55</f>
        <v>55.0</v>
      </c>
      <c r="AD297" s="9" t="str">
        <f>"－"</f>
        <v>－</v>
      </c>
    </row>
    <row r="298">
      <c r="A298" s="3" t="s">
        <v>50</v>
      </c>
      <c r="B298" s="3" t="s">
        <v>924</v>
      </c>
      <c r="C298" s="43" t="s">
        <v>925</v>
      </c>
      <c r="D298" s="43" t="s">
        <v>926</v>
      </c>
      <c r="E298" s="3" t="s">
        <v>54</v>
      </c>
      <c r="F298" s="3"/>
      <c r="G298" s="3" t="s">
        <v>63</v>
      </c>
      <c r="H298" s="4" t="s">
        <v>64</v>
      </c>
      <c r="I298" s="5" t="n">
        <v>300.0</v>
      </c>
      <c r="J298" s="6" t="s">
        <v>190</v>
      </c>
      <c r="K298" s="7" t="s">
        <v>115</v>
      </c>
      <c r="L298" s="6" t="s">
        <v>190</v>
      </c>
      <c r="M298" s="7" t="s">
        <v>115</v>
      </c>
      <c r="N298" s="6"/>
      <c r="O298" s="7"/>
      <c r="P298" s="6" t="s">
        <v>190</v>
      </c>
      <c r="Q298" s="7" t="s">
        <v>115</v>
      </c>
      <c r="R298" s="6"/>
      <c r="S298" s="7"/>
      <c r="T298" s="6" t="s">
        <v>190</v>
      </c>
      <c r="U298" s="7" t="s">
        <v>115</v>
      </c>
      <c r="V298" s="8" t="n">
        <f>50</f>
        <v>50.0</v>
      </c>
      <c r="W298" s="9" t="n">
        <f>6</f>
        <v>6.0</v>
      </c>
      <c r="X298" s="9"/>
      <c r="Y298" s="9" t="n">
        <f>30000</f>
        <v>30000.0</v>
      </c>
      <c r="Z298" s="9"/>
      <c r="AA298" s="9" t="n">
        <f>6</f>
        <v>6.0</v>
      </c>
      <c r="AB298" s="6" t="s">
        <v>58</v>
      </c>
      <c r="AC298" s="10" t="str">
        <f>"－"</f>
        <v>－</v>
      </c>
      <c r="AD298" s="9" t="n">
        <f>1</f>
        <v>1.0</v>
      </c>
    </row>
    <row r="299">
      <c r="A299" s="3" t="s">
        <v>50</v>
      </c>
      <c r="B299" s="3" t="s">
        <v>927</v>
      </c>
      <c r="C299" s="43" t="s">
        <v>928</v>
      </c>
      <c r="D299" s="43" t="s">
        <v>929</v>
      </c>
      <c r="E299" s="3" t="s">
        <v>54</v>
      </c>
      <c r="F299" s="3"/>
      <c r="G299" s="3" t="s">
        <v>84</v>
      </c>
      <c r="H299" s="4" t="s">
        <v>85</v>
      </c>
      <c r="I299" s="5" t="n">
        <v>3600.0</v>
      </c>
      <c r="J299" s="6"/>
      <c r="K299" s="7" t="s">
        <v>57</v>
      </c>
      <c r="L299" s="6"/>
      <c r="M299" s="7" t="s">
        <v>57</v>
      </c>
      <c r="N299" s="6" t="s">
        <v>558</v>
      </c>
      <c r="O299" s="7" t="s">
        <v>930</v>
      </c>
      <c r="P299" s="6"/>
      <c r="Q299" s="7" t="s">
        <v>57</v>
      </c>
      <c r="R299" s="6" t="s">
        <v>374</v>
      </c>
      <c r="S299" s="7" t="s">
        <v>931</v>
      </c>
      <c r="T299" s="6"/>
      <c r="U299" s="7" t="s">
        <v>57</v>
      </c>
      <c r="V299" s="8" t="str">
        <f>"－"</f>
        <v>－</v>
      </c>
      <c r="W299" s="9" t="n">
        <f>80</f>
        <v>80.0</v>
      </c>
      <c r="X299" s="9" t="n">
        <v>80.0</v>
      </c>
      <c r="Y299" s="9" t="n">
        <f>8638000</f>
        <v>8638000.0</v>
      </c>
      <c r="Z299" s="9" t="n">
        <v>8638000.0</v>
      </c>
      <c r="AA299" s="9" t="str">
        <f>"－"</f>
        <v>－</v>
      </c>
      <c r="AB299" s="6" t="s">
        <v>58</v>
      </c>
      <c r="AC299" s="10" t="str">
        <f>"－"</f>
        <v>－</v>
      </c>
      <c r="AD299" s="9" t="str">
        <f>"－"</f>
        <v>－</v>
      </c>
    </row>
    <row r="300">
      <c r="A300" s="3" t="s">
        <v>50</v>
      </c>
      <c r="B300" s="3" t="s">
        <v>927</v>
      </c>
      <c r="C300" s="43" t="s">
        <v>928</v>
      </c>
      <c r="D300" s="43" t="s">
        <v>929</v>
      </c>
      <c r="E300" s="3" t="s">
        <v>54</v>
      </c>
      <c r="F300" s="3"/>
      <c r="G300" s="3" t="s">
        <v>96</v>
      </c>
      <c r="H300" s="4" t="s">
        <v>97</v>
      </c>
      <c r="I300" s="5" t="n">
        <v>2200.0</v>
      </c>
      <c r="J300" s="6" t="s">
        <v>932</v>
      </c>
      <c r="K300" s="7" t="s">
        <v>404</v>
      </c>
      <c r="L300" s="6" t="s">
        <v>932</v>
      </c>
      <c r="M300" s="7" t="s">
        <v>404</v>
      </c>
      <c r="N300" s="6"/>
      <c r="O300" s="7"/>
      <c r="P300" s="6" t="s">
        <v>932</v>
      </c>
      <c r="Q300" s="7" t="s">
        <v>404</v>
      </c>
      <c r="R300" s="6"/>
      <c r="S300" s="7"/>
      <c r="T300" s="6" t="s">
        <v>932</v>
      </c>
      <c r="U300" s="7" t="s">
        <v>404</v>
      </c>
      <c r="V300" s="8" t="n">
        <f>100</f>
        <v>100.0</v>
      </c>
      <c r="W300" s="9" t="n">
        <f>7</f>
        <v>7.0</v>
      </c>
      <c r="X300" s="9"/>
      <c r="Y300" s="9" t="n">
        <f>70000</f>
        <v>70000.0</v>
      </c>
      <c r="Z300" s="9"/>
      <c r="AA300" s="9" t="n">
        <f>7</f>
        <v>7.0</v>
      </c>
      <c r="AB300" s="6" t="s">
        <v>58</v>
      </c>
      <c r="AC300" s="10" t="str">
        <f>"－"</f>
        <v>－</v>
      </c>
      <c r="AD300" s="9" t="n">
        <f>1</f>
        <v>1.0</v>
      </c>
    </row>
    <row r="301">
      <c r="A301" s="3" t="s">
        <v>50</v>
      </c>
      <c r="B301" s="3" t="s">
        <v>927</v>
      </c>
      <c r="C301" s="43" t="s">
        <v>928</v>
      </c>
      <c r="D301" s="43" t="s">
        <v>929</v>
      </c>
      <c r="E301" s="3" t="s">
        <v>104</v>
      </c>
      <c r="F301" s="3"/>
      <c r="G301" s="3" t="s">
        <v>55</v>
      </c>
      <c r="H301" s="4" t="s">
        <v>56</v>
      </c>
      <c r="I301" s="5" t="n">
        <v>3400.0</v>
      </c>
      <c r="J301" s="6"/>
      <c r="K301" s="7" t="s">
        <v>57</v>
      </c>
      <c r="L301" s="6"/>
      <c r="M301" s="7" t="s">
        <v>57</v>
      </c>
      <c r="N301" s="6"/>
      <c r="O301" s="7"/>
      <c r="P301" s="6"/>
      <c r="Q301" s="7" t="s">
        <v>57</v>
      </c>
      <c r="R301" s="6"/>
      <c r="S301" s="7"/>
      <c r="T301" s="6"/>
      <c r="U301" s="7" t="s">
        <v>57</v>
      </c>
      <c r="V301" s="8" t="str">
        <f>"－"</f>
        <v>－</v>
      </c>
      <c r="W301" s="9" t="str">
        <f>"－"</f>
        <v>－</v>
      </c>
      <c r="X301" s="9"/>
      <c r="Y301" s="9" t="str">
        <f>"－"</f>
        <v>－</v>
      </c>
      <c r="Z301" s="9"/>
      <c r="AA301" s="9" t="str">
        <f>"－"</f>
        <v>－</v>
      </c>
      <c r="AB301" s="6" t="s">
        <v>58</v>
      </c>
      <c r="AC301" s="10" t="n">
        <f>50</f>
        <v>50.0</v>
      </c>
      <c r="AD301" s="9" t="str">
        <f>"－"</f>
        <v>－</v>
      </c>
    </row>
    <row r="302">
      <c r="A302" s="3" t="s">
        <v>50</v>
      </c>
      <c r="B302" s="3" t="s">
        <v>933</v>
      </c>
      <c r="C302" s="43" t="s">
        <v>934</v>
      </c>
      <c r="D302" s="43" t="s">
        <v>935</v>
      </c>
      <c r="E302" s="3" t="s">
        <v>54</v>
      </c>
      <c r="F302" s="3"/>
      <c r="G302" s="3" t="s">
        <v>55</v>
      </c>
      <c r="H302" s="4" t="s">
        <v>936</v>
      </c>
      <c r="I302" s="5" t="n">
        <v>8500.0</v>
      </c>
      <c r="J302" s="6"/>
      <c r="K302" s="7" t="s">
        <v>57</v>
      </c>
      <c r="L302" s="6"/>
      <c r="M302" s="7" t="s">
        <v>57</v>
      </c>
      <c r="N302" s="6" t="s">
        <v>482</v>
      </c>
      <c r="O302" s="7" t="s">
        <v>937</v>
      </c>
      <c r="P302" s="6"/>
      <c r="Q302" s="7" t="s">
        <v>57</v>
      </c>
      <c r="R302" s="6" t="s">
        <v>482</v>
      </c>
      <c r="S302" s="7" t="s">
        <v>937</v>
      </c>
      <c r="T302" s="6"/>
      <c r="U302" s="7" t="s">
        <v>57</v>
      </c>
      <c r="V302" s="8" t="str">
        <f>"－"</f>
        <v>－</v>
      </c>
      <c r="W302" s="9" t="n">
        <f>16</f>
        <v>16.0</v>
      </c>
      <c r="X302" s="9" t="n">
        <v>16.0</v>
      </c>
      <c r="Y302" s="9" t="n">
        <f>2750400</f>
        <v>2750400.0</v>
      </c>
      <c r="Z302" s="9" t="n">
        <v>2750400.0</v>
      </c>
      <c r="AA302" s="9" t="str">
        <f>"－"</f>
        <v>－</v>
      </c>
      <c r="AB302" s="6" t="s">
        <v>58</v>
      </c>
      <c r="AC302" s="10" t="str">
        <f>"－"</f>
        <v>－</v>
      </c>
      <c r="AD302" s="9" t="str">
        <f>"－"</f>
        <v>－</v>
      </c>
    </row>
    <row r="303">
      <c r="A303" s="3" t="s">
        <v>50</v>
      </c>
      <c r="B303" s="3" t="s">
        <v>933</v>
      </c>
      <c r="C303" s="43" t="s">
        <v>934</v>
      </c>
      <c r="D303" s="43" t="s">
        <v>935</v>
      </c>
      <c r="E303" s="3" t="s">
        <v>54</v>
      </c>
      <c r="F303" s="3"/>
      <c r="G303" s="3" t="s">
        <v>63</v>
      </c>
      <c r="H303" s="4" t="s">
        <v>936</v>
      </c>
      <c r="I303" s="5" t="n">
        <v>8500.0</v>
      </c>
      <c r="J303" s="6"/>
      <c r="K303" s="7" t="s">
        <v>57</v>
      </c>
      <c r="L303" s="6"/>
      <c r="M303" s="7" t="s">
        <v>57</v>
      </c>
      <c r="N303" s="6" t="s">
        <v>61</v>
      </c>
      <c r="O303" s="7" t="s">
        <v>938</v>
      </c>
      <c r="P303" s="6"/>
      <c r="Q303" s="7" t="s">
        <v>57</v>
      </c>
      <c r="R303" s="6" t="s">
        <v>190</v>
      </c>
      <c r="S303" s="7" t="s">
        <v>939</v>
      </c>
      <c r="T303" s="6"/>
      <c r="U303" s="7" t="s">
        <v>57</v>
      </c>
      <c r="V303" s="8" t="str">
        <f>"－"</f>
        <v>－</v>
      </c>
      <c r="W303" s="9" t="n">
        <f>30</f>
        <v>30.0</v>
      </c>
      <c r="X303" s="9" t="n">
        <v>30.0</v>
      </c>
      <c r="Y303" s="9" t="n">
        <f>7426950</f>
        <v>7426950.0</v>
      </c>
      <c r="Z303" s="9" t="n">
        <v>7426950.0</v>
      </c>
      <c r="AA303" s="9" t="str">
        <f>"－"</f>
        <v>－</v>
      </c>
      <c r="AB303" s="6" t="s">
        <v>58</v>
      </c>
      <c r="AC303" s="10" t="str">
        <f>"－"</f>
        <v>－</v>
      </c>
      <c r="AD303" s="9" t="str">
        <f>"－"</f>
        <v>－</v>
      </c>
    </row>
    <row r="304">
      <c r="A304" s="3" t="s">
        <v>50</v>
      </c>
      <c r="B304" s="3" t="s">
        <v>940</v>
      </c>
      <c r="C304" s="43" t="s">
        <v>941</v>
      </c>
      <c r="D304" s="43" t="s">
        <v>942</v>
      </c>
      <c r="E304" s="3" t="s">
        <v>54</v>
      </c>
      <c r="F304" s="3"/>
      <c r="G304" s="3" t="s">
        <v>55</v>
      </c>
      <c r="H304" s="4" t="s">
        <v>56</v>
      </c>
      <c r="I304" s="5" t="n">
        <v>4600.0</v>
      </c>
      <c r="J304" s="6"/>
      <c r="K304" s="7" t="s">
        <v>57</v>
      </c>
      <c r="L304" s="6"/>
      <c r="M304" s="7" t="s">
        <v>57</v>
      </c>
      <c r="N304" s="6" t="s">
        <v>162</v>
      </c>
      <c r="O304" s="7" t="s">
        <v>943</v>
      </c>
      <c r="P304" s="6"/>
      <c r="Q304" s="7" t="s">
        <v>57</v>
      </c>
      <c r="R304" s="6" t="s">
        <v>162</v>
      </c>
      <c r="S304" s="7" t="s">
        <v>944</v>
      </c>
      <c r="T304" s="6"/>
      <c r="U304" s="7" t="s">
        <v>57</v>
      </c>
      <c r="V304" s="8" t="str">
        <f>"－"</f>
        <v>－</v>
      </c>
      <c r="W304" s="9" t="n">
        <f>350</f>
        <v>350.0</v>
      </c>
      <c r="X304" s="9" t="n">
        <v>350.0</v>
      </c>
      <c r="Y304" s="9" t="n">
        <f>277070</f>
        <v>277070.0</v>
      </c>
      <c r="Z304" s="9" t="n">
        <v>277070.0</v>
      </c>
      <c r="AA304" s="9" t="str">
        <f>"－"</f>
        <v>－</v>
      </c>
      <c r="AB304" s="6" t="s">
        <v>58</v>
      </c>
      <c r="AC304" s="10" t="n">
        <f>350</f>
        <v>350.0</v>
      </c>
      <c r="AD304" s="9" t="str">
        <f>"－"</f>
        <v>－</v>
      </c>
    </row>
    <row r="305">
      <c r="A305" s="3" t="s">
        <v>50</v>
      </c>
      <c r="B305" s="3" t="s">
        <v>940</v>
      </c>
      <c r="C305" s="43" t="s">
        <v>941</v>
      </c>
      <c r="D305" s="43" t="s">
        <v>942</v>
      </c>
      <c r="E305" s="3" t="s">
        <v>54</v>
      </c>
      <c r="F305" s="3"/>
      <c r="G305" s="3" t="s">
        <v>59</v>
      </c>
      <c r="H305" s="4" t="s">
        <v>60</v>
      </c>
      <c r="I305" s="5" t="n">
        <v>4400.0</v>
      </c>
      <c r="J305" s="6"/>
      <c r="K305" s="7" t="s">
        <v>57</v>
      </c>
      <c r="L305" s="6"/>
      <c r="M305" s="7" t="s">
        <v>57</v>
      </c>
      <c r="N305" s="6" t="s">
        <v>139</v>
      </c>
      <c r="O305" s="7" t="s">
        <v>945</v>
      </c>
      <c r="P305" s="6"/>
      <c r="Q305" s="7" t="s">
        <v>57</v>
      </c>
      <c r="R305" s="6" t="s">
        <v>162</v>
      </c>
      <c r="S305" s="7" t="s">
        <v>946</v>
      </c>
      <c r="T305" s="6"/>
      <c r="U305" s="7" t="s">
        <v>57</v>
      </c>
      <c r="V305" s="8" t="str">
        <f>"－"</f>
        <v>－</v>
      </c>
      <c r="W305" s="9" t="n">
        <f>1200</f>
        <v>1200.0</v>
      </c>
      <c r="X305" s="9" t="n">
        <v>1200.0</v>
      </c>
      <c r="Y305" s="9" t="n">
        <f>3389740</f>
        <v>3389740.0</v>
      </c>
      <c r="Z305" s="9" t="n">
        <v>3389740.0</v>
      </c>
      <c r="AA305" s="9" t="str">
        <f>"－"</f>
        <v>－</v>
      </c>
      <c r="AB305" s="6" t="s">
        <v>58</v>
      </c>
      <c r="AC305" s="10" t="n">
        <f>1200</f>
        <v>1200.0</v>
      </c>
      <c r="AD305" s="9" t="str">
        <f>"－"</f>
        <v>－</v>
      </c>
    </row>
    <row r="306">
      <c r="A306" s="3" t="s">
        <v>50</v>
      </c>
      <c r="B306" s="3" t="s">
        <v>940</v>
      </c>
      <c r="C306" s="43" t="s">
        <v>941</v>
      </c>
      <c r="D306" s="43" t="s">
        <v>942</v>
      </c>
      <c r="E306" s="3" t="s">
        <v>54</v>
      </c>
      <c r="F306" s="3"/>
      <c r="G306" s="3" t="s">
        <v>67</v>
      </c>
      <c r="H306" s="4" t="s">
        <v>216</v>
      </c>
      <c r="I306" s="5" t="n">
        <v>4000.0</v>
      </c>
      <c r="J306" s="6"/>
      <c r="K306" s="7" t="s">
        <v>57</v>
      </c>
      <c r="L306" s="6"/>
      <c r="M306" s="7" t="s">
        <v>57</v>
      </c>
      <c r="N306" s="6" t="s">
        <v>170</v>
      </c>
      <c r="O306" s="7" t="s">
        <v>947</v>
      </c>
      <c r="P306" s="6"/>
      <c r="Q306" s="7" t="s">
        <v>57</v>
      </c>
      <c r="R306" s="6" t="s">
        <v>213</v>
      </c>
      <c r="S306" s="7" t="s">
        <v>948</v>
      </c>
      <c r="T306" s="6"/>
      <c r="U306" s="7" t="s">
        <v>57</v>
      </c>
      <c r="V306" s="8" t="str">
        <f>"－"</f>
        <v>－</v>
      </c>
      <c r="W306" s="9" t="n">
        <f>600</f>
        <v>600.0</v>
      </c>
      <c r="X306" s="9" t="n">
        <v>600.0</v>
      </c>
      <c r="Y306" s="9" t="n">
        <f>2110680</f>
        <v>2110680.0</v>
      </c>
      <c r="Z306" s="9" t="n">
        <v>2110680.0</v>
      </c>
      <c r="AA306" s="9" t="str">
        <f>"－"</f>
        <v>－</v>
      </c>
      <c r="AB306" s="6" t="s">
        <v>58</v>
      </c>
      <c r="AC306" s="10" t="n">
        <f>600</f>
        <v>600.0</v>
      </c>
      <c r="AD306" s="9" t="str">
        <f>"－"</f>
        <v>－</v>
      </c>
    </row>
    <row r="307">
      <c r="A307" s="3" t="s">
        <v>50</v>
      </c>
      <c r="B307" s="3" t="s">
        <v>940</v>
      </c>
      <c r="C307" s="43" t="s">
        <v>941</v>
      </c>
      <c r="D307" s="43" t="s">
        <v>942</v>
      </c>
      <c r="E307" s="3" t="s">
        <v>104</v>
      </c>
      <c r="F307" s="3"/>
      <c r="G307" s="3" t="s">
        <v>59</v>
      </c>
      <c r="H307" s="4" t="s">
        <v>60</v>
      </c>
      <c r="I307" s="5" t="n">
        <v>5000.0</v>
      </c>
      <c r="J307" s="6"/>
      <c r="K307" s="7" t="s">
        <v>57</v>
      </c>
      <c r="L307" s="6"/>
      <c r="M307" s="7" t="s">
        <v>57</v>
      </c>
      <c r="N307" s="6" t="s">
        <v>162</v>
      </c>
      <c r="O307" s="7" t="s">
        <v>949</v>
      </c>
      <c r="P307" s="6"/>
      <c r="Q307" s="7" t="s">
        <v>57</v>
      </c>
      <c r="R307" s="6" t="s">
        <v>162</v>
      </c>
      <c r="S307" s="7" t="s">
        <v>950</v>
      </c>
      <c r="T307" s="6"/>
      <c r="U307" s="7" t="s">
        <v>57</v>
      </c>
      <c r="V307" s="8" t="str">
        <f>"－"</f>
        <v>－</v>
      </c>
      <c r="W307" s="9" t="n">
        <f>600</f>
        <v>600.0</v>
      </c>
      <c r="X307" s="9" t="n">
        <v>600.0</v>
      </c>
      <c r="Y307" s="9" t="n">
        <f>7624850</f>
        <v>7624850.0</v>
      </c>
      <c r="Z307" s="9" t="n">
        <v>7624850.0</v>
      </c>
      <c r="AA307" s="9" t="str">
        <f>"－"</f>
        <v>－</v>
      </c>
      <c r="AB307" s="6" t="s">
        <v>58</v>
      </c>
      <c r="AC307" s="10" t="n">
        <f>600</f>
        <v>600.0</v>
      </c>
      <c r="AD307" s="9" t="str">
        <f>"－"</f>
        <v>－</v>
      </c>
    </row>
    <row r="308">
      <c r="A308" s="3" t="s">
        <v>50</v>
      </c>
      <c r="B308" s="3" t="s">
        <v>940</v>
      </c>
      <c r="C308" s="43" t="s">
        <v>941</v>
      </c>
      <c r="D308" s="43" t="s">
        <v>942</v>
      </c>
      <c r="E308" s="3" t="s">
        <v>104</v>
      </c>
      <c r="F308" s="3"/>
      <c r="G308" s="3" t="s">
        <v>127</v>
      </c>
      <c r="H308" s="4" t="s">
        <v>128</v>
      </c>
      <c r="I308" s="5" t="n">
        <v>5500.0</v>
      </c>
      <c r="J308" s="6" t="s">
        <v>415</v>
      </c>
      <c r="K308" s="7" t="s">
        <v>364</v>
      </c>
      <c r="L308" s="6" t="s">
        <v>415</v>
      </c>
      <c r="M308" s="7" t="s">
        <v>364</v>
      </c>
      <c r="N308" s="6"/>
      <c r="O308" s="7"/>
      <c r="P308" s="6" t="s">
        <v>415</v>
      </c>
      <c r="Q308" s="7" t="s">
        <v>364</v>
      </c>
      <c r="R308" s="6"/>
      <c r="S308" s="7"/>
      <c r="T308" s="6" t="s">
        <v>415</v>
      </c>
      <c r="U308" s="7" t="s">
        <v>364</v>
      </c>
      <c r="V308" s="8" t="n">
        <f>160</f>
        <v>160.0</v>
      </c>
      <c r="W308" s="9" t="n">
        <f>1</f>
        <v>1.0</v>
      </c>
      <c r="X308" s="9"/>
      <c r="Y308" s="9" t="n">
        <f>16000</f>
        <v>16000.0</v>
      </c>
      <c r="Z308" s="9"/>
      <c r="AA308" s="9" t="str">
        <f>"－"</f>
        <v>－</v>
      </c>
      <c r="AB308" s="6" t="s">
        <v>58</v>
      </c>
      <c r="AC308" s="10" t="n">
        <f>1</f>
        <v>1.0</v>
      </c>
      <c r="AD308" s="9" t="n">
        <f>1</f>
        <v>1.0</v>
      </c>
    </row>
    <row r="309">
      <c r="A309" s="3" t="s">
        <v>50</v>
      </c>
      <c r="B309" s="3" t="s">
        <v>951</v>
      </c>
      <c r="C309" s="43" t="s">
        <v>952</v>
      </c>
      <c r="D309" s="43" t="s">
        <v>953</v>
      </c>
      <c r="E309" s="3" t="s">
        <v>54</v>
      </c>
      <c r="F309" s="3"/>
      <c r="G309" s="3" t="s">
        <v>63</v>
      </c>
      <c r="H309" s="4" t="s">
        <v>64</v>
      </c>
      <c r="I309" s="5" t="n">
        <v>1400.0</v>
      </c>
      <c r="J309" s="6"/>
      <c r="K309" s="7" t="s">
        <v>57</v>
      </c>
      <c r="L309" s="6"/>
      <c r="M309" s="7" t="s">
        <v>57</v>
      </c>
      <c r="N309" s="6" t="s">
        <v>156</v>
      </c>
      <c r="O309" s="7" t="s">
        <v>954</v>
      </c>
      <c r="P309" s="6"/>
      <c r="Q309" s="7" t="s">
        <v>57</v>
      </c>
      <c r="R309" s="6" t="s">
        <v>156</v>
      </c>
      <c r="S309" s="7" t="s">
        <v>955</v>
      </c>
      <c r="T309" s="6"/>
      <c r="U309" s="7" t="s">
        <v>57</v>
      </c>
      <c r="V309" s="8" t="str">
        <f>"－"</f>
        <v>－</v>
      </c>
      <c r="W309" s="9" t="n">
        <f>3214</f>
        <v>3214.0</v>
      </c>
      <c r="X309" s="9" t="n">
        <v>3214.0</v>
      </c>
      <c r="Y309" s="9" t="n">
        <f>8104390</f>
        <v>8104390.0</v>
      </c>
      <c r="Z309" s="9" t="n">
        <v>8104390.0</v>
      </c>
      <c r="AA309" s="9" t="n">
        <f>3214</f>
        <v>3214.0</v>
      </c>
      <c r="AB309" s="6" t="s">
        <v>58</v>
      </c>
      <c r="AC309" s="10" t="str">
        <f>"－"</f>
        <v>－</v>
      </c>
      <c r="AD309" s="9" t="str">
        <f>"－"</f>
        <v>－</v>
      </c>
    </row>
    <row r="310">
      <c r="A310" s="3" t="s">
        <v>50</v>
      </c>
      <c r="B310" s="3" t="s">
        <v>951</v>
      </c>
      <c r="C310" s="43" t="s">
        <v>952</v>
      </c>
      <c r="D310" s="43" t="s">
        <v>953</v>
      </c>
      <c r="E310" s="3" t="s">
        <v>54</v>
      </c>
      <c r="F310" s="3"/>
      <c r="G310" s="3" t="s">
        <v>294</v>
      </c>
      <c r="H310" s="4" t="s">
        <v>295</v>
      </c>
      <c r="I310" s="5" t="n">
        <v>1300.0</v>
      </c>
      <c r="J310" s="6"/>
      <c r="K310" s="7" t="s">
        <v>57</v>
      </c>
      <c r="L310" s="6"/>
      <c r="M310" s="7" t="s">
        <v>57</v>
      </c>
      <c r="N310" s="6" t="s">
        <v>547</v>
      </c>
      <c r="O310" s="7" t="s">
        <v>956</v>
      </c>
      <c r="P310" s="6"/>
      <c r="Q310" s="7" t="s">
        <v>57</v>
      </c>
      <c r="R310" s="6" t="s">
        <v>547</v>
      </c>
      <c r="S310" s="7" t="s">
        <v>957</v>
      </c>
      <c r="T310" s="6"/>
      <c r="U310" s="7" t="s">
        <v>57</v>
      </c>
      <c r="V310" s="8" t="str">
        <f>"－"</f>
        <v>－</v>
      </c>
      <c r="W310" s="9" t="n">
        <f>2228</f>
        <v>2228.0</v>
      </c>
      <c r="X310" s="9" t="n">
        <v>2228.0</v>
      </c>
      <c r="Y310" s="9" t="n">
        <f>3591090</f>
        <v>3591090.0</v>
      </c>
      <c r="Z310" s="9" t="n">
        <v>3591090.0</v>
      </c>
      <c r="AA310" s="9" t="str">
        <f>"－"</f>
        <v>－</v>
      </c>
      <c r="AB310" s="6" t="s">
        <v>58</v>
      </c>
      <c r="AC310" s="10" t="n">
        <f>2228</f>
        <v>2228.0</v>
      </c>
      <c r="AD310" s="9" t="str">
        <f>"－"</f>
        <v>－</v>
      </c>
    </row>
    <row r="311">
      <c r="A311" s="3" t="s">
        <v>50</v>
      </c>
      <c r="B311" s="3" t="s">
        <v>951</v>
      </c>
      <c r="C311" s="43" t="s">
        <v>952</v>
      </c>
      <c r="D311" s="43" t="s">
        <v>953</v>
      </c>
      <c r="E311" s="3" t="s">
        <v>54</v>
      </c>
      <c r="F311" s="3"/>
      <c r="G311" s="3" t="s">
        <v>88</v>
      </c>
      <c r="H311" s="4" t="s">
        <v>89</v>
      </c>
      <c r="I311" s="5" t="n">
        <v>1400.0</v>
      </c>
      <c r="J311" s="6"/>
      <c r="K311" s="7" t="s">
        <v>57</v>
      </c>
      <c r="L311" s="6"/>
      <c r="M311" s="7" t="s">
        <v>57</v>
      </c>
      <c r="N311" s="6" t="s">
        <v>90</v>
      </c>
      <c r="O311" s="7" t="s">
        <v>958</v>
      </c>
      <c r="P311" s="6"/>
      <c r="Q311" s="7" t="s">
        <v>57</v>
      </c>
      <c r="R311" s="6" t="s">
        <v>90</v>
      </c>
      <c r="S311" s="7" t="s">
        <v>959</v>
      </c>
      <c r="T311" s="6"/>
      <c r="U311" s="7" t="s">
        <v>57</v>
      </c>
      <c r="V311" s="8" t="str">
        <f>"－"</f>
        <v>－</v>
      </c>
      <c r="W311" s="9" t="n">
        <f>5483</f>
        <v>5483.0</v>
      </c>
      <c r="X311" s="9" t="n">
        <v>5483.0</v>
      </c>
      <c r="Y311" s="9" t="n">
        <f>18822860</f>
        <v>1.882286E7</v>
      </c>
      <c r="Z311" s="9" t="n">
        <v>1.882286E7</v>
      </c>
      <c r="AA311" s="9" t="n">
        <f>5483</f>
        <v>5483.0</v>
      </c>
      <c r="AB311" s="6" t="s">
        <v>58</v>
      </c>
      <c r="AC311" s="10" t="str">
        <f>"－"</f>
        <v>－</v>
      </c>
      <c r="AD311" s="9" t="str">
        <f>"－"</f>
        <v>－</v>
      </c>
    </row>
    <row r="312">
      <c r="A312" s="3" t="s">
        <v>50</v>
      </c>
      <c r="B312" s="3" t="s">
        <v>951</v>
      </c>
      <c r="C312" s="43" t="s">
        <v>952</v>
      </c>
      <c r="D312" s="43" t="s">
        <v>953</v>
      </c>
      <c r="E312" s="3" t="s">
        <v>54</v>
      </c>
      <c r="F312" s="3"/>
      <c r="G312" s="3" t="s">
        <v>96</v>
      </c>
      <c r="H312" s="4" t="s">
        <v>97</v>
      </c>
      <c r="I312" s="5" t="n">
        <v>1300.0</v>
      </c>
      <c r="J312" s="6"/>
      <c r="K312" s="7" t="s">
        <v>57</v>
      </c>
      <c r="L312" s="6"/>
      <c r="M312" s="7" t="s">
        <v>57</v>
      </c>
      <c r="N312" s="6" t="s">
        <v>600</v>
      </c>
      <c r="O312" s="7" t="s">
        <v>960</v>
      </c>
      <c r="P312" s="6"/>
      <c r="Q312" s="7" t="s">
        <v>57</v>
      </c>
      <c r="R312" s="6" t="s">
        <v>600</v>
      </c>
      <c r="S312" s="7" t="s">
        <v>960</v>
      </c>
      <c r="T312" s="6"/>
      <c r="U312" s="7" t="s">
        <v>57</v>
      </c>
      <c r="V312" s="8" t="str">
        <f>"－"</f>
        <v>－</v>
      </c>
      <c r="W312" s="9" t="n">
        <f>2700</f>
        <v>2700.0</v>
      </c>
      <c r="X312" s="9" t="n">
        <v>2700.0</v>
      </c>
      <c r="Y312" s="9" t="n">
        <f>8208000</f>
        <v>8208000.0</v>
      </c>
      <c r="Z312" s="9" t="n">
        <v>8208000.0</v>
      </c>
      <c r="AA312" s="9" t="str">
        <f>"－"</f>
        <v>－</v>
      </c>
      <c r="AB312" s="6" t="s">
        <v>58</v>
      </c>
      <c r="AC312" s="10" t="n">
        <f>2700</f>
        <v>2700.0</v>
      </c>
      <c r="AD312" s="9" t="str">
        <f>"－"</f>
        <v>－</v>
      </c>
    </row>
    <row r="313">
      <c r="A313" s="3" t="s">
        <v>50</v>
      </c>
      <c r="B313" s="3" t="s">
        <v>951</v>
      </c>
      <c r="C313" s="43" t="s">
        <v>952</v>
      </c>
      <c r="D313" s="43" t="s">
        <v>953</v>
      </c>
      <c r="E313" s="3" t="s">
        <v>54</v>
      </c>
      <c r="F313" s="3"/>
      <c r="G313" s="3" t="s">
        <v>127</v>
      </c>
      <c r="H313" s="4" t="s">
        <v>128</v>
      </c>
      <c r="I313" s="5" t="n">
        <v>1400.0</v>
      </c>
      <c r="J313" s="6"/>
      <c r="K313" s="7" t="s">
        <v>57</v>
      </c>
      <c r="L313" s="6"/>
      <c r="M313" s="7" t="s">
        <v>57</v>
      </c>
      <c r="N313" s="6" t="s">
        <v>409</v>
      </c>
      <c r="O313" s="7" t="s">
        <v>961</v>
      </c>
      <c r="P313" s="6"/>
      <c r="Q313" s="7" t="s">
        <v>57</v>
      </c>
      <c r="R313" s="6" t="s">
        <v>409</v>
      </c>
      <c r="S313" s="7" t="s">
        <v>961</v>
      </c>
      <c r="T313" s="6"/>
      <c r="U313" s="7" t="s">
        <v>57</v>
      </c>
      <c r="V313" s="8" t="str">
        <f>"－"</f>
        <v>－</v>
      </c>
      <c r="W313" s="9" t="n">
        <f>198</f>
        <v>198.0</v>
      </c>
      <c r="X313" s="9" t="n">
        <v>198.0</v>
      </c>
      <c r="Y313" s="9" t="n">
        <f>990000</f>
        <v>990000.0</v>
      </c>
      <c r="Z313" s="9" t="n">
        <v>990000.0</v>
      </c>
      <c r="AA313" s="9" t="n">
        <f>198</f>
        <v>198.0</v>
      </c>
      <c r="AB313" s="6" t="s">
        <v>58</v>
      </c>
      <c r="AC313" s="10" t="str">
        <f>"－"</f>
        <v>－</v>
      </c>
      <c r="AD313" s="9" t="str">
        <f>"－"</f>
        <v>－</v>
      </c>
    </row>
    <row r="314">
      <c r="A314" s="3" t="s">
        <v>50</v>
      </c>
      <c r="B314" s="3" t="s">
        <v>951</v>
      </c>
      <c r="C314" s="43" t="s">
        <v>952</v>
      </c>
      <c r="D314" s="43" t="s">
        <v>953</v>
      </c>
      <c r="E314" s="3" t="s">
        <v>54</v>
      </c>
      <c r="F314" s="3"/>
      <c r="G314" s="3" t="s">
        <v>100</v>
      </c>
      <c r="H314" s="4" t="s">
        <v>101</v>
      </c>
      <c r="I314" s="5" t="n">
        <v>1400.0</v>
      </c>
      <c r="J314" s="6"/>
      <c r="K314" s="7" t="s">
        <v>57</v>
      </c>
      <c r="L314" s="6"/>
      <c r="M314" s="7" t="s">
        <v>57</v>
      </c>
      <c r="N314" s="6" t="s">
        <v>429</v>
      </c>
      <c r="O314" s="7" t="s">
        <v>962</v>
      </c>
      <c r="P314" s="6"/>
      <c r="Q314" s="7" t="s">
        <v>57</v>
      </c>
      <c r="R314" s="6" t="s">
        <v>429</v>
      </c>
      <c r="S314" s="7" t="s">
        <v>963</v>
      </c>
      <c r="T314" s="6"/>
      <c r="U314" s="7" t="s">
        <v>57</v>
      </c>
      <c r="V314" s="8" t="str">
        <f>"－"</f>
        <v>－</v>
      </c>
      <c r="W314" s="9" t="n">
        <f>172</f>
        <v>172.0</v>
      </c>
      <c r="X314" s="9" t="n">
        <v>172.0</v>
      </c>
      <c r="Y314" s="9" t="n">
        <f>1194740</f>
        <v>1194740.0</v>
      </c>
      <c r="Z314" s="9" t="n">
        <v>1194740.0</v>
      </c>
      <c r="AA314" s="9" t="str">
        <f>"－"</f>
        <v>－</v>
      </c>
      <c r="AB314" s="6"/>
      <c r="AC314" s="10" t="n">
        <f>172</f>
        <v>172.0</v>
      </c>
      <c r="AD314" s="9" t="str">
        <f>"－"</f>
        <v>－</v>
      </c>
    </row>
    <row r="315">
      <c r="A315" s="3" t="s">
        <v>50</v>
      </c>
      <c r="B315" s="3" t="s">
        <v>951</v>
      </c>
      <c r="C315" s="43" t="s">
        <v>952</v>
      </c>
      <c r="D315" s="43" t="s">
        <v>953</v>
      </c>
      <c r="E315" s="3" t="s">
        <v>54</v>
      </c>
      <c r="F315" s="3"/>
      <c r="G315" s="3" t="s">
        <v>679</v>
      </c>
      <c r="H315" s="4" t="s">
        <v>964</v>
      </c>
      <c r="I315" s="5" t="n">
        <v>1300.0</v>
      </c>
      <c r="J315" s="6"/>
      <c r="K315" s="7" t="s">
        <v>57</v>
      </c>
      <c r="L315" s="6"/>
      <c r="M315" s="7" t="s">
        <v>57</v>
      </c>
      <c r="N315" s="6" t="s">
        <v>647</v>
      </c>
      <c r="O315" s="7" t="s">
        <v>965</v>
      </c>
      <c r="P315" s="6"/>
      <c r="Q315" s="7" t="s">
        <v>57</v>
      </c>
      <c r="R315" s="6" t="s">
        <v>647</v>
      </c>
      <c r="S315" s="7" t="s">
        <v>965</v>
      </c>
      <c r="T315" s="6"/>
      <c r="U315" s="7" t="s">
        <v>57</v>
      </c>
      <c r="V315" s="8" t="str">
        <f>"－"</f>
        <v>－</v>
      </c>
      <c r="W315" s="9" t="n">
        <f>6800</f>
        <v>6800.0</v>
      </c>
      <c r="X315" s="9" t="n">
        <v>6800.0</v>
      </c>
      <c r="Y315" s="9" t="n">
        <f>26452000</f>
        <v>2.6452E7</v>
      </c>
      <c r="Z315" s="9" t="n">
        <v>2.6452E7</v>
      </c>
      <c r="AA315" s="9" t="str">
        <f>"－"</f>
        <v>－</v>
      </c>
      <c r="AB315" s="6"/>
      <c r="AC315" s="10" t="n">
        <f>6800</f>
        <v>6800.0</v>
      </c>
      <c r="AD315" s="9" t="str">
        <f>"－"</f>
        <v>－</v>
      </c>
    </row>
    <row r="316">
      <c r="A316" s="3" t="s">
        <v>50</v>
      </c>
      <c r="B316" s="3" t="s">
        <v>966</v>
      </c>
      <c r="C316" s="43" t="s">
        <v>967</v>
      </c>
      <c r="D316" s="43" t="s">
        <v>968</v>
      </c>
      <c r="E316" s="3" t="s">
        <v>54</v>
      </c>
      <c r="F316" s="3"/>
      <c r="G316" s="3" t="s">
        <v>84</v>
      </c>
      <c r="H316" s="4" t="s">
        <v>85</v>
      </c>
      <c r="I316" s="5" t="n">
        <v>13500.0</v>
      </c>
      <c r="J316" s="6"/>
      <c r="K316" s="7" t="s">
        <v>57</v>
      </c>
      <c r="L316" s="6"/>
      <c r="M316" s="7" t="s">
        <v>57</v>
      </c>
      <c r="N316" s="6" t="s">
        <v>558</v>
      </c>
      <c r="O316" s="7" t="s">
        <v>969</v>
      </c>
      <c r="P316" s="6"/>
      <c r="Q316" s="7" t="s">
        <v>57</v>
      </c>
      <c r="R316" s="6" t="s">
        <v>374</v>
      </c>
      <c r="S316" s="7" t="s">
        <v>970</v>
      </c>
      <c r="T316" s="6"/>
      <c r="U316" s="7" t="s">
        <v>57</v>
      </c>
      <c r="V316" s="8" t="str">
        <f>"－"</f>
        <v>－</v>
      </c>
      <c r="W316" s="9" t="n">
        <f>24</f>
        <v>24.0</v>
      </c>
      <c r="X316" s="9" t="n">
        <v>24.0</v>
      </c>
      <c r="Y316" s="9" t="n">
        <f>10022160</f>
        <v>1.002216E7</v>
      </c>
      <c r="Z316" s="9" t="n">
        <v>1.002216E7</v>
      </c>
      <c r="AA316" s="9" t="str">
        <f>"－"</f>
        <v>－</v>
      </c>
      <c r="AB316" s="6" t="s">
        <v>58</v>
      </c>
      <c r="AC316" s="10" t="str">
        <f>"－"</f>
        <v>－</v>
      </c>
      <c r="AD316" s="9" t="str">
        <f>"－"</f>
        <v>－</v>
      </c>
    </row>
    <row r="317">
      <c r="A317" s="3" t="s">
        <v>50</v>
      </c>
      <c r="B317" s="3" t="s">
        <v>966</v>
      </c>
      <c r="C317" s="43" t="s">
        <v>967</v>
      </c>
      <c r="D317" s="43" t="s">
        <v>968</v>
      </c>
      <c r="E317" s="3" t="s">
        <v>104</v>
      </c>
      <c r="F317" s="3"/>
      <c r="G317" s="3" t="s">
        <v>55</v>
      </c>
      <c r="H317" s="4" t="s">
        <v>936</v>
      </c>
      <c r="I317" s="5" t="n">
        <v>14000.0</v>
      </c>
      <c r="J317" s="6"/>
      <c r="K317" s="7" t="s">
        <v>57</v>
      </c>
      <c r="L317" s="6"/>
      <c r="M317" s="7" t="s">
        <v>57</v>
      </c>
      <c r="N317" s="6"/>
      <c r="O317" s="7"/>
      <c r="P317" s="6"/>
      <c r="Q317" s="7" t="s">
        <v>57</v>
      </c>
      <c r="R317" s="6"/>
      <c r="S317" s="7"/>
      <c r="T317" s="6"/>
      <c r="U317" s="7" t="s">
        <v>57</v>
      </c>
      <c r="V317" s="8" t="str">
        <f>"－"</f>
        <v>－</v>
      </c>
      <c r="W317" s="9" t="str">
        <f>"－"</f>
        <v>－</v>
      </c>
      <c r="X317" s="9"/>
      <c r="Y317" s="9" t="str">
        <f>"－"</f>
        <v>－</v>
      </c>
      <c r="Z317" s="9"/>
      <c r="AA317" s="9" t="str">
        <f>"－"</f>
        <v>－</v>
      </c>
      <c r="AB317" s="6" t="s">
        <v>58</v>
      </c>
      <c r="AC317" s="10" t="n">
        <f>4</f>
        <v>4.0</v>
      </c>
      <c r="AD317" s="9" t="str">
        <f>"－"</f>
        <v>－</v>
      </c>
    </row>
    <row r="318">
      <c r="A318" s="3" t="s">
        <v>50</v>
      </c>
      <c r="B318" s="3" t="s">
        <v>966</v>
      </c>
      <c r="C318" s="43" t="s">
        <v>967</v>
      </c>
      <c r="D318" s="43" t="s">
        <v>968</v>
      </c>
      <c r="E318" s="3" t="s">
        <v>104</v>
      </c>
      <c r="F318" s="3"/>
      <c r="G318" s="3" t="s">
        <v>294</v>
      </c>
      <c r="H318" s="4" t="s">
        <v>295</v>
      </c>
      <c r="I318" s="5" t="n">
        <v>9000.0</v>
      </c>
      <c r="J318" s="6"/>
      <c r="K318" s="7" t="s">
        <v>57</v>
      </c>
      <c r="L318" s="6"/>
      <c r="M318" s="7" t="s">
        <v>57</v>
      </c>
      <c r="N318" s="6" t="s">
        <v>538</v>
      </c>
      <c r="O318" s="7" t="s">
        <v>971</v>
      </c>
      <c r="P318" s="6"/>
      <c r="Q318" s="7" t="s">
        <v>57</v>
      </c>
      <c r="R318" s="6" t="s">
        <v>538</v>
      </c>
      <c r="S318" s="7" t="s">
        <v>971</v>
      </c>
      <c r="T318" s="6"/>
      <c r="U318" s="7" t="s">
        <v>57</v>
      </c>
      <c r="V318" s="8" t="str">
        <f>"－"</f>
        <v>－</v>
      </c>
      <c r="W318" s="9" t="n">
        <f>8</f>
        <v>8.0</v>
      </c>
      <c r="X318" s="9" t="n">
        <v>8.0</v>
      </c>
      <c r="Y318" s="9" t="n">
        <f>150800</f>
        <v>150800.0</v>
      </c>
      <c r="Z318" s="9" t="n">
        <v>150800.0</v>
      </c>
      <c r="AA318" s="9" t="str">
        <f>"－"</f>
        <v>－</v>
      </c>
      <c r="AB318" s="6" t="s">
        <v>58</v>
      </c>
      <c r="AC318" s="10" t="n">
        <f>8</f>
        <v>8.0</v>
      </c>
      <c r="AD318" s="9" t="str">
        <f>"－"</f>
        <v>－</v>
      </c>
    </row>
    <row r="319">
      <c r="A319" s="3" t="s">
        <v>50</v>
      </c>
      <c r="B319" s="3" t="s">
        <v>972</v>
      </c>
      <c r="C319" s="43" t="s">
        <v>973</v>
      </c>
      <c r="D319" s="43" t="s">
        <v>974</v>
      </c>
      <c r="E319" s="3" t="s">
        <v>54</v>
      </c>
      <c r="F319" s="3"/>
      <c r="G319" s="3" t="s">
        <v>116</v>
      </c>
      <c r="H319" s="4" t="s">
        <v>975</v>
      </c>
      <c r="I319" s="5" t="n">
        <v>7500.0</v>
      </c>
      <c r="J319" s="6"/>
      <c r="K319" s="7" t="s">
        <v>57</v>
      </c>
      <c r="L319" s="6"/>
      <c r="M319" s="7" t="s">
        <v>57</v>
      </c>
      <c r="N319" s="6" t="s">
        <v>223</v>
      </c>
      <c r="O319" s="7" t="s">
        <v>976</v>
      </c>
      <c r="P319" s="6"/>
      <c r="Q319" s="7" t="s">
        <v>57</v>
      </c>
      <c r="R319" s="6" t="s">
        <v>709</v>
      </c>
      <c r="S319" s="7" t="s">
        <v>977</v>
      </c>
      <c r="T319" s="6"/>
      <c r="U319" s="7" t="s">
        <v>57</v>
      </c>
      <c r="V319" s="8" t="str">
        <f>"－"</f>
        <v>－</v>
      </c>
      <c r="W319" s="9" t="n">
        <f>40</f>
        <v>40.0</v>
      </c>
      <c r="X319" s="9" t="n">
        <v>40.0</v>
      </c>
      <c r="Y319" s="9" t="n">
        <f>9592800</f>
        <v>9592800.0</v>
      </c>
      <c r="Z319" s="9" t="n">
        <v>9592800.0</v>
      </c>
      <c r="AA319" s="9" t="str">
        <f>"－"</f>
        <v>－</v>
      </c>
      <c r="AB319" s="6" t="s">
        <v>58</v>
      </c>
      <c r="AC319" s="10" t="str">
        <f>"－"</f>
        <v>－</v>
      </c>
      <c r="AD319" s="9" t="str">
        <f>"－"</f>
        <v>－</v>
      </c>
    </row>
    <row r="320">
      <c r="A320" s="3" t="s">
        <v>50</v>
      </c>
      <c r="B320" s="3" t="s">
        <v>972</v>
      </c>
      <c r="C320" s="43" t="s">
        <v>973</v>
      </c>
      <c r="D320" s="43" t="s">
        <v>974</v>
      </c>
      <c r="E320" s="3" t="s">
        <v>54</v>
      </c>
      <c r="F320" s="3"/>
      <c r="G320" s="3" t="s">
        <v>127</v>
      </c>
      <c r="H320" s="4" t="s">
        <v>978</v>
      </c>
      <c r="I320" s="5" t="n">
        <v>6500.0</v>
      </c>
      <c r="J320" s="6"/>
      <c r="K320" s="7" t="s">
        <v>57</v>
      </c>
      <c r="L320" s="6"/>
      <c r="M320" s="7" t="s">
        <v>57</v>
      </c>
      <c r="N320" s="6" t="s">
        <v>649</v>
      </c>
      <c r="O320" s="7" t="s">
        <v>979</v>
      </c>
      <c r="P320" s="6"/>
      <c r="Q320" s="7" t="s">
        <v>57</v>
      </c>
      <c r="R320" s="6" t="s">
        <v>370</v>
      </c>
      <c r="S320" s="7" t="s">
        <v>980</v>
      </c>
      <c r="T320" s="6"/>
      <c r="U320" s="7" t="s">
        <v>57</v>
      </c>
      <c r="V320" s="8" t="str">
        <f>"－"</f>
        <v>－</v>
      </c>
      <c r="W320" s="9" t="n">
        <f>44</f>
        <v>44.0</v>
      </c>
      <c r="X320" s="9" t="n">
        <v>44.0</v>
      </c>
      <c r="Y320" s="9" t="n">
        <f>7517400</f>
        <v>7517400.0</v>
      </c>
      <c r="Z320" s="9" t="n">
        <v>7517400.0</v>
      </c>
      <c r="AA320" s="9" t="str">
        <f>"－"</f>
        <v>－</v>
      </c>
      <c r="AB320" s="6" t="s">
        <v>58</v>
      </c>
      <c r="AC320" s="10" t="str">
        <f>"－"</f>
        <v>－</v>
      </c>
      <c r="AD320" s="9" t="str">
        <f>"－"</f>
        <v>－</v>
      </c>
    </row>
    <row r="321">
      <c r="A321" s="3" t="s">
        <v>50</v>
      </c>
      <c r="B321" s="3" t="s">
        <v>981</v>
      </c>
      <c r="C321" s="43" t="s">
        <v>982</v>
      </c>
      <c r="D321" s="43" t="s">
        <v>983</v>
      </c>
      <c r="E321" s="3" t="s">
        <v>54</v>
      </c>
      <c r="F321" s="3"/>
      <c r="G321" s="3" t="s">
        <v>55</v>
      </c>
      <c r="H321" s="4" t="s">
        <v>851</v>
      </c>
      <c r="I321" s="5" t="n">
        <v>1800.0</v>
      </c>
      <c r="J321" s="6"/>
      <c r="K321" s="7" t="s">
        <v>57</v>
      </c>
      <c r="L321" s="6"/>
      <c r="M321" s="7" t="s">
        <v>57</v>
      </c>
      <c r="N321" s="6" t="s">
        <v>137</v>
      </c>
      <c r="O321" s="7" t="s">
        <v>984</v>
      </c>
      <c r="P321" s="6"/>
      <c r="Q321" s="7" t="s">
        <v>57</v>
      </c>
      <c r="R321" s="6" t="s">
        <v>137</v>
      </c>
      <c r="S321" s="7" t="s">
        <v>984</v>
      </c>
      <c r="T321" s="6"/>
      <c r="U321" s="7" t="s">
        <v>57</v>
      </c>
      <c r="V321" s="8" t="str">
        <f>"－"</f>
        <v>－</v>
      </c>
      <c r="W321" s="9" t="n">
        <f>75</f>
        <v>75.0</v>
      </c>
      <c r="X321" s="9" t="n">
        <v>75.0</v>
      </c>
      <c r="Y321" s="9" t="n">
        <f>2715000</f>
        <v>2715000.0</v>
      </c>
      <c r="Z321" s="9" t="n">
        <v>2715000.0</v>
      </c>
      <c r="AA321" s="9" t="str">
        <f>"－"</f>
        <v>－</v>
      </c>
      <c r="AB321" s="6" t="s">
        <v>58</v>
      </c>
      <c r="AC321" s="10" t="str">
        <f>"－"</f>
        <v>－</v>
      </c>
      <c r="AD321" s="9" t="str">
        <f>"－"</f>
        <v>－</v>
      </c>
    </row>
    <row r="322">
      <c r="A322" s="3" t="s">
        <v>50</v>
      </c>
      <c r="B322" s="3" t="s">
        <v>981</v>
      </c>
      <c r="C322" s="43" t="s">
        <v>982</v>
      </c>
      <c r="D322" s="43" t="s">
        <v>983</v>
      </c>
      <c r="E322" s="3" t="s">
        <v>104</v>
      </c>
      <c r="F322" s="3"/>
      <c r="G322" s="3" t="s">
        <v>55</v>
      </c>
      <c r="H322" s="4" t="s">
        <v>56</v>
      </c>
      <c r="I322" s="5" t="n">
        <v>1600.0</v>
      </c>
      <c r="J322" s="6"/>
      <c r="K322" s="7" t="s">
        <v>57</v>
      </c>
      <c r="L322" s="6"/>
      <c r="M322" s="7" t="s">
        <v>57</v>
      </c>
      <c r="N322" s="6"/>
      <c r="O322" s="7"/>
      <c r="P322" s="6"/>
      <c r="Q322" s="7" t="s">
        <v>57</v>
      </c>
      <c r="R322" s="6"/>
      <c r="S322" s="7"/>
      <c r="T322" s="6"/>
      <c r="U322" s="7" t="s">
        <v>57</v>
      </c>
      <c r="V322" s="8" t="str">
        <f>"－"</f>
        <v>－</v>
      </c>
      <c r="W322" s="9" t="str">
        <f>"－"</f>
        <v>－</v>
      </c>
      <c r="X322" s="9"/>
      <c r="Y322" s="9" t="str">
        <f>"－"</f>
        <v>－</v>
      </c>
      <c r="Z322" s="9"/>
      <c r="AA322" s="9" t="str">
        <f>"－"</f>
        <v>－</v>
      </c>
      <c r="AB322" s="6" t="s">
        <v>58</v>
      </c>
      <c r="AC322" s="10" t="n">
        <f>2650</f>
        <v>2650.0</v>
      </c>
      <c r="AD322" s="9" t="str">
        <f>"－"</f>
        <v>－</v>
      </c>
    </row>
    <row r="323">
      <c r="A323" s="3" t="s">
        <v>50</v>
      </c>
      <c r="B323" s="3" t="s">
        <v>985</v>
      </c>
      <c r="C323" s="43" t="s">
        <v>986</v>
      </c>
      <c r="D323" s="43" t="s">
        <v>987</v>
      </c>
      <c r="E323" s="3" t="s">
        <v>54</v>
      </c>
      <c r="F323" s="3"/>
      <c r="G323" s="3" t="s">
        <v>59</v>
      </c>
      <c r="H323" s="4" t="s">
        <v>60</v>
      </c>
      <c r="I323" s="5" t="n">
        <v>1900.0</v>
      </c>
      <c r="J323" s="6"/>
      <c r="K323" s="7" t="s">
        <v>57</v>
      </c>
      <c r="L323" s="6"/>
      <c r="M323" s="7" t="s">
        <v>57</v>
      </c>
      <c r="N323" s="6" t="s">
        <v>139</v>
      </c>
      <c r="O323" s="7" t="s">
        <v>988</v>
      </c>
      <c r="P323" s="6"/>
      <c r="Q323" s="7" t="s">
        <v>57</v>
      </c>
      <c r="R323" s="6" t="s">
        <v>139</v>
      </c>
      <c r="S323" s="7" t="s">
        <v>989</v>
      </c>
      <c r="T323" s="6"/>
      <c r="U323" s="7" t="s">
        <v>57</v>
      </c>
      <c r="V323" s="8" t="str">
        <f>"－"</f>
        <v>－</v>
      </c>
      <c r="W323" s="9" t="n">
        <f>1000</f>
        <v>1000.0</v>
      </c>
      <c r="X323" s="9" t="n">
        <v>1000.0</v>
      </c>
      <c r="Y323" s="9" t="n">
        <f>994780</f>
        <v>994780.0</v>
      </c>
      <c r="Z323" s="9" t="n">
        <v>994780.0</v>
      </c>
      <c r="AA323" s="9" t="n">
        <f>1000</f>
        <v>1000.0</v>
      </c>
      <c r="AB323" s="6" t="s">
        <v>58</v>
      </c>
      <c r="AC323" s="10" t="str">
        <f>"－"</f>
        <v>－</v>
      </c>
      <c r="AD323" s="9" t="str">
        <f>"－"</f>
        <v>－</v>
      </c>
    </row>
    <row r="324">
      <c r="A324" s="3" t="s">
        <v>50</v>
      </c>
      <c r="B324" s="3" t="s">
        <v>990</v>
      </c>
      <c r="C324" s="43" t="s">
        <v>991</v>
      </c>
      <c r="D324" s="43" t="s">
        <v>992</v>
      </c>
      <c r="E324" s="3" t="s">
        <v>54</v>
      </c>
      <c r="F324" s="3"/>
      <c r="G324" s="3" t="s">
        <v>63</v>
      </c>
      <c r="H324" s="4" t="s">
        <v>993</v>
      </c>
      <c r="I324" s="5" t="n">
        <v>1600.0</v>
      </c>
      <c r="J324" s="6"/>
      <c r="K324" s="7" t="s">
        <v>57</v>
      </c>
      <c r="L324" s="6"/>
      <c r="M324" s="7" t="s">
        <v>57</v>
      </c>
      <c r="N324" s="6"/>
      <c r="O324" s="7"/>
      <c r="P324" s="6"/>
      <c r="Q324" s="7" t="s">
        <v>57</v>
      </c>
      <c r="R324" s="6"/>
      <c r="S324" s="7"/>
      <c r="T324" s="6"/>
      <c r="U324" s="7" t="s">
        <v>57</v>
      </c>
      <c r="V324" s="8" t="str">
        <f>"－"</f>
        <v>－</v>
      </c>
      <c r="W324" s="9" t="str">
        <f>"－"</f>
        <v>－</v>
      </c>
      <c r="X324" s="9"/>
      <c r="Y324" s="9" t="str">
        <f>"－"</f>
        <v>－</v>
      </c>
      <c r="Z324" s="9"/>
      <c r="AA324" s="9" t="n">
        <f>2</f>
        <v>2.0</v>
      </c>
      <c r="AB324" s="6" t="s">
        <v>58</v>
      </c>
      <c r="AC324" s="10" t="str">
        <f>"－"</f>
        <v>－</v>
      </c>
      <c r="AD324" s="9" t="str">
        <f>"－"</f>
        <v>－</v>
      </c>
    </row>
    <row r="325">
      <c r="A325" s="3" t="s">
        <v>50</v>
      </c>
      <c r="B325" s="3" t="s">
        <v>994</v>
      </c>
      <c r="C325" s="43" t="s">
        <v>995</v>
      </c>
      <c r="D325" s="43" t="s">
        <v>996</v>
      </c>
      <c r="E325" s="3" t="s">
        <v>54</v>
      </c>
      <c r="F325" s="3"/>
      <c r="G325" s="3" t="s">
        <v>63</v>
      </c>
      <c r="H325" s="4" t="s">
        <v>997</v>
      </c>
      <c r="I325" s="5" t="n">
        <v>16500.0</v>
      </c>
      <c r="J325" s="6"/>
      <c r="K325" s="7" t="s">
        <v>57</v>
      </c>
      <c r="L325" s="6"/>
      <c r="M325" s="7" t="s">
        <v>57</v>
      </c>
      <c r="N325" s="6" t="s">
        <v>485</v>
      </c>
      <c r="O325" s="7" t="s">
        <v>998</v>
      </c>
      <c r="P325" s="6"/>
      <c r="Q325" s="7" t="s">
        <v>57</v>
      </c>
      <c r="R325" s="6" t="s">
        <v>499</v>
      </c>
      <c r="S325" s="7" t="s">
        <v>999</v>
      </c>
      <c r="T325" s="6"/>
      <c r="U325" s="7" t="s">
        <v>57</v>
      </c>
      <c r="V325" s="8" t="str">
        <f>"－"</f>
        <v>－</v>
      </c>
      <c r="W325" s="9" t="n">
        <f>16</f>
        <v>16.0</v>
      </c>
      <c r="X325" s="9" t="n">
        <v>16.0</v>
      </c>
      <c r="Y325" s="9" t="n">
        <f>6943200</f>
        <v>6943200.0</v>
      </c>
      <c r="Z325" s="9" t="n">
        <v>6943200.0</v>
      </c>
      <c r="AA325" s="9" t="str">
        <f>"－"</f>
        <v>－</v>
      </c>
      <c r="AB325" s="6" t="s">
        <v>58</v>
      </c>
      <c r="AC325" s="10" t="str">
        <f>"－"</f>
        <v>－</v>
      </c>
      <c r="AD325" s="9" t="str">
        <f>"－"</f>
        <v>－</v>
      </c>
    </row>
    <row r="326">
      <c r="A326" s="3" t="s">
        <v>50</v>
      </c>
      <c r="B326" s="3" t="s">
        <v>994</v>
      </c>
      <c r="C326" s="43" t="s">
        <v>995</v>
      </c>
      <c r="D326" s="43" t="s">
        <v>996</v>
      </c>
      <c r="E326" s="3" t="s">
        <v>54</v>
      </c>
      <c r="F326" s="3"/>
      <c r="G326" s="3" t="s">
        <v>116</v>
      </c>
      <c r="H326" s="4" t="s">
        <v>997</v>
      </c>
      <c r="I326" s="5" t="n">
        <v>16500.0</v>
      </c>
      <c r="J326" s="6"/>
      <c r="K326" s="7" t="s">
        <v>57</v>
      </c>
      <c r="L326" s="6"/>
      <c r="M326" s="7" t="s">
        <v>57</v>
      </c>
      <c r="N326" s="6" t="s">
        <v>485</v>
      </c>
      <c r="O326" s="7" t="s">
        <v>1000</v>
      </c>
      <c r="P326" s="6"/>
      <c r="Q326" s="7" t="s">
        <v>57</v>
      </c>
      <c r="R326" s="6" t="s">
        <v>558</v>
      </c>
      <c r="S326" s="7" t="s">
        <v>1001</v>
      </c>
      <c r="T326" s="6"/>
      <c r="U326" s="7" t="s">
        <v>57</v>
      </c>
      <c r="V326" s="8" t="str">
        <f>"－"</f>
        <v>－</v>
      </c>
      <c r="W326" s="9" t="n">
        <f>16</f>
        <v>16.0</v>
      </c>
      <c r="X326" s="9" t="n">
        <v>16.0</v>
      </c>
      <c r="Y326" s="9" t="n">
        <f>7250640</f>
        <v>7250640.0</v>
      </c>
      <c r="Z326" s="9" t="n">
        <v>7250640.0</v>
      </c>
      <c r="AA326" s="9" t="str">
        <f>"－"</f>
        <v>－</v>
      </c>
      <c r="AB326" s="6" t="s">
        <v>58</v>
      </c>
      <c r="AC326" s="10" t="str">
        <f>"－"</f>
        <v>－</v>
      </c>
      <c r="AD326" s="9" t="str">
        <f>"－"</f>
        <v>－</v>
      </c>
    </row>
    <row r="327">
      <c r="A327" s="3" t="s">
        <v>50</v>
      </c>
      <c r="B327" s="3" t="s">
        <v>994</v>
      </c>
      <c r="C327" s="43" t="s">
        <v>995</v>
      </c>
      <c r="D327" s="43" t="s">
        <v>996</v>
      </c>
      <c r="E327" s="3" t="s">
        <v>54</v>
      </c>
      <c r="F327" s="3"/>
      <c r="G327" s="3" t="s">
        <v>88</v>
      </c>
      <c r="H327" s="4" t="s">
        <v>89</v>
      </c>
      <c r="I327" s="5" t="n">
        <v>10500.0</v>
      </c>
      <c r="J327" s="6" t="s">
        <v>390</v>
      </c>
      <c r="K327" s="7" t="s">
        <v>1002</v>
      </c>
      <c r="L327" s="6" t="s">
        <v>390</v>
      </c>
      <c r="M327" s="7" t="s">
        <v>1002</v>
      </c>
      <c r="N327" s="6"/>
      <c r="O327" s="7"/>
      <c r="P327" s="6" t="s">
        <v>390</v>
      </c>
      <c r="Q327" s="7" t="s">
        <v>1002</v>
      </c>
      <c r="R327" s="6"/>
      <c r="S327" s="7"/>
      <c r="T327" s="6" t="s">
        <v>390</v>
      </c>
      <c r="U327" s="7" t="s">
        <v>1002</v>
      </c>
      <c r="V327" s="8" t="n">
        <f>424.5</f>
        <v>424.5</v>
      </c>
      <c r="W327" s="9" t="n">
        <f>1</f>
        <v>1.0</v>
      </c>
      <c r="X327" s="9"/>
      <c r="Y327" s="9" t="n">
        <f>42450</f>
        <v>42450.0</v>
      </c>
      <c r="Z327" s="9"/>
      <c r="AA327" s="9" t="n">
        <f>1</f>
        <v>1.0</v>
      </c>
      <c r="AB327" s="6" t="s">
        <v>58</v>
      </c>
      <c r="AC327" s="10" t="str">
        <f>"－"</f>
        <v>－</v>
      </c>
      <c r="AD327" s="9" t="n">
        <f>1</f>
        <v>1.0</v>
      </c>
    </row>
    <row r="328">
      <c r="A328" s="3" t="s">
        <v>50</v>
      </c>
      <c r="B328" s="3" t="s">
        <v>994</v>
      </c>
      <c r="C328" s="43" t="s">
        <v>995</v>
      </c>
      <c r="D328" s="43" t="s">
        <v>996</v>
      </c>
      <c r="E328" s="3" t="s">
        <v>54</v>
      </c>
      <c r="F328" s="3"/>
      <c r="G328" s="3" t="s">
        <v>96</v>
      </c>
      <c r="H328" s="4" t="s">
        <v>97</v>
      </c>
      <c r="I328" s="5" t="n">
        <v>10000.0</v>
      </c>
      <c r="J328" s="6" t="s">
        <v>403</v>
      </c>
      <c r="K328" s="7" t="s">
        <v>319</v>
      </c>
      <c r="L328" s="6" t="s">
        <v>403</v>
      </c>
      <c r="M328" s="7" t="s">
        <v>319</v>
      </c>
      <c r="N328" s="6"/>
      <c r="O328" s="7"/>
      <c r="P328" s="6" t="s">
        <v>403</v>
      </c>
      <c r="Q328" s="7" t="s">
        <v>319</v>
      </c>
      <c r="R328" s="6"/>
      <c r="S328" s="7"/>
      <c r="T328" s="6" t="s">
        <v>403</v>
      </c>
      <c r="U328" s="7" t="s">
        <v>319</v>
      </c>
      <c r="V328" s="8" t="n">
        <f>60</f>
        <v>60.0</v>
      </c>
      <c r="W328" s="9" t="n">
        <f>1</f>
        <v>1.0</v>
      </c>
      <c r="X328" s="9"/>
      <c r="Y328" s="9" t="n">
        <f>6000</f>
        <v>6000.0</v>
      </c>
      <c r="Z328" s="9"/>
      <c r="AA328" s="9" t="str">
        <f>"－"</f>
        <v>－</v>
      </c>
      <c r="AB328" s="6" t="s">
        <v>58</v>
      </c>
      <c r="AC328" s="10" t="n">
        <f>1</f>
        <v>1.0</v>
      </c>
      <c r="AD328" s="9" t="n">
        <f>1</f>
        <v>1.0</v>
      </c>
    </row>
    <row r="329">
      <c r="A329" s="3" t="s">
        <v>50</v>
      </c>
      <c r="B329" s="3" t="s">
        <v>1003</v>
      </c>
      <c r="C329" s="43" t="s">
        <v>1004</v>
      </c>
      <c r="D329" s="43" t="s">
        <v>1005</v>
      </c>
      <c r="E329" s="3" t="s">
        <v>54</v>
      </c>
      <c r="F329" s="3"/>
      <c r="G329" s="3" t="s">
        <v>63</v>
      </c>
      <c r="H329" s="4" t="s">
        <v>64</v>
      </c>
      <c r="I329" s="5" t="n">
        <v>4667.0</v>
      </c>
      <c r="J329" s="6"/>
      <c r="K329" s="7" t="s">
        <v>57</v>
      </c>
      <c r="L329" s="6"/>
      <c r="M329" s="7" t="s">
        <v>57</v>
      </c>
      <c r="N329" s="6"/>
      <c r="O329" s="7"/>
      <c r="P329" s="6"/>
      <c r="Q329" s="7" t="s">
        <v>57</v>
      </c>
      <c r="R329" s="6"/>
      <c r="S329" s="7"/>
      <c r="T329" s="6"/>
      <c r="U329" s="7" t="s">
        <v>57</v>
      </c>
      <c r="V329" s="8" t="str">
        <f>"－"</f>
        <v>－</v>
      </c>
      <c r="W329" s="9" t="str">
        <f>"－"</f>
        <v>－</v>
      </c>
      <c r="X329" s="9"/>
      <c r="Y329" s="9" t="str">
        <f>"－"</f>
        <v>－</v>
      </c>
      <c r="Z329" s="9"/>
      <c r="AA329" s="9" t="n">
        <f>21</f>
        <v>21.0</v>
      </c>
      <c r="AB329" s="6" t="s">
        <v>58</v>
      </c>
      <c r="AC329" s="10" t="str">
        <f>"－"</f>
        <v>－</v>
      </c>
      <c r="AD329" s="9" t="str">
        <f>"－"</f>
        <v>－</v>
      </c>
    </row>
    <row r="330">
      <c r="A330" s="3" t="s">
        <v>50</v>
      </c>
      <c r="B330" s="3" t="s">
        <v>1003</v>
      </c>
      <c r="C330" s="43" t="s">
        <v>1004</v>
      </c>
      <c r="D330" s="43" t="s">
        <v>1005</v>
      </c>
      <c r="E330" s="3" t="s">
        <v>104</v>
      </c>
      <c r="F330" s="3"/>
      <c r="G330" s="3" t="s">
        <v>84</v>
      </c>
      <c r="H330" s="4" t="s">
        <v>358</v>
      </c>
      <c r="I330" s="5" t="n">
        <v>4000.0</v>
      </c>
      <c r="J330" s="6" t="s">
        <v>74</v>
      </c>
      <c r="K330" s="7" t="s">
        <v>364</v>
      </c>
      <c r="L330" s="6" t="s">
        <v>376</v>
      </c>
      <c r="M330" s="7" t="s">
        <v>486</v>
      </c>
      <c r="N330" s="6"/>
      <c r="O330" s="7"/>
      <c r="P330" s="6" t="s">
        <v>74</v>
      </c>
      <c r="Q330" s="7" t="s">
        <v>364</v>
      </c>
      <c r="R330" s="6"/>
      <c r="S330" s="7"/>
      <c r="T330" s="6" t="s">
        <v>376</v>
      </c>
      <c r="U330" s="7" t="s">
        <v>486</v>
      </c>
      <c r="V330" s="8" t="n">
        <f>452.5</f>
        <v>452.5</v>
      </c>
      <c r="W330" s="9" t="n">
        <f>44</f>
        <v>44.0</v>
      </c>
      <c r="X330" s="9"/>
      <c r="Y330" s="9" t="n">
        <f>1947000</f>
        <v>1947000.0</v>
      </c>
      <c r="Z330" s="9"/>
      <c r="AA330" s="9" t="str">
        <f>"－"</f>
        <v>－</v>
      </c>
      <c r="AB330" s="6" t="s">
        <v>58</v>
      </c>
      <c r="AC330" s="10" t="str">
        <f>"－"</f>
        <v>－</v>
      </c>
      <c r="AD330" s="9" t="n">
        <f>4</f>
        <v>4.0</v>
      </c>
    </row>
    <row r="331">
      <c r="A331" s="3" t="s">
        <v>50</v>
      </c>
      <c r="B331" s="3" t="s">
        <v>1006</v>
      </c>
      <c r="C331" s="43" t="s">
        <v>1007</v>
      </c>
      <c r="D331" s="43" t="s">
        <v>1008</v>
      </c>
      <c r="E331" s="3" t="s">
        <v>54</v>
      </c>
      <c r="F331" s="3"/>
      <c r="G331" s="3" t="s">
        <v>80</v>
      </c>
      <c r="H331" s="4" t="s">
        <v>81</v>
      </c>
      <c r="I331" s="5" t="n">
        <v>1400.0</v>
      </c>
      <c r="J331" s="6" t="s">
        <v>365</v>
      </c>
      <c r="K331" s="7" t="s">
        <v>441</v>
      </c>
      <c r="L331" s="6" t="s">
        <v>365</v>
      </c>
      <c r="M331" s="7" t="s">
        <v>441</v>
      </c>
      <c r="N331" s="6"/>
      <c r="O331" s="7"/>
      <c r="P331" s="6" t="s">
        <v>365</v>
      </c>
      <c r="Q331" s="7" t="s">
        <v>441</v>
      </c>
      <c r="R331" s="6"/>
      <c r="S331" s="7"/>
      <c r="T331" s="6" t="s">
        <v>365</v>
      </c>
      <c r="U331" s="7" t="s">
        <v>441</v>
      </c>
      <c r="V331" s="8" t="n">
        <f>171</f>
        <v>171.0</v>
      </c>
      <c r="W331" s="9" t="n">
        <f>5</f>
        <v>5.0</v>
      </c>
      <c r="X331" s="9"/>
      <c r="Y331" s="9" t="n">
        <f>85500</f>
        <v>85500.0</v>
      </c>
      <c r="Z331" s="9"/>
      <c r="AA331" s="9" t="n">
        <f>5</f>
        <v>5.0</v>
      </c>
      <c r="AB331" s="6" t="s">
        <v>58</v>
      </c>
      <c r="AC331" s="10" t="str">
        <f>"－"</f>
        <v>－</v>
      </c>
      <c r="AD331" s="9" t="n">
        <f>1</f>
        <v>1.0</v>
      </c>
    </row>
    <row r="332">
      <c r="A332" s="3" t="s">
        <v>50</v>
      </c>
      <c r="B332" s="3" t="s">
        <v>1009</v>
      </c>
      <c r="C332" s="43" t="s">
        <v>1010</v>
      </c>
      <c r="D332" s="43" t="s">
        <v>1011</v>
      </c>
      <c r="E332" s="3" t="s">
        <v>104</v>
      </c>
      <c r="F332" s="3"/>
      <c r="G332" s="3" t="s">
        <v>55</v>
      </c>
      <c r="H332" s="4" t="s">
        <v>732</v>
      </c>
      <c r="I332" s="5" t="n">
        <v>11500.0</v>
      </c>
      <c r="J332" s="6"/>
      <c r="K332" s="7" t="s">
        <v>57</v>
      </c>
      <c r="L332" s="6"/>
      <c r="M332" s="7" t="s">
        <v>57</v>
      </c>
      <c r="N332" s="6"/>
      <c r="O332" s="7"/>
      <c r="P332" s="6"/>
      <c r="Q332" s="7" t="s">
        <v>57</v>
      </c>
      <c r="R332" s="6"/>
      <c r="S332" s="7"/>
      <c r="T332" s="6"/>
      <c r="U332" s="7" t="s">
        <v>57</v>
      </c>
      <c r="V332" s="8" t="str">
        <f>"－"</f>
        <v>－</v>
      </c>
      <c r="W332" s="9" t="str">
        <f>"－"</f>
        <v>－</v>
      </c>
      <c r="X332" s="9"/>
      <c r="Y332" s="9" t="str">
        <f>"－"</f>
        <v>－</v>
      </c>
      <c r="Z332" s="9"/>
      <c r="AA332" s="9" t="str">
        <f>"－"</f>
        <v>－</v>
      </c>
      <c r="AB332" s="6" t="s">
        <v>58</v>
      </c>
      <c r="AC332" s="10" t="n">
        <f>270</f>
        <v>270.0</v>
      </c>
      <c r="AD332" s="9" t="str">
        <f>"－"</f>
        <v>－</v>
      </c>
    </row>
    <row r="333">
      <c r="A333" s="3" t="s">
        <v>50</v>
      </c>
      <c r="B333" s="3" t="s">
        <v>1012</v>
      </c>
      <c r="C333" s="43" t="s">
        <v>1013</v>
      </c>
      <c r="D333" s="43" t="s">
        <v>1014</v>
      </c>
      <c r="E333" s="3" t="s">
        <v>54</v>
      </c>
      <c r="F333" s="3"/>
      <c r="G333" s="3" t="s">
        <v>59</v>
      </c>
      <c r="H333" s="4" t="s">
        <v>1015</v>
      </c>
      <c r="I333" s="5" t="n">
        <v>80000.0</v>
      </c>
      <c r="J333" s="6"/>
      <c r="K333" s="7" t="s">
        <v>57</v>
      </c>
      <c r="L333" s="6"/>
      <c r="M333" s="7" t="s">
        <v>57</v>
      </c>
      <c r="N333" s="6" t="s">
        <v>482</v>
      </c>
      <c r="O333" s="7" t="s">
        <v>1016</v>
      </c>
      <c r="P333" s="6"/>
      <c r="Q333" s="7" t="s">
        <v>57</v>
      </c>
      <c r="R333" s="6" t="s">
        <v>137</v>
      </c>
      <c r="S333" s="7" t="s">
        <v>1017</v>
      </c>
      <c r="T333" s="6"/>
      <c r="U333" s="7" t="s">
        <v>57</v>
      </c>
      <c r="V333" s="8" t="str">
        <f>"－"</f>
        <v>－</v>
      </c>
      <c r="W333" s="9" t="n">
        <f>4</f>
        <v>4.0</v>
      </c>
      <c r="X333" s="9" t="n">
        <v>4.0</v>
      </c>
      <c r="Y333" s="9" t="n">
        <f>6399460</f>
        <v>6399460.0</v>
      </c>
      <c r="Z333" s="9" t="n">
        <v>6399460.0</v>
      </c>
      <c r="AA333" s="9" t="str">
        <f>"－"</f>
        <v>－</v>
      </c>
      <c r="AB333" s="6" t="s">
        <v>58</v>
      </c>
      <c r="AC333" s="10" t="str">
        <f>"－"</f>
        <v>－</v>
      </c>
      <c r="AD333" s="9" t="str">
        <f>"－"</f>
        <v>－</v>
      </c>
    </row>
    <row r="334">
      <c r="A334" s="3" t="s">
        <v>50</v>
      </c>
      <c r="B334" s="3" t="s">
        <v>1012</v>
      </c>
      <c r="C334" s="43" t="s">
        <v>1013</v>
      </c>
      <c r="D334" s="43" t="s">
        <v>1014</v>
      </c>
      <c r="E334" s="3" t="s">
        <v>54</v>
      </c>
      <c r="F334" s="3"/>
      <c r="G334" s="3" t="s">
        <v>63</v>
      </c>
      <c r="H334" s="4" t="s">
        <v>800</v>
      </c>
      <c r="I334" s="5" t="n">
        <v>80000.0</v>
      </c>
      <c r="J334" s="6"/>
      <c r="K334" s="7" t="s">
        <v>57</v>
      </c>
      <c r="L334" s="6"/>
      <c r="M334" s="7" t="s">
        <v>57</v>
      </c>
      <c r="N334" s="6" t="s">
        <v>190</v>
      </c>
      <c r="O334" s="7" t="s">
        <v>1018</v>
      </c>
      <c r="P334" s="6"/>
      <c r="Q334" s="7" t="s">
        <v>57</v>
      </c>
      <c r="R334" s="6" t="s">
        <v>485</v>
      </c>
      <c r="S334" s="7" t="s">
        <v>1019</v>
      </c>
      <c r="T334" s="6"/>
      <c r="U334" s="7" t="s">
        <v>57</v>
      </c>
      <c r="V334" s="8" t="str">
        <f>"－"</f>
        <v>－</v>
      </c>
      <c r="W334" s="9" t="n">
        <f>4</f>
        <v>4.0</v>
      </c>
      <c r="X334" s="9" t="n">
        <v>4.0</v>
      </c>
      <c r="Y334" s="9" t="n">
        <f>10218900</f>
        <v>1.02189E7</v>
      </c>
      <c r="Z334" s="9" t="n">
        <v>1.02189E7</v>
      </c>
      <c r="AA334" s="9" t="str">
        <f>"－"</f>
        <v>－</v>
      </c>
      <c r="AB334" s="6" t="s">
        <v>58</v>
      </c>
      <c r="AC334" s="10" t="str">
        <f>"－"</f>
        <v>－</v>
      </c>
      <c r="AD334" s="9" t="str">
        <f>"－"</f>
        <v>－</v>
      </c>
    </row>
    <row r="335">
      <c r="A335" s="3" t="s">
        <v>50</v>
      </c>
      <c r="B335" s="3" t="s">
        <v>1012</v>
      </c>
      <c r="C335" s="43" t="s">
        <v>1013</v>
      </c>
      <c r="D335" s="43" t="s">
        <v>1014</v>
      </c>
      <c r="E335" s="3" t="s">
        <v>54</v>
      </c>
      <c r="F335" s="3"/>
      <c r="G335" s="3" t="s">
        <v>116</v>
      </c>
      <c r="H335" s="4" t="s">
        <v>1020</v>
      </c>
      <c r="I335" s="5" t="n">
        <v>80000.0</v>
      </c>
      <c r="J335" s="6"/>
      <c r="K335" s="7" t="s">
        <v>57</v>
      </c>
      <c r="L335" s="6"/>
      <c r="M335" s="7" t="s">
        <v>57</v>
      </c>
      <c r="N335" s="6" t="s">
        <v>558</v>
      </c>
      <c r="O335" s="7" t="s">
        <v>1021</v>
      </c>
      <c r="P335" s="6"/>
      <c r="Q335" s="7" t="s">
        <v>57</v>
      </c>
      <c r="R335" s="6" t="s">
        <v>485</v>
      </c>
      <c r="S335" s="7" t="s">
        <v>1022</v>
      </c>
      <c r="T335" s="6"/>
      <c r="U335" s="7" t="s">
        <v>57</v>
      </c>
      <c r="V335" s="8" t="str">
        <f>"－"</f>
        <v>－</v>
      </c>
      <c r="W335" s="9" t="n">
        <f>4</f>
        <v>4.0</v>
      </c>
      <c r="X335" s="9" t="n">
        <v>4.0</v>
      </c>
      <c r="Y335" s="9" t="n">
        <f>10868340</f>
        <v>1.086834E7</v>
      </c>
      <c r="Z335" s="9" t="n">
        <v>1.086834E7</v>
      </c>
      <c r="AA335" s="9" t="str">
        <f>"－"</f>
        <v>－</v>
      </c>
      <c r="AB335" s="6" t="s">
        <v>58</v>
      </c>
      <c r="AC335" s="10" t="str">
        <f>"－"</f>
        <v>－</v>
      </c>
      <c r="AD335" s="9" t="str">
        <f>"－"</f>
        <v>－</v>
      </c>
    </row>
    <row r="336">
      <c r="A336" s="3" t="s">
        <v>50</v>
      </c>
      <c r="B336" s="3" t="s">
        <v>1023</v>
      </c>
      <c r="C336" s="43" t="s">
        <v>1024</v>
      </c>
      <c r="D336" s="43" t="s">
        <v>1025</v>
      </c>
      <c r="E336" s="3" t="s">
        <v>54</v>
      </c>
      <c r="F336" s="3"/>
      <c r="G336" s="3" t="s">
        <v>84</v>
      </c>
      <c r="H336" s="4" t="s">
        <v>85</v>
      </c>
      <c r="I336" s="5" t="n">
        <v>11000.0</v>
      </c>
      <c r="J336" s="6"/>
      <c r="K336" s="7" t="s">
        <v>57</v>
      </c>
      <c r="L336" s="6"/>
      <c r="M336" s="7" t="s">
        <v>57</v>
      </c>
      <c r="N336" s="6" t="s">
        <v>547</v>
      </c>
      <c r="O336" s="7" t="s">
        <v>1026</v>
      </c>
      <c r="P336" s="6"/>
      <c r="Q336" s="7" t="s">
        <v>57</v>
      </c>
      <c r="R336" s="6" t="s">
        <v>370</v>
      </c>
      <c r="S336" s="7" t="s">
        <v>1027</v>
      </c>
      <c r="T336" s="6"/>
      <c r="U336" s="7" t="s">
        <v>57</v>
      </c>
      <c r="V336" s="8" t="str">
        <f>"－"</f>
        <v>－</v>
      </c>
      <c r="W336" s="9" t="n">
        <f>24</f>
        <v>24.0</v>
      </c>
      <c r="X336" s="9" t="n">
        <v>24.0</v>
      </c>
      <c r="Y336" s="9" t="n">
        <f>7962240</f>
        <v>7962240.0</v>
      </c>
      <c r="Z336" s="9" t="n">
        <v>7962240.0</v>
      </c>
      <c r="AA336" s="9" t="str">
        <f>"－"</f>
        <v>－</v>
      </c>
      <c r="AB336" s="6" t="s">
        <v>58</v>
      </c>
      <c r="AC336" s="10" t="str">
        <f>"－"</f>
        <v>－</v>
      </c>
      <c r="AD336" s="9" t="str">
        <f>"－"</f>
        <v>－</v>
      </c>
    </row>
    <row r="337">
      <c r="A337" s="3" t="s">
        <v>50</v>
      </c>
      <c r="B337" s="3" t="s">
        <v>1028</v>
      </c>
      <c r="C337" s="43" t="s">
        <v>1029</v>
      </c>
      <c r="D337" s="43" t="s">
        <v>1030</v>
      </c>
      <c r="E337" s="3" t="s">
        <v>54</v>
      </c>
      <c r="F337" s="3"/>
      <c r="G337" s="3" t="s">
        <v>63</v>
      </c>
      <c r="H337" s="4" t="s">
        <v>179</v>
      </c>
      <c r="I337" s="5" t="n">
        <v>24000.0</v>
      </c>
      <c r="J337" s="6"/>
      <c r="K337" s="7" t="s">
        <v>57</v>
      </c>
      <c r="L337" s="6"/>
      <c r="M337" s="7" t="s">
        <v>57</v>
      </c>
      <c r="N337" s="6"/>
      <c r="O337" s="7"/>
      <c r="P337" s="6"/>
      <c r="Q337" s="7" t="s">
        <v>57</v>
      </c>
      <c r="R337" s="6"/>
      <c r="S337" s="7"/>
      <c r="T337" s="6"/>
      <c r="U337" s="7" t="s">
        <v>57</v>
      </c>
      <c r="V337" s="8" t="str">
        <f>"－"</f>
        <v>－</v>
      </c>
      <c r="W337" s="9" t="str">
        <f>"－"</f>
        <v>－</v>
      </c>
      <c r="X337" s="9"/>
      <c r="Y337" s="9" t="str">
        <f>"－"</f>
        <v>－</v>
      </c>
      <c r="Z337" s="9"/>
      <c r="AA337" s="9" t="n">
        <f>1</f>
        <v>1.0</v>
      </c>
      <c r="AB337" s="6" t="s">
        <v>58</v>
      </c>
      <c r="AC337" s="10" t="str">
        <f>"－"</f>
        <v>－</v>
      </c>
      <c r="AD337" s="9" t="str">
        <f>"－"</f>
        <v>－</v>
      </c>
    </row>
    <row r="338">
      <c r="A338" s="3" t="s">
        <v>50</v>
      </c>
      <c r="B338" s="3" t="s">
        <v>1028</v>
      </c>
      <c r="C338" s="43" t="s">
        <v>1029</v>
      </c>
      <c r="D338" s="43" t="s">
        <v>1030</v>
      </c>
      <c r="E338" s="3" t="s">
        <v>104</v>
      </c>
      <c r="F338" s="3"/>
      <c r="G338" s="3" t="s">
        <v>116</v>
      </c>
      <c r="H338" s="4" t="s">
        <v>117</v>
      </c>
      <c r="I338" s="5" t="n">
        <v>23000.0</v>
      </c>
      <c r="J338" s="6" t="s">
        <v>282</v>
      </c>
      <c r="K338" s="7" t="s">
        <v>1031</v>
      </c>
      <c r="L338" s="6" t="s">
        <v>282</v>
      </c>
      <c r="M338" s="7" t="s">
        <v>1031</v>
      </c>
      <c r="N338" s="6"/>
      <c r="O338" s="7"/>
      <c r="P338" s="6" t="s">
        <v>282</v>
      </c>
      <c r="Q338" s="7" t="s">
        <v>1031</v>
      </c>
      <c r="R338" s="6"/>
      <c r="S338" s="7"/>
      <c r="T338" s="6" t="s">
        <v>282</v>
      </c>
      <c r="U338" s="7" t="s">
        <v>1031</v>
      </c>
      <c r="V338" s="8" t="n">
        <f>170.5</f>
        <v>170.5</v>
      </c>
      <c r="W338" s="9" t="n">
        <f>1</f>
        <v>1.0</v>
      </c>
      <c r="X338" s="9"/>
      <c r="Y338" s="9" t="n">
        <f>17050</f>
        <v>17050.0</v>
      </c>
      <c r="Z338" s="9"/>
      <c r="AA338" s="9" t="str">
        <f>"－"</f>
        <v>－</v>
      </c>
      <c r="AB338" s="6" t="s">
        <v>58</v>
      </c>
      <c r="AC338" s="10" t="n">
        <f>1</f>
        <v>1.0</v>
      </c>
      <c r="AD338" s="9" t="n">
        <f>1</f>
        <v>1.0</v>
      </c>
    </row>
    <row r="339">
      <c r="A339" s="3" t="s">
        <v>50</v>
      </c>
      <c r="B339" s="3" t="s">
        <v>1028</v>
      </c>
      <c r="C339" s="43" t="s">
        <v>1029</v>
      </c>
      <c r="D339" s="43" t="s">
        <v>1030</v>
      </c>
      <c r="E339" s="3" t="s">
        <v>104</v>
      </c>
      <c r="F339" s="3"/>
      <c r="G339" s="3" t="s">
        <v>84</v>
      </c>
      <c r="H339" s="4" t="s">
        <v>358</v>
      </c>
      <c r="I339" s="5" t="n">
        <v>22000.0</v>
      </c>
      <c r="J339" s="6" t="s">
        <v>92</v>
      </c>
      <c r="K339" s="7" t="s">
        <v>1032</v>
      </c>
      <c r="L339" s="6" t="s">
        <v>92</v>
      </c>
      <c r="M339" s="7" t="s">
        <v>1032</v>
      </c>
      <c r="N339" s="6"/>
      <c r="O339" s="7"/>
      <c r="P339" s="6" t="s">
        <v>92</v>
      </c>
      <c r="Q339" s="7" t="s">
        <v>1032</v>
      </c>
      <c r="R339" s="6"/>
      <c r="S339" s="7"/>
      <c r="T339" s="6" t="s">
        <v>92</v>
      </c>
      <c r="U339" s="7" t="s">
        <v>1032</v>
      </c>
      <c r="V339" s="8" t="n">
        <f>1200</f>
        <v>1200.0</v>
      </c>
      <c r="W339" s="9" t="n">
        <f>1</f>
        <v>1.0</v>
      </c>
      <c r="X339" s="9"/>
      <c r="Y339" s="9" t="n">
        <f>120000</f>
        <v>120000.0</v>
      </c>
      <c r="Z339" s="9"/>
      <c r="AA339" s="9" t="n">
        <f>1</f>
        <v>1.0</v>
      </c>
      <c r="AB339" s="6" t="s">
        <v>58</v>
      </c>
      <c r="AC339" s="10" t="str">
        <f>"－"</f>
        <v>－</v>
      </c>
      <c r="AD339" s="9" t="n">
        <f>1</f>
        <v>1.0</v>
      </c>
    </row>
    <row r="340">
      <c r="A340" s="3" t="s">
        <v>50</v>
      </c>
      <c r="B340" s="3" t="s">
        <v>1033</v>
      </c>
      <c r="C340" s="43" t="s">
        <v>1034</v>
      </c>
      <c r="D340" s="43" t="s">
        <v>1035</v>
      </c>
      <c r="E340" s="3" t="s">
        <v>104</v>
      </c>
      <c r="F340" s="3"/>
      <c r="G340" s="3" t="s">
        <v>116</v>
      </c>
      <c r="H340" s="4" t="s">
        <v>117</v>
      </c>
      <c r="I340" s="5" t="n">
        <v>7500.0</v>
      </c>
      <c r="J340" s="6" t="s">
        <v>307</v>
      </c>
      <c r="K340" s="7" t="s">
        <v>885</v>
      </c>
      <c r="L340" s="6" t="s">
        <v>307</v>
      </c>
      <c r="M340" s="7" t="s">
        <v>885</v>
      </c>
      <c r="N340" s="6"/>
      <c r="O340" s="7"/>
      <c r="P340" s="6" t="s">
        <v>307</v>
      </c>
      <c r="Q340" s="7" t="s">
        <v>885</v>
      </c>
      <c r="R340" s="6"/>
      <c r="S340" s="7"/>
      <c r="T340" s="6" t="s">
        <v>307</v>
      </c>
      <c r="U340" s="7" t="s">
        <v>885</v>
      </c>
      <c r="V340" s="8" t="n">
        <f>25</f>
        <v>25.0</v>
      </c>
      <c r="W340" s="9" t="n">
        <f>13</f>
        <v>13.0</v>
      </c>
      <c r="X340" s="9"/>
      <c r="Y340" s="9" t="n">
        <f>32500</f>
        <v>32500.0</v>
      </c>
      <c r="Z340" s="9"/>
      <c r="AA340" s="9" t="n">
        <f>13</f>
        <v>13.0</v>
      </c>
      <c r="AB340" s="6" t="s">
        <v>58</v>
      </c>
      <c r="AC340" s="10" t="str">
        <f>"－"</f>
        <v>－</v>
      </c>
      <c r="AD340" s="9" t="n">
        <f>1</f>
        <v>1.0</v>
      </c>
    </row>
    <row r="341">
      <c r="A341" s="3" t="s">
        <v>50</v>
      </c>
      <c r="B341" s="3" t="s">
        <v>1036</v>
      </c>
      <c r="C341" s="43" t="s">
        <v>1037</v>
      </c>
      <c r="D341" s="43" t="s">
        <v>1038</v>
      </c>
      <c r="E341" s="3" t="s">
        <v>54</v>
      </c>
      <c r="F341" s="3"/>
      <c r="G341" s="3" t="s">
        <v>59</v>
      </c>
      <c r="H341" s="4" t="s">
        <v>1039</v>
      </c>
      <c r="I341" s="5" t="n">
        <v>8000.0</v>
      </c>
      <c r="J341" s="6"/>
      <c r="K341" s="7" t="s">
        <v>57</v>
      </c>
      <c r="L341" s="6"/>
      <c r="M341" s="7" t="s">
        <v>57</v>
      </c>
      <c r="N341" s="6" t="s">
        <v>150</v>
      </c>
      <c r="O341" s="7" t="s">
        <v>1040</v>
      </c>
      <c r="P341" s="6"/>
      <c r="Q341" s="7" t="s">
        <v>57</v>
      </c>
      <c r="R341" s="6" t="s">
        <v>61</v>
      </c>
      <c r="S341" s="7" t="s">
        <v>1041</v>
      </c>
      <c r="T341" s="6"/>
      <c r="U341" s="7" t="s">
        <v>57</v>
      </c>
      <c r="V341" s="8" t="str">
        <f>"－"</f>
        <v>－</v>
      </c>
      <c r="W341" s="9" t="n">
        <f>34</f>
        <v>34.0</v>
      </c>
      <c r="X341" s="9" t="n">
        <v>34.0</v>
      </c>
      <c r="Y341" s="9" t="n">
        <f>7818980</f>
        <v>7818980.0</v>
      </c>
      <c r="Z341" s="9" t="n">
        <v>7818980.0</v>
      </c>
      <c r="AA341" s="9" t="str">
        <f>"－"</f>
        <v>－</v>
      </c>
      <c r="AB341" s="6" t="s">
        <v>58</v>
      </c>
      <c r="AC341" s="10" t="str">
        <f>"－"</f>
        <v>－</v>
      </c>
      <c r="AD341" s="9" t="str">
        <f>"－"</f>
        <v>－</v>
      </c>
    </row>
    <row r="342">
      <c r="A342" s="3" t="s">
        <v>50</v>
      </c>
      <c r="B342" s="3" t="s">
        <v>1036</v>
      </c>
      <c r="C342" s="43" t="s">
        <v>1037</v>
      </c>
      <c r="D342" s="43" t="s">
        <v>1038</v>
      </c>
      <c r="E342" s="3" t="s">
        <v>54</v>
      </c>
      <c r="F342" s="3"/>
      <c r="G342" s="3" t="s">
        <v>63</v>
      </c>
      <c r="H342" s="4" t="s">
        <v>800</v>
      </c>
      <c r="I342" s="5" t="n">
        <v>8500.0</v>
      </c>
      <c r="J342" s="6"/>
      <c r="K342" s="7" t="s">
        <v>57</v>
      </c>
      <c r="L342" s="6"/>
      <c r="M342" s="7" t="s">
        <v>57</v>
      </c>
      <c r="N342" s="6" t="s">
        <v>485</v>
      </c>
      <c r="O342" s="7" t="s">
        <v>1042</v>
      </c>
      <c r="P342" s="6"/>
      <c r="Q342" s="7" t="s">
        <v>57</v>
      </c>
      <c r="R342" s="6" t="s">
        <v>158</v>
      </c>
      <c r="S342" s="7" t="s">
        <v>1043</v>
      </c>
      <c r="T342" s="6"/>
      <c r="U342" s="7" t="s">
        <v>57</v>
      </c>
      <c r="V342" s="8" t="str">
        <f>"－"</f>
        <v>－</v>
      </c>
      <c r="W342" s="9" t="n">
        <f>32</f>
        <v>32.0</v>
      </c>
      <c r="X342" s="9" t="n">
        <v>32.0</v>
      </c>
      <c r="Y342" s="9" t="n">
        <f>10774720</f>
        <v>1.077472E7</v>
      </c>
      <c r="Z342" s="9" t="n">
        <v>1.077472E7</v>
      </c>
      <c r="AA342" s="9" t="str">
        <f>"－"</f>
        <v>－</v>
      </c>
      <c r="AB342" s="6" t="s">
        <v>58</v>
      </c>
      <c r="AC342" s="10" t="str">
        <f>"－"</f>
        <v>－</v>
      </c>
      <c r="AD342" s="9" t="str">
        <f>"－"</f>
        <v>－</v>
      </c>
    </row>
    <row r="343">
      <c r="A343" s="3" t="s">
        <v>50</v>
      </c>
      <c r="B343" s="3" t="s">
        <v>1036</v>
      </c>
      <c r="C343" s="43" t="s">
        <v>1037</v>
      </c>
      <c r="D343" s="43" t="s">
        <v>1038</v>
      </c>
      <c r="E343" s="3" t="s">
        <v>54</v>
      </c>
      <c r="F343" s="3"/>
      <c r="G343" s="3" t="s">
        <v>116</v>
      </c>
      <c r="H343" s="4" t="s">
        <v>851</v>
      </c>
      <c r="I343" s="5" t="n">
        <v>8000.0</v>
      </c>
      <c r="J343" s="6"/>
      <c r="K343" s="7" t="s">
        <v>57</v>
      </c>
      <c r="L343" s="6"/>
      <c r="M343" s="7" t="s">
        <v>57</v>
      </c>
      <c r="N343" s="6" t="s">
        <v>485</v>
      </c>
      <c r="O343" s="7" t="s">
        <v>1044</v>
      </c>
      <c r="P343" s="6"/>
      <c r="Q343" s="7" t="s">
        <v>57</v>
      </c>
      <c r="R343" s="6" t="s">
        <v>223</v>
      </c>
      <c r="S343" s="7" t="s">
        <v>1045</v>
      </c>
      <c r="T343" s="6"/>
      <c r="U343" s="7" t="s">
        <v>57</v>
      </c>
      <c r="V343" s="8" t="str">
        <f>"－"</f>
        <v>－</v>
      </c>
      <c r="W343" s="9" t="n">
        <f>36</f>
        <v>36.0</v>
      </c>
      <c r="X343" s="9" t="n">
        <v>36.0</v>
      </c>
      <c r="Y343" s="9" t="n">
        <f>10570500</f>
        <v>1.05705E7</v>
      </c>
      <c r="Z343" s="9" t="n">
        <v>1.05705E7</v>
      </c>
      <c r="AA343" s="9" t="str">
        <f>"－"</f>
        <v>－</v>
      </c>
      <c r="AB343" s="6" t="s">
        <v>58</v>
      </c>
      <c r="AC343" s="10" t="str">
        <f>"－"</f>
        <v>－</v>
      </c>
      <c r="AD343" s="9" t="str">
        <f>"－"</f>
        <v>－</v>
      </c>
    </row>
    <row r="344">
      <c r="A344" s="3" t="s">
        <v>50</v>
      </c>
      <c r="B344" s="3" t="s">
        <v>1036</v>
      </c>
      <c r="C344" s="43" t="s">
        <v>1037</v>
      </c>
      <c r="D344" s="43" t="s">
        <v>1038</v>
      </c>
      <c r="E344" s="3" t="s">
        <v>54</v>
      </c>
      <c r="F344" s="3"/>
      <c r="G344" s="3" t="s">
        <v>127</v>
      </c>
      <c r="H344" s="4" t="s">
        <v>1046</v>
      </c>
      <c r="I344" s="5" t="n">
        <v>7000.0</v>
      </c>
      <c r="J344" s="6"/>
      <c r="K344" s="7" t="s">
        <v>57</v>
      </c>
      <c r="L344" s="6"/>
      <c r="M344" s="7" t="s">
        <v>57</v>
      </c>
      <c r="N344" s="6" t="s">
        <v>594</v>
      </c>
      <c r="O344" s="7" t="s">
        <v>1047</v>
      </c>
      <c r="P344" s="6"/>
      <c r="Q344" s="7" t="s">
        <v>57</v>
      </c>
      <c r="R344" s="6" t="s">
        <v>431</v>
      </c>
      <c r="S344" s="7" t="s">
        <v>1048</v>
      </c>
      <c r="T344" s="6"/>
      <c r="U344" s="7" t="s">
        <v>57</v>
      </c>
      <c r="V344" s="8" t="str">
        <f>"－"</f>
        <v>－</v>
      </c>
      <c r="W344" s="9" t="n">
        <f>40</f>
        <v>40.0</v>
      </c>
      <c r="X344" s="9" t="n">
        <v>40.0</v>
      </c>
      <c r="Y344" s="9" t="n">
        <f>11105400</f>
        <v>1.11054E7</v>
      </c>
      <c r="Z344" s="9" t="n">
        <v>1.11054E7</v>
      </c>
      <c r="AA344" s="9" t="str">
        <f>"－"</f>
        <v>－</v>
      </c>
      <c r="AB344" s="6" t="s">
        <v>58</v>
      </c>
      <c r="AC344" s="10" t="str">
        <f>"－"</f>
        <v>－</v>
      </c>
      <c r="AD344" s="9" t="str">
        <f>"－"</f>
        <v>－</v>
      </c>
    </row>
    <row r="345">
      <c r="A345" s="3" t="s">
        <v>50</v>
      </c>
      <c r="B345" s="3" t="s">
        <v>1049</v>
      </c>
      <c r="C345" s="43" t="s">
        <v>1050</v>
      </c>
      <c r="D345" s="43" t="s">
        <v>1051</v>
      </c>
      <c r="E345" s="3" t="s">
        <v>54</v>
      </c>
      <c r="F345" s="3"/>
      <c r="G345" s="3" t="s">
        <v>96</v>
      </c>
      <c r="H345" s="4" t="s">
        <v>97</v>
      </c>
      <c r="I345" s="5" t="n">
        <v>8500.0</v>
      </c>
      <c r="J345" s="6" t="s">
        <v>381</v>
      </c>
      <c r="K345" s="7" t="s">
        <v>1052</v>
      </c>
      <c r="L345" s="6" t="s">
        <v>381</v>
      </c>
      <c r="M345" s="7" t="s">
        <v>1052</v>
      </c>
      <c r="N345" s="6"/>
      <c r="O345" s="7"/>
      <c r="P345" s="6" t="s">
        <v>381</v>
      </c>
      <c r="Q345" s="7" t="s">
        <v>1052</v>
      </c>
      <c r="R345" s="6"/>
      <c r="S345" s="7"/>
      <c r="T345" s="6" t="s">
        <v>381</v>
      </c>
      <c r="U345" s="7" t="s">
        <v>1052</v>
      </c>
      <c r="V345" s="8" t="n">
        <f>459.5</f>
        <v>459.5</v>
      </c>
      <c r="W345" s="9" t="n">
        <f>1</f>
        <v>1.0</v>
      </c>
      <c r="X345" s="9"/>
      <c r="Y345" s="9" t="n">
        <f>45950</f>
        <v>45950.0</v>
      </c>
      <c r="Z345" s="9"/>
      <c r="AA345" s="9" t="n">
        <f>1</f>
        <v>1.0</v>
      </c>
      <c r="AB345" s="6" t="s">
        <v>58</v>
      </c>
      <c r="AC345" s="10" t="str">
        <f>"－"</f>
        <v>－</v>
      </c>
      <c r="AD345" s="9" t="n">
        <f>1</f>
        <v>1.0</v>
      </c>
    </row>
    <row r="346">
      <c r="A346" s="3" t="s">
        <v>50</v>
      </c>
      <c r="B346" s="3" t="s">
        <v>1053</v>
      </c>
      <c r="C346" s="43" t="s">
        <v>1054</v>
      </c>
      <c r="D346" s="43" t="s">
        <v>1055</v>
      </c>
      <c r="E346" s="3" t="s">
        <v>104</v>
      </c>
      <c r="F346" s="3"/>
      <c r="G346" s="3" t="s">
        <v>127</v>
      </c>
      <c r="H346" s="4" t="s">
        <v>128</v>
      </c>
      <c r="I346" s="5" t="n">
        <v>1000.0</v>
      </c>
      <c r="J346" s="6" t="s">
        <v>1056</v>
      </c>
      <c r="K346" s="7" t="s">
        <v>95</v>
      </c>
      <c r="L346" s="6" t="s">
        <v>1056</v>
      </c>
      <c r="M346" s="7" t="s">
        <v>95</v>
      </c>
      <c r="N346" s="6"/>
      <c r="O346" s="7"/>
      <c r="P346" s="6" t="s">
        <v>633</v>
      </c>
      <c r="Q346" s="7" t="s">
        <v>71</v>
      </c>
      <c r="R346" s="6"/>
      <c r="S346" s="7"/>
      <c r="T346" s="6" t="s">
        <v>633</v>
      </c>
      <c r="U346" s="7" t="s">
        <v>71</v>
      </c>
      <c r="V346" s="8" t="n">
        <f>15</f>
        <v>15.0</v>
      </c>
      <c r="W346" s="9" t="n">
        <f>4</f>
        <v>4.0</v>
      </c>
      <c r="X346" s="9"/>
      <c r="Y346" s="9" t="n">
        <f>6000</f>
        <v>6000.0</v>
      </c>
      <c r="Z346" s="9"/>
      <c r="AA346" s="9" t="n">
        <f>2</f>
        <v>2.0</v>
      </c>
      <c r="AB346" s="6" t="s">
        <v>58</v>
      </c>
      <c r="AC346" s="10" t="str">
        <f>"－"</f>
        <v>－</v>
      </c>
      <c r="AD346" s="9" t="n">
        <f>2</f>
        <v>2.0</v>
      </c>
    </row>
    <row r="347">
      <c r="A347" s="3" t="s">
        <v>50</v>
      </c>
      <c r="B347" s="3" t="s">
        <v>1057</v>
      </c>
      <c r="C347" s="43" t="s">
        <v>1058</v>
      </c>
      <c r="D347" s="43" t="s">
        <v>1059</v>
      </c>
      <c r="E347" s="3" t="s">
        <v>54</v>
      </c>
      <c r="F347" s="3"/>
      <c r="G347" s="3" t="s">
        <v>116</v>
      </c>
      <c r="H347" s="4" t="s">
        <v>1060</v>
      </c>
      <c r="I347" s="5" t="n">
        <v>750.0</v>
      </c>
      <c r="J347" s="6" t="s">
        <v>150</v>
      </c>
      <c r="K347" s="7" t="s">
        <v>707</v>
      </c>
      <c r="L347" s="6" t="s">
        <v>150</v>
      </c>
      <c r="M347" s="7" t="s">
        <v>707</v>
      </c>
      <c r="N347" s="6"/>
      <c r="O347" s="7"/>
      <c r="P347" s="6" t="s">
        <v>150</v>
      </c>
      <c r="Q347" s="7" t="s">
        <v>707</v>
      </c>
      <c r="R347" s="6"/>
      <c r="S347" s="7"/>
      <c r="T347" s="6" t="s">
        <v>150</v>
      </c>
      <c r="U347" s="7" t="s">
        <v>707</v>
      </c>
      <c r="V347" s="8" t="n">
        <f>139</f>
        <v>139.0</v>
      </c>
      <c r="W347" s="9" t="n">
        <f>3</f>
        <v>3.0</v>
      </c>
      <c r="X347" s="9"/>
      <c r="Y347" s="9" t="n">
        <f>41700</f>
        <v>41700.0</v>
      </c>
      <c r="Z347" s="9"/>
      <c r="AA347" s="9" t="n">
        <f>3</f>
        <v>3.0</v>
      </c>
      <c r="AB347" s="6" t="s">
        <v>58</v>
      </c>
      <c r="AC347" s="10" t="str">
        <f>"－"</f>
        <v>－</v>
      </c>
      <c r="AD347" s="9" t="n">
        <f>1</f>
        <v>1.0</v>
      </c>
    </row>
    <row r="348">
      <c r="A348" s="3" t="s">
        <v>50</v>
      </c>
      <c r="B348" s="3" t="s">
        <v>1057</v>
      </c>
      <c r="C348" s="43" t="s">
        <v>1058</v>
      </c>
      <c r="D348" s="43" t="s">
        <v>1059</v>
      </c>
      <c r="E348" s="3" t="s">
        <v>54</v>
      </c>
      <c r="F348" s="3"/>
      <c r="G348" s="3" t="s">
        <v>294</v>
      </c>
      <c r="H348" s="4" t="s">
        <v>295</v>
      </c>
      <c r="I348" s="5" t="n">
        <v>550.0</v>
      </c>
      <c r="J348" s="6" t="s">
        <v>297</v>
      </c>
      <c r="K348" s="7" t="s">
        <v>421</v>
      </c>
      <c r="L348" s="6" t="s">
        <v>297</v>
      </c>
      <c r="M348" s="7" t="s">
        <v>421</v>
      </c>
      <c r="N348" s="6"/>
      <c r="O348" s="7"/>
      <c r="P348" s="6" t="s">
        <v>297</v>
      </c>
      <c r="Q348" s="7" t="s">
        <v>421</v>
      </c>
      <c r="R348" s="6"/>
      <c r="S348" s="7"/>
      <c r="T348" s="6" t="s">
        <v>297</v>
      </c>
      <c r="U348" s="7" t="s">
        <v>421</v>
      </c>
      <c r="V348" s="8" t="n">
        <f>30</f>
        <v>30.0</v>
      </c>
      <c r="W348" s="9" t="n">
        <f>1</f>
        <v>1.0</v>
      </c>
      <c r="X348" s="9"/>
      <c r="Y348" s="9" t="n">
        <f>3000</f>
        <v>3000.0</v>
      </c>
      <c r="Z348" s="9"/>
      <c r="AA348" s="9" t="n">
        <f>1</f>
        <v>1.0</v>
      </c>
      <c r="AB348" s="6" t="s">
        <v>58</v>
      </c>
      <c r="AC348" s="10" t="str">
        <f>"－"</f>
        <v>－</v>
      </c>
      <c r="AD348" s="9" t="n">
        <f>1</f>
        <v>1.0</v>
      </c>
    </row>
    <row r="349">
      <c r="A349" s="3" t="s">
        <v>50</v>
      </c>
      <c r="B349" s="3" t="s">
        <v>1057</v>
      </c>
      <c r="C349" s="43" t="s">
        <v>1058</v>
      </c>
      <c r="D349" s="43" t="s">
        <v>1059</v>
      </c>
      <c r="E349" s="3" t="s">
        <v>54</v>
      </c>
      <c r="F349" s="3"/>
      <c r="G349" s="3" t="s">
        <v>127</v>
      </c>
      <c r="H349" s="4" t="s">
        <v>855</v>
      </c>
      <c r="I349" s="5" t="n">
        <v>650.0</v>
      </c>
      <c r="J349" s="6" t="s">
        <v>297</v>
      </c>
      <c r="K349" s="7" t="s">
        <v>721</v>
      </c>
      <c r="L349" s="6" t="s">
        <v>1061</v>
      </c>
      <c r="M349" s="7" t="s">
        <v>345</v>
      </c>
      <c r="N349" s="6"/>
      <c r="O349" s="7"/>
      <c r="P349" s="6" t="s">
        <v>297</v>
      </c>
      <c r="Q349" s="7" t="s">
        <v>721</v>
      </c>
      <c r="R349" s="6"/>
      <c r="S349" s="7"/>
      <c r="T349" s="6" t="s">
        <v>1061</v>
      </c>
      <c r="U349" s="7" t="s">
        <v>345</v>
      </c>
      <c r="V349" s="8" t="n">
        <f>150</f>
        <v>150.0</v>
      </c>
      <c r="W349" s="9" t="n">
        <f>2</f>
        <v>2.0</v>
      </c>
      <c r="X349" s="9"/>
      <c r="Y349" s="9" t="n">
        <f>30000</f>
        <v>30000.0</v>
      </c>
      <c r="Z349" s="9"/>
      <c r="AA349" s="9" t="str">
        <f>"－"</f>
        <v>－</v>
      </c>
      <c r="AB349" s="6" t="s">
        <v>58</v>
      </c>
      <c r="AC349" s="10" t="str">
        <f>"－"</f>
        <v>－</v>
      </c>
      <c r="AD349" s="9" t="n">
        <f>2</f>
        <v>2.0</v>
      </c>
    </row>
    <row r="350">
      <c r="A350" s="3" t="s">
        <v>50</v>
      </c>
      <c r="B350" s="3" t="s">
        <v>1057</v>
      </c>
      <c r="C350" s="43" t="s">
        <v>1058</v>
      </c>
      <c r="D350" s="43" t="s">
        <v>1059</v>
      </c>
      <c r="E350" s="3" t="s">
        <v>104</v>
      </c>
      <c r="F350" s="3"/>
      <c r="G350" s="3" t="s">
        <v>112</v>
      </c>
      <c r="H350" s="4" t="s">
        <v>113</v>
      </c>
      <c r="I350" s="5" t="n">
        <v>550.0</v>
      </c>
      <c r="J350" s="6" t="s">
        <v>257</v>
      </c>
      <c r="K350" s="7" t="s">
        <v>206</v>
      </c>
      <c r="L350" s="6" t="s">
        <v>257</v>
      </c>
      <c r="M350" s="7" t="s">
        <v>206</v>
      </c>
      <c r="N350" s="6"/>
      <c r="O350" s="7"/>
      <c r="P350" s="6" t="s">
        <v>257</v>
      </c>
      <c r="Q350" s="7" t="s">
        <v>206</v>
      </c>
      <c r="R350" s="6"/>
      <c r="S350" s="7"/>
      <c r="T350" s="6" t="s">
        <v>257</v>
      </c>
      <c r="U350" s="7" t="s">
        <v>206</v>
      </c>
      <c r="V350" s="8" t="n">
        <f>3</f>
        <v>3.0</v>
      </c>
      <c r="W350" s="9" t="n">
        <f>1</f>
        <v>1.0</v>
      </c>
      <c r="X350" s="9"/>
      <c r="Y350" s="9" t="n">
        <f>300</f>
        <v>300.0</v>
      </c>
      <c r="Z350" s="9"/>
      <c r="AA350" s="9" t="str">
        <f>"－"</f>
        <v>－</v>
      </c>
      <c r="AB350" s="6" t="s">
        <v>58</v>
      </c>
      <c r="AC350" s="10" t="n">
        <f>1</f>
        <v>1.0</v>
      </c>
      <c r="AD350" s="9" t="n">
        <f>1</f>
        <v>1.0</v>
      </c>
    </row>
    <row r="351">
      <c r="A351" s="3" t="s">
        <v>50</v>
      </c>
      <c r="B351" s="3" t="s">
        <v>1062</v>
      </c>
      <c r="C351" s="43" t="s">
        <v>1063</v>
      </c>
      <c r="D351" s="43" t="s">
        <v>1064</v>
      </c>
      <c r="E351" s="3" t="s">
        <v>54</v>
      </c>
      <c r="F351" s="3"/>
      <c r="G351" s="3" t="s">
        <v>294</v>
      </c>
      <c r="H351" s="4" t="s">
        <v>295</v>
      </c>
      <c r="I351" s="5" t="n">
        <v>2400.0</v>
      </c>
      <c r="J351" s="6" t="s">
        <v>292</v>
      </c>
      <c r="K351" s="7" t="s">
        <v>588</v>
      </c>
      <c r="L351" s="6" t="s">
        <v>292</v>
      </c>
      <c r="M351" s="7" t="s">
        <v>588</v>
      </c>
      <c r="N351" s="6"/>
      <c r="O351" s="7"/>
      <c r="P351" s="6" t="s">
        <v>292</v>
      </c>
      <c r="Q351" s="7" t="s">
        <v>588</v>
      </c>
      <c r="R351" s="6"/>
      <c r="S351" s="7"/>
      <c r="T351" s="6" t="s">
        <v>292</v>
      </c>
      <c r="U351" s="7" t="s">
        <v>588</v>
      </c>
      <c r="V351" s="8" t="n">
        <f>270</f>
        <v>270.0</v>
      </c>
      <c r="W351" s="9" t="n">
        <f>8</f>
        <v>8.0</v>
      </c>
      <c r="X351" s="9"/>
      <c r="Y351" s="9" t="n">
        <f>216000</f>
        <v>216000.0</v>
      </c>
      <c r="Z351" s="9"/>
      <c r="AA351" s="9" t="n">
        <f>8</f>
        <v>8.0</v>
      </c>
      <c r="AB351" s="6" t="s">
        <v>58</v>
      </c>
      <c r="AC351" s="10" t="str">
        <f>"－"</f>
        <v>－</v>
      </c>
      <c r="AD351" s="9" t="n">
        <f>1</f>
        <v>1.0</v>
      </c>
    </row>
    <row r="352">
      <c r="A352" s="3" t="s">
        <v>50</v>
      </c>
      <c r="B352" s="3" t="s">
        <v>1062</v>
      </c>
      <c r="C352" s="43" t="s">
        <v>1063</v>
      </c>
      <c r="D352" s="43" t="s">
        <v>1064</v>
      </c>
      <c r="E352" s="3" t="s">
        <v>54</v>
      </c>
      <c r="F352" s="3"/>
      <c r="G352" s="3" t="s">
        <v>84</v>
      </c>
      <c r="H352" s="4" t="s">
        <v>85</v>
      </c>
      <c r="I352" s="5" t="n">
        <v>2000.0</v>
      </c>
      <c r="J352" s="6" t="s">
        <v>568</v>
      </c>
      <c r="K352" s="7" t="s">
        <v>124</v>
      </c>
      <c r="L352" s="6" t="s">
        <v>568</v>
      </c>
      <c r="M352" s="7" t="s">
        <v>124</v>
      </c>
      <c r="N352" s="6"/>
      <c r="O352" s="7"/>
      <c r="P352" s="6" t="s">
        <v>568</v>
      </c>
      <c r="Q352" s="7" t="s">
        <v>124</v>
      </c>
      <c r="R352" s="6"/>
      <c r="S352" s="7"/>
      <c r="T352" s="6" t="s">
        <v>568</v>
      </c>
      <c r="U352" s="7" t="s">
        <v>124</v>
      </c>
      <c r="V352" s="8" t="n">
        <f>36</f>
        <v>36.0</v>
      </c>
      <c r="W352" s="9" t="n">
        <f>1</f>
        <v>1.0</v>
      </c>
      <c r="X352" s="9"/>
      <c r="Y352" s="9" t="n">
        <f>3600</f>
        <v>3600.0</v>
      </c>
      <c r="Z352" s="9"/>
      <c r="AA352" s="9" t="str">
        <f>"－"</f>
        <v>－</v>
      </c>
      <c r="AB352" s="6" t="s">
        <v>58</v>
      </c>
      <c r="AC352" s="10" t="n">
        <f>1</f>
        <v>1.0</v>
      </c>
      <c r="AD352" s="9" t="n">
        <f>1</f>
        <v>1.0</v>
      </c>
    </row>
    <row r="353">
      <c r="A353" s="3" t="s">
        <v>50</v>
      </c>
      <c r="B353" s="3" t="s">
        <v>1062</v>
      </c>
      <c r="C353" s="43" t="s">
        <v>1063</v>
      </c>
      <c r="D353" s="43" t="s">
        <v>1064</v>
      </c>
      <c r="E353" s="3" t="s">
        <v>54</v>
      </c>
      <c r="F353" s="3"/>
      <c r="G353" s="3" t="s">
        <v>88</v>
      </c>
      <c r="H353" s="4" t="s">
        <v>89</v>
      </c>
      <c r="I353" s="5" t="n">
        <v>2000.0</v>
      </c>
      <c r="J353" s="6" t="s">
        <v>376</v>
      </c>
      <c r="K353" s="7" t="s">
        <v>888</v>
      </c>
      <c r="L353" s="6" t="s">
        <v>376</v>
      </c>
      <c r="M353" s="7" t="s">
        <v>888</v>
      </c>
      <c r="N353" s="6"/>
      <c r="O353" s="7"/>
      <c r="P353" s="6" t="s">
        <v>376</v>
      </c>
      <c r="Q353" s="7" t="s">
        <v>888</v>
      </c>
      <c r="R353" s="6"/>
      <c r="S353" s="7"/>
      <c r="T353" s="6" t="s">
        <v>376</v>
      </c>
      <c r="U353" s="7" t="s">
        <v>888</v>
      </c>
      <c r="V353" s="8" t="n">
        <f>40</f>
        <v>40.0</v>
      </c>
      <c r="W353" s="9" t="n">
        <f>1</f>
        <v>1.0</v>
      </c>
      <c r="X353" s="9"/>
      <c r="Y353" s="9" t="n">
        <f>4000</f>
        <v>4000.0</v>
      </c>
      <c r="Z353" s="9"/>
      <c r="AA353" s="9" t="n">
        <f>1</f>
        <v>1.0</v>
      </c>
      <c r="AB353" s="6" t="s">
        <v>58</v>
      </c>
      <c r="AC353" s="10" t="str">
        <f>"－"</f>
        <v>－</v>
      </c>
      <c r="AD353" s="9" t="n">
        <f>1</f>
        <v>1.0</v>
      </c>
    </row>
    <row r="354">
      <c r="A354" s="3" t="s">
        <v>50</v>
      </c>
      <c r="B354" s="3" t="s">
        <v>1062</v>
      </c>
      <c r="C354" s="43" t="s">
        <v>1063</v>
      </c>
      <c r="D354" s="43" t="s">
        <v>1064</v>
      </c>
      <c r="E354" s="3" t="s">
        <v>54</v>
      </c>
      <c r="F354" s="3"/>
      <c r="G354" s="3" t="s">
        <v>127</v>
      </c>
      <c r="H354" s="4" t="s">
        <v>128</v>
      </c>
      <c r="I354" s="5" t="n">
        <v>2000.0</v>
      </c>
      <c r="J354" s="6" t="s">
        <v>403</v>
      </c>
      <c r="K354" s="7" t="s">
        <v>319</v>
      </c>
      <c r="L354" s="6" t="s">
        <v>403</v>
      </c>
      <c r="M354" s="7" t="s">
        <v>319</v>
      </c>
      <c r="N354" s="6"/>
      <c r="O354" s="7"/>
      <c r="P354" s="6" t="s">
        <v>403</v>
      </c>
      <c r="Q354" s="7" t="s">
        <v>319</v>
      </c>
      <c r="R354" s="6"/>
      <c r="S354" s="7"/>
      <c r="T354" s="6" t="s">
        <v>403</v>
      </c>
      <c r="U354" s="7" t="s">
        <v>319</v>
      </c>
      <c r="V354" s="8" t="n">
        <f>60</f>
        <v>60.0</v>
      </c>
      <c r="W354" s="9" t="n">
        <f>1</f>
        <v>1.0</v>
      </c>
      <c r="X354" s="9"/>
      <c r="Y354" s="9" t="n">
        <f>6000</f>
        <v>6000.0</v>
      </c>
      <c r="Z354" s="9"/>
      <c r="AA354" s="9" t="n">
        <f>1</f>
        <v>1.0</v>
      </c>
      <c r="AB354" s="6" t="s">
        <v>58</v>
      </c>
      <c r="AC354" s="10" t="str">
        <f>"－"</f>
        <v>－</v>
      </c>
      <c r="AD354" s="9" t="n">
        <f>1</f>
        <v>1.0</v>
      </c>
    </row>
    <row r="355">
      <c r="A355" s="3" t="s">
        <v>50</v>
      </c>
      <c r="B355" s="3" t="s">
        <v>1065</v>
      </c>
      <c r="C355" s="43" t="s">
        <v>1066</v>
      </c>
      <c r="D355" s="43" t="s">
        <v>1067</v>
      </c>
      <c r="E355" s="3" t="s">
        <v>104</v>
      </c>
      <c r="F355" s="3"/>
      <c r="G355" s="3" t="s">
        <v>127</v>
      </c>
      <c r="H355" s="4" t="s">
        <v>1068</v>
      </c>
      <c r="I355" s="5" t="n">
        <v>2400.0</v>
      </c>
      <c r="J355" s="6" t="s">
        <v>661</v>
      </c>
      <c r="K355" s="7" t="s">
        <v>421</v>
      </c>
      <c r="L355" s="6" t="s">
        <v>661</v>
      </c>
      <c r="M355" s="7" t="s">
        <v>421</v>
      </c>
      <c r="N355" s="6"/>
      <c r="O355" s="7"/>
      <c r="P355" s="6" t="s">
        <v>661</v>
      </c>
      <c r="Q355" s="7" t="s">
        <v>421</v>
      </c>
      <c r="R355" s="6"/>
      <c r="S355" s="7"/>
      <c r="T355" s="6" t="s">
        <v>661</v>
      </c>
      <c r="U355" s="7" t="s">
        <v>421</v>
      </c>
      <c r="V355" s="8" t="n">
        <f>30</f>
        <v>30.0</v>
      </c>
      <c r="W355" s="9" t="n">
        <f>30</f>
        <v>30.0</v>
      </c>
      <c r="X355" s="9"/>
      <c r="Y355" s="9" t="n">
        <f>90000</f>
        <v>90000.0</v>
      </c>
      <c r="Z355" s="9"/>
      <c r="AA355" s="9" t="str">
        <f>"－"</f>
        <v>－</v>
      </c>
      <c r="AB355" s="6" t="s">
        <v>58</v>
      </c>
      <c r="AC355" s="10" t="n">
        <f>30</f>
        <v>30.0</v>
      </c>
      <c r="AD355" s="9" t="n">
        <f>1</f>
        <v>1.0</v>
      </c>
    </row>
    <row r="356">
      <c r="A356" s="3" t="s">
        <v>50</v>
      </c>
      <c r="B356" s="3" t="s">
        <v>1065</v>
      </c>
      <c r="C356" s="43" t="s">
        <v>1066</v>
      </c>
      <c r="D356" s="43" t="s">
        <v>1067</v>
      </c>
      <c r="E356" s="3" t="s">
        <v>104</v>
      </c>
      <c r="F356" s="3"/>
      <c r="G356" s="3" t="s">
        <v>127</v>
      </c>
      <c r="H356" s="4" t="s">
        <v>311</v>
      </c>
      <c r="I356" s="5" t="n">
        <v>2600.0</v>
      </c>
      <c r="J356" s="6" t="s">
        <v>620</v>
      </c>
      <c r="K356" s="7" t="s">
        <v>421</v>
      </c>
      <c r="L356" s="6" t="s">
        <v>620</v>
      </c>
      <c r="M356" s="7" t="s">
        <v>421</v>
      </c>
      <c r="N356" s="6"/>
      <c r="O356" s="7"/>
      <c r="P356" s="6" t="s">
        <v>102</v>
      </c>
      <c r="Q356" s="7" t="s">
        <v>699</v>
      </c>
      <c r="R356" s="6"/>
      <c r="S356" s="7"/>
      <c r="T356" s="6" t="s">
        <v>102</v>
      </c>
      <c r="U356" s="7" t="s">
        <v>699</v>
      </c>
      <c r="V356" s="8" t="n">
        <f>16</f>
        <v>16.0</v>
      </c>
      <c r="W356" s="9" t="n">
        <f>60</f>
        <v>60.0</v>
      </c>
      <c r="X356" s="9"/>
      <c r="Y356" s="9" t="n">
        <f>96000</f>
        <v>96000.0</v>
      </c>
      <c r="Z356" s="9"/>
      <c r="AA356" s="9" t="str">
        <f>"－"</f>
        <v>－</v>
      </c>
      <c r="AB356" s="6" t="s">
        <v>58</v>
      </c>
      <c r="AC356" s="10" t="str">
        <f>"－"</f>
        <v>－</v>
      </c>
      <c r="AD356" s="9" t="n">
        <f>2</f>
        <v>2.0</v>
      </c>
    </row>
    <row r="357">
      <c r="A357" s="3" t="s">
        <v>50</v>
      </c>
      <c r="B357" s="3" t="s">
        <v>1065</v>
      </c>
      <c r="C357" s="43" t="s">
        <v>1066</v>
      </c>
      <c r="D357" s="43" t="s">
        <v>1067</v>
      </c>
      <c r="E357" s="3" t="s">
        <v>104</v>
      </c>
      <c r="F357" s="3"/>
      <c r="G357" s="3" t="s">
        <v>100</v>
      </c>
      <c r="H357" s="4" t="s">
        <v>101</v>
      </c>
      <c r="I357" s="5" t="n">
        <v>2400.0</v>
      </c>
      <c r="J357" s="6" t="s">
        <v>466</v>
      </c>
      <c r="K357" s="7" t="s">
        <v>481</v>
      </c>
      <c r="L357" s="6" t="s">
        <v>466</v>
      </c>
      <c r="M357" s="7" t="s">
        <v>481</v>
      </c>
      <c r="N357" s="6"/>
      <c r="O357" s="7"/>
      <c r="P357" s="6" t="s">
        <v>466</v>
      </c>
      <c r="Q357" s="7" t="s">
        <v>481</v>
      </c>
      <c r="R357" s="6"/>
      <c r="S357" s="7"/>
      <c r="T357" s="6" t="s">
        <v>466</v>
      </c>
      <c r="U357" s="7" t="s">
        <v>481</v>
      </c>
      <c r="V357" s="8" t="n">
        <f>18</f>
        <v>18.0</v>
      </c>
      <c r="W357" s="9" t="n">
        <f>30</f>
        <v>30.0</v>
      </c>
      <c r="X357" s="9"/>
      <c r="Y357" s="9" t="n">
        <f>54000</f>
        <v>54000.0</v>
      </c>
      <c r="Z357" s="9"/>
      <c r="AA357" s="9" t="str">
        <f>"－"</f>
        <v>－</v>
      </c>
      <c r="AB357" s="6"/>
      <c r="AC357" s="10" t="n">
        <f>30</f>
        <v>30.0</v>
      </c>
      <c r="AD357" s="9" t="n">
        <f>1</f>
        <v>1.0</v>
      </c>
    </row>
    <row r="358">
      <c r="A358" s="3" t="s">
        <v>50</v>
      </c>
      <c r="B358" s="3" t="s">
        <v>1069</v>
      </c>
      <c r="C358" s="43" t="s">
        <v>1070</v>
      </c>
      <c r="D358" s="43" t="s">
        <v>1071</v>
      </c>
      <c r="E358" s="3" t="s">
        <v>104</v>
      </c>
      <c r="F358" s="3"/>
      <c r="G358" s="3" t="s">
        <v>127</v>
      </c>
      <c r="H358" s="4" t="s">
        <v>1072</v>
      </c>
      <c r="I358" s="5" t="n">
        <v>3600.0</v>
      </c>
      <c r="J358" s="6" t="s">
        <v>413</v>
      </c>
      <c r="K358" s="7" t="s">
        <v>888</v>
      </c>
      <c r="L358" s="6" t="s">
        <v>413</v>
      </c>
      <c r="M358" s="7" t="s">
        <v>888</v>
      </c>
      <c r="N358" s="6"/>
      <c r="O358" s="7"/>
      <c r="P358" s="6" t="s">
        <v>413</v>
      </c>
      <c r="Q358" s="7" t="s">
        <v>888</v>
      </c>
      <c r="R358" s="6"/>
      <c r="S358" s="7"/>
      <c r="T358" s="6" t="s">
        <v>413</v>
      </c>
      <c r="U358" s="7" t="s">
        <v>888</v>
      </c>
      <c r="V358" s="8" t="n">
        <f>40</f>
        <v>40.0</v>
      </c>
      <c r="W358" s="9" t="n">
        <f>20</f>
        <v>20.0</v>
      </c>
      <c r="X358" s="9"/>
      <c r="Y358" s="9" t="n">
        <f>80000</f>
        <v>80000.0</v>
      </c>
      <c r="Z358" s="9"/>
      <c r="AA358" s="9" t="str">
        <f>"－"</f>
        <v>－</v>
      </c>
      <c r="AB358" s="6" t="s">
        <v>58</v>
      </c>
      <c r="AC358" s="10" t="n">
        <f>20</f>
        <v>20.0</v>
      </c>
      <c r="AD358" s="9" t="n">
        <f>1</f>
        <v>1.0</v>
      </c>
    </row>
    <row r="359">
      <c r="A359" s="3" t="s">
        <v>50</v>
      </c>
      <c r="B359" s="3" t="s">
        <v>1069</v>
      </c>
      <c r="C359" s="43" t="s">
        <v>1070</v>
      </c>
      <c r="D359" s="43" t="s">
        <v>1071</v>
      </c>
      <c r="E359" s="3" t="s">
        <v>104</v>
      </c>
      <c r="F359" s="3"/>
      <c r="G359" s="3" t="s">
        <v>100</v>
      </c>
      <c r="H359" s="4" t="s">
        <v>101</v>
      </c>
      <c r="I359" s="5" t="n">
        <v>3600.0</v>
      </c>
      <c r="J359" s="6" t="s">
        <v>466</v>
      </c>
      <c r="K359" s="7" t="s">
        <v>753</v>
      </c>
      <c r="L359" s="6" t="s">
        <v>466</v>
      </c>
      <c r="M359" s="7" t="s">
        <v>753</v>
      </c>
      <c r="N359" s="6"/>
      <c r="O359" s="7"/>
      <c r="P359" s="6" t="s">
        <v>466</v>
      </c>
      <c r="Q359" s="7" t="s">
        <v>753</v>
      </c>
      <c r="R359" s="6"/>
      <c r="S359" s="7"/>
      <c r="T359" s="6" t="s">
        <v>466</v>
      </c>
      <c r="U359" s="7" t="s">
        <v>753</v>
      </c>
      <c r="V359" s="8" t="n">
        <f>15</f>
        <v>15.0</v>
      </c>
      <c r="W359" s="9" t="n">
        <f>20</f>
        <v>20.0</v>
      </c>
      <c r="X359" s="9"/>
      <c r="Y359" s="9" t="n">
        <f>30000</f>
        <v>30000.0</v>
      </c>
      <c r="Z359" s="9"/>
      <c r="AA359" s="9" t="str">
        <f>"－"</f>
        <v>－</v>
      </c>
      <c r="AB359" s="6"/>
      <c r="AC359" s="10" t="n">
        <f>20</f>
        <v>20.0</v>
      </c>
      <c r="AD359" s="9" t="n">
        <f>1</f>
        <v>1.0</v>
      </c>
    </row>
    <row r="360">
      <c r="A360" s="3" t="s">
        <v>50</v>
      </c>
      <c r="B360" s="3" t="s">
        <v>1073</v>
      </c>
      <c r="C360" s="43" t="s">
        <v>1074</v>
      </c>
      <c r="D360" s="43" t="s">
        <v>1075</v>
      </c>
      <c r="E360" s="3" t="s">
        <v>54</v>
      </c>
      <c r="F360" s="3"/>
      <c r="G360" s="3" t="s">
        <v>59</v>
      </c>
      <c r="H360" s="4" t="s">
        <v>60</v>
      </c>
      <c r="I360" s="5" t="n">
        <v>2400.0</v>
      </c>
      <c r="J360" s="6"/>
      <c r="K360" s="7" t="s">
        <v>57</v>
      </c>
      <c r="L360" s="6"/>
      <c r="M360" s="7" t="s">
        <v>57</v>
      </c>
      <c r="N360" s="6" t="s">
        <v>139</v>
      </c>
      <c r="O360" s="7" t="s">
        <v>954</v>
      </c>
      <c r="P360" s="6"/>
      <c r="Q360" s="7" t="s">
        <v>57</v>
      </c>
      <c r="R360" s="6" t="s">
        <v>162</v>
      </c>
      <c r="S360" s="7" t="s">
        <v>1076</v>
      </c>
      <c r="T360" s="6"/>
      <c r="U360" s="7" t="s">
        <v>57</v>
      </c>
      <c r="V360" s="8" t="str">
        <f>"－"</f>
        <v>－</v>
      </c>
      <c r="W360" s="9" t="n">
        <f>700</f>
        <v>700.0</v>
      </c>
      <c r="X360" s="9" t="n">
        <v>700.0</v>
      </c>
      <c r="Y360" s="9" t="n">
        <f>1714550</f>
        <v>1714550.0</v>
      </c>
      <c r="Z360" s="9" t="n">
        <v>1714550.0</v>
      </c>
      <c r="AA360" s="9" t="n">
        <f>700</f>
        <v>700.0</v>
      </c>
      <c r="AB360" s="6" t="s">
        <v>58</v>
      </c>
      <c r="AC360" s="10" t="str">
        <f>"－"</f>
        <v>－</v>
      </c>
      <c r="AD360" s="9" t="str">
        <f>"－"</f>
        <v>－</v>
      </c>
    </row>
    <row r="361">
      <c r="A361" s="3" t="s">
        <v>50</v>
      </c>
      <c r="B361" s="3" t="s">
        <v>1073</v>
      </c>
      <c r="C361" s="43" t="s">
        <v>1074</v>
      </c>
      <c r="D361" s="43" t="s">
        <v>1075</v>
      </c>
      <c r="E361" s="3" t="s">
        <v>54</v>
      </c>
      <c r="F361" s="3"/>
      <c r="G361" s="3" t="s">
        <v>59</v>
      </c>
      <c r="H361" s="4" t="s">
        <v>60</v>
      </c>
      <c r="I361" s="5" t="n">
        <v>3000.0</v>
      </c>
      <c r="J361" s="6"/>
      <c r="K361" s="7" t="s">
        <v>57</v>
      </c>
      <c r="L361" s="6"/>
      <c r="M361" s="7" t="s">
        <v>57</v>
      </c>
      <c r="N361" s="6" t="s">
        <v>137</v>
      </c>
      <c r="O361" s="7" t="s">
        <v>1077</v>
      </c>
      <c r="P361" s="6"/>
      <c r="Q361" s="7" t="s">
        <v>57</v>
      </c>
      <c r="R361" s="6" t="s">
        <v>499</v>
      </c>
      <c r="S361" s="7" t="s">
        <v>1078</v>
      </c>
      <c r="T361" s="6"/>
      <c r="U361" s="7" t="s">
        <v>57</v>
      </c>
      <c r="V361" s="8" t="str">
        <f>"－"</f>
        <v>－</v>
      </c>
      <c r="W361" s="9" t="n">
        <f>90</f>
        <v>90.0</v>
      </c>
      <c r="X361" s="9" t="n">
        <v>90.0</v>
      </c>
      <c r="Y361" s="9" t="n">
        <f>3982950</f>
        <v>3982950.0</v>
      </c>
      <c r="Z361" s="9" t="n">
        <v>3982950.0</v>
      </c>
      <c r="AA361" s="9" t="str">
        <f>"－"</f>
        <v>－</v>
      </c>
      <c r="AB361" s="6" t="s">
        <v>58</v>
      </c>
      <c r="AC361" s="10" t="str">
        <f>"－"</f>
        <v>－</v>
      </c>
      <c r="AD361" s="9" t="str">
        <f>"－"</f>
        <v>－</v>
      </c>
    </row>
    <row r="362">
      <c r="A362" s="3" t="s">
        <v>50</v>
      </c>
      <c r="B362" s="3" t="s">
        <v>1079</v>
      </c>
      <c r="C362" s="43" t="s">
        <v>1080</v>
      </c>
      <c r="D362" s="43" t="s">
        <v>1081</v>
      </c>
      <c r="E362" s="3" t="s">
        <v>104</v>
      </c>
      <c r="F362" s="3"/>
      <c r="G362" s="3" t="s">
        <v>59</v>
      </c>
      <c r="H362" s="4" t="s">
        <v>60</v>
      </c>
      <c r="I362" s="5" t="n">
        <v>19000.0</v>
      </c>
      <c r="J362" s="6"/>
      <c r="K362" s="7" t="s">
        <v>57</v>
      </c>
      <c r="L362" s="6"/>
      <c r="M362" s="7" t="s">
        <v>57</v>
      </c>
      <c r="N362" s="6" t="s">
        <v>162</v>
      </c>
      <c r="O362" s="7" t="s">
        <v>1082</v>
      </c>
      <c r="P362" s="6"/>
      <c r="Q362" s="7" t="s">
        <v>57</v>
      </c>
      <c r="R362" s="6" t="s">
        <v>162</v>
      </c>
      <c r="S362" s="7" t="s">
        <v>1083</v>
      </c>
      <c r="T362" s="6"/>
      <c r="U362" s="7" t="s">
        <v>57</v>
      </c>
      <c r="V362" s="8" t="str">
        <f>"－"</f>
        <v>－</v>
      </c>
      <c r="W362" s="9" t="n">
        <f>660</f>
        <v>660.0</v>
      </c>
      <c r="X362" s="9" t="n">
        <v>660.0</v>
      </c>
      <c r="Y362" s="9" t="n">
        <f>4074950</f>
        <v>4074950.0</v>
      </c>
      <c r="Z362" s="9" t="n">
        <v>4074950.0</v>
      </c>
      <c r="AA362" s="9" t="str">
        <f>"－"</f>
        <v>－</v>
      </c>
      <c r="AB362" s="6" t="s">
        <v>58</v>
      </c>
      <c r="AC362" s="10" t="n">
        <f>660</f>
        <v>660.0</v>
      </c>
      <c r="AD362" s="9" t="str">
        <f>"－"</f>
        <v>－</v>
      </c>
    </row>
    <row r="363">
      <c r="A363" s="3" t="s">
        <v>50</v>
      </c>
      <c r="B363" s="3" t="s">
        <v>1084</v>
      </c>
      <c r="C363" s="43" t="s">
        <v>1085</v>
      </c>
      <c r="D363" s="43" t="s">
        <v>1086</v>
      </c>
      <c r="E363" s="3" t="s">
        <v>54</v>
      </c>
      <c r="F363" s="3"/>
      <c r="G363" s="3" t="s">
        <v>59</v>
      </c>
      <c r="H363" s="4" t="s">
        <v>60</v>
      </c>
      <c r="I363" s="5" t="n">
        <v>2600.0</v>
      </c>
      <c r="J363" s="6"/>
      <c r="K363" s="7" t="s">
        <v>57</v>
      </c>
      <c r="L363" s="6"/>
      <c r="M363" s="7" t="s">
        <v>57</v>
      </c>
      <c r="N363" s="6" t="s">
        <v>162</v>
      </c>
      <c r="O363" s="7" t="s">
        <v>1087</v>
      </c>
      <c r="P363" s="6"/>
      <c r="Q363" s="7" t="s">
        <v>57</v>
      </c>
      <c r="R363" s="6" t="s">
        <v>162</v>
      </c>
      <c r="S363" s="7" t="s">
        <v>1088</v>
      </c>
      <c r="T363" s="6"/>
      <c r="U363" s="7" t="s">
        <v>57</v>
      </c>
      <c r="V363" s="8" t="str">
        <f>"－"</f>
        <v>－</v>
      </c>
      <c r="W363" s="9" t="n">
        <f>3000</f>
        <v>3000.0</v>
      </c>
      <c r="X363" s="9" t="n">
        <v>3000.0</v>
      </c>
      <c r="Y363" s="9" t="n">
        <f>5761710</f>
        <v>5761710.0</v>
      </c>
      <c r="Z363" s="9" t="n">
        <v>5761710.0</v>
      </c>
      <c r="AA363" s="9" t="str">
        <f>"－"</f>
        <v>－</v>
      </c>
      <c r="AB363" s="6" t="s">
        <v>58</v>
      </c>
      <c r="AC363" s="10" t="n">
        <f>3000</f>
        <v>3000.0</v>
      </c>
      <c r="AD363" s="9" t="str">
        <f>"－"</f>
        <v>－</v>
      </c>
    </row>
    <row r="364">
      <c r="A364" s="3" t="s">
        <v>50</v>
      </c>
      <c r="B364" s="3" t="s">
        <v>1089</v>
      </c>
      <c r="C364" s="43" t="s">
        <v>1090</v>
      </c>
      <c r="D364" s="43" t="s">
        <v>1091</v>
      </c>
      <c r="E364" s="3" t="s">
        <v>54</v>
      </c>
      <c r="F364" s="3"/>
      <c r="G364" s="3" t="s">
        <v>59</v>
      </c>
      <c r="H364" s="4" t="s">
        <v>60</v>
      </c>
      <c r="I364" s="5" t="n">
        <v>1000.0</v>
      </c>
      <c r="J364" s="6"/>
      <c r="K364" s="7" t="s">
        <v>57</v>
      </c>
      <c r="L364" s="6"/>
      <c r="M364" s="7" t="s">
        <v>57</v>
      </c>
      <c r="N364" s="6" t="s">
        <v>162</v>
      </c>
      <c r="O364" s="7" t="s">
        <v>1092</v>
      </c>
      <c r="P364" s="6"/>
      <c r="Q364" s="7" t="s">
        <v>57</v>
      </c>
      <c r="R364" s="6" t="s">
        <v>162</v>
      </c>
      <c r="S364" s="7" t="s">
        <v>1093</v>
      </c>
      <c r="T364" s="6"/>
      <c r="U364" s="7" t="s">
        <v>57</v>
      </c>
      <c r="V364" s="8" t="str">
        <f>"－"</f>
        <v>－</v>
      </c>
      <c r="W364" s="9" t="n">
        <f>2600</f>
        <v>2600.0</v>
      </c>
      <c r="X364" s="9" t="n">
        <v>2600.0</v>
      </c>
      <c r="Y364" s="9" t="n">
        <f>2188860</f>
        <v>2188860.0</v>
      </c>
      <c r="Z364" s="9" t="n">
        <v>2188860.0</v>
      </c>
      <c r="AA364" s="9" t="str">
        <f>"－"</f>
        <v>－</v>
      </c>
      <c r="AB364" s="6" t="s">
        <v>58</v>
      </c>
      <c r="AC364" s="10" t="n">
        <f>2600</f>
        <v>2600.0</v>
      </c>
      <c r="AD364" s="9" t="str">
        <f>"－"</f>
        <v>－</v>
      </c>
    </row>
    <row r="365">
      <c r="A365" s="3" t="s">
        <v>50</v>
      </c>
      <c r="B365" s="3" t="s">
        <v>1089</v>
      </c>
      <c r="C365" s="43" t="s">
        <v>1090</v>
      </c>
      <c r="D365" s="43" t="s">
        <v>1091</v>
      </c>
      <c r="E365" s="3" t="s">
        <v>54</v>
      </c>
      <c r="F365" s="3"/>
      <c r="G365" s="3" t="s">
        <v>63</v>
      </c>
      <c r="H365" s="4" t="s">
        <v>64</v>
      </c>
      <c r="I365" s="5" t="n">
        <v>1000.0</v>
      </c>
      <c r="J365" s="6" t="s">
        <v>480</v>
      </c>
      <c r="K365" s="7" t="s">
        <v>1094</v>
      </c>
      <c r="L365" s="6" t="s">
        <v>480</v>
      </c>
      <c r="M365" s="7" t="s">
        <v>1094</v>
      </c>
      <c r="N365" s="6"/>
      <c r="O365" s="7"/>
      <c r="P365" s="6" t="s">
        <v>480</v>
      </c>
      <c r="Q365" s="7" t="s">
        <v>1094</v>
      </c>
      <c r="R365" s="6"/>
      <c r="S365" s="7"/>
      <c r="T365" s="6" t="s">
        <v>480</v>
      </c>
      <c r="U365" s="7" t="s">
        <v>1094</v>
      </c>
      <c r="V365" s="8" t="n">
        <f>46.8</f>
        <v>46.8</v>
      </c>
      <c r="W365" s="9" t="n">
        <f>5</f>
        <v>5.0</v>
      </c>
      <c r="X365" s="9"/>
      <c r="Y365" s="9" t="n">
        <f>23400</f>
        <v>23400.0</v>
      </c>
      <c r="Z365" s="9"/>
      <c r="AA365" s="9" t="n">
        <f>5</f>
        <v>5.0</v>
      </c>
      <c r="AB365" s="6" t="s">
        <v>58</v>
      </c>
      <c r="AC365" s="10" t="str">
        <f>"－"</f>
        <v>－</v>
      </c>
      <c r="AD365" s="9" t="n">
        <f>1</f>
        <v>1.0</v>
      </c>
    </row>
    <row r="366">
      <c r="A366" s="3" t="s">
        <v>50</v>
      </c>
      <c r="B366" s="3" t="s">
        <v>1089</v>
      </c>
      <c r="C366" s="43" t="s">
        <v>1090</v>
      </c>
      <c r="D366" s="43" t="s">
        <v>1091</v>
      </c>
      <c r="E366" s="3" t="s">
        <v>104</v>
      </c>
      <c r="F366" s="3"/>
      <c r="G366" s="3" t="s">
        <v>84</v>
      </c>
      <c r="H366" s="4" t="s">
        <v>85</v>
      </c>
      <c r="I366" s="5" t="n">
        <v>1100.0</v>
      </c>
      <c r="J366" s="6" t="s">
        <v>1095</v>
      </c>
      <c r="K366" s="7" t="s">
        <v>1096</v>
      </c>
      <c r="L366" s="6" t="s">
        <v>309</v>
      </c>
      <c r="M366" s="7" t="s">
        <v>888</v>
      </c>
      <c r="N366" s="6"/>
      <c r="O366" s="7"/>
      <c r="P366" s="6" t="s">
        <v>1095</v>
      </c>
      <c r="Q366" s="7" t="s">
        <v>1096</v>
      </c>
      <c r="R366" s="6"/>
      <c r="S366" s="7"/>
      <c r="T366" s="6" t="s">
        <v>309</v>
      </c>
      <c r="U366" s="7" t="s">
        <v>888</v>
      </c>
      <c r="V366" s="8" t="n">
        <f>39.9</f>
        <v>39.9</v>
      </c>
      <c r="W366" s="9" t="n">
        <f>10</f>
        <v>10.0</v>
      </c>
      <c r="X366" s="9"/>
      <c r="Y366" s="9" t="n">
        <f>39900</f>
        <v>39900.0</v>
      </c>
      <c r="Z366" s="9"/>
      <c r="AA366" s="9" t="str">
        <f>"－"</f>
        <v>－</v>
      </c>
      <c r="AB366" s="6" t="s">
        <v>58</v>
      </c>
      <c r="AC366" s="10" t="str">
        <f>"－"</f>
        <v>－</v>
      </c>
      <c r="AD366" s="9" t="n">
        <f>2</f>
        <v>2.0</v>
      </c>
    </row>
    <row r="367">
      <c r="A367" s="3" t="s">
        <v>50</v>
      </c>
      <c r="B367" s="3" t="s">
        <v>1097</v>
      </c>
      <c r="C367" s="43" t="s">
        <v>1098</v>
      </c>
      <c r="D367" s="43" t="s">
        <v>1099</v>
      </c>
      <c r="E367" s="3" t="s">
        <v>54</v>
      </c>
      <c r="F367" s="3"/>
      <c r="G367" s="3" t="s">
        <v>55</v>
      </c>
      <c r="H367" s="4" t="s">
        <v>56</v>
      </c>
      <c r="I367" s="5" t="n">
        <v>50000.0</v>
      </c>
      <c r="J367" s="6"/>
      <c r="K367" s="7" t="s">
        <v>57</v>
      </c>
      <c r="L367" s="6"/>
      <c r="M367" s="7" t="s">
        <v>57</v>
      </c>
      <c r="N367" s="6"/>
      <c r="O367" s="7"/>
      <c r="P367" s="6"/>
      <c r="Q367" s="7" t="s">
        <v>57</v>
      </c>
      <c r="R367" s="6"/>
      <c r="S367" s="7"/>
      <c r="T367" s="6"/>
      <c r="U367" s="7" t="s">
        <v>57</v>
      </c>
      <c r="V367" s="8" t="str">
        <f>"－"</f>
        <v>－</v>
      </c>
      <c r="W367" s="9" t="str">
        <f>"－"</f>
        <v>－</v>
      </c>
      <c r="X367" s="9"/>
      <c r="Y367" s="9" t="str">
        <f>"－"</f>
        <v>－</v>
      </c>
      <c r="Z367" s="9"/>
      <c r="AA367" s="9" t="str">
        <f>"－"</f>
        <v>－</v>
      </c>
      <c r="AB367" s="6" t="s">
        <v>58</v>
      </c>
      <c r="AC367" s="10" t="n">
        <f>30</f>
        <v>30.0</v>
      </c>
      <c r="AD367" s="9" t="str">
        <f>"－"</f>
        <v>－</v>
      </c>
    </row>
    <row r="368">
      <c r="A368" s="3" t="s">
        <v>50</v>
      </c>
      <c r="B368" s="3" t="s">
        <v>1100</v>
      </c>
      <c r="C368" s="43" t="s">
        <v>1101</v>
      </c>
      <c r="D368" s="43" t="s">
        <v>1102</v>
      </c>
      <c r="E368" s="3" t="s">
        <v>54</v>
      </c>
      <c r="F368" s="3"/>
      <c r="G368" s="3" t="s">
        <v>112</v>
      </c>
      <c r="H368" s="4" t="s">
        <v>113</v>
      </c>
      <c r="I368" s="5" t="n">
        <v>3800.0</v>
      </c>
      <c r="J368" s="6" t="s">
        <v>250</v>
      </c>
      <c r="K368" s="7" t="s">
        <v>792</v>
      </c>
      <c r="L368" s="6" t="s">
        <v>250</v>
      </c>
      <c r="M368" s="7" t="s">
        <v>792</v>
      </c>
      <c r="N368" s="6"/>
      <c r="O368" s="7"/>
      <c r="P368" s="6" t="s">
        <v>250</v>
      </c>
      <c r="Q368" s="7" t="s">
        <v>792</v>
      </c>
      <c r="R368" s="6"/>
      <c r="S368" s="7"/>
      <c r="T368" s="6" t="s">
        <v>250</v>
      </c>
      <c r="U368" s="7" t="s">
        <v>792</v>
      </c>
      <c r="V368" s="8" t="n">
        <f>31.9</f>
        <v>31.9</v>
      </c>
      <c r="W368" s="9" t="n">
        <f>9</f>
        <v>9.0</v>
      </c>
      <c r="X368" s="9"/>
      <c r="Y368" s="9" t="n">
        <f>28710</f>
        <v>28710.0</v>
      </c>
      <c r="Z368" s="9"/>
      <c r="AA368" s="9" t="n">
        <f>9</f>
        <v>9.0</v>
      </c>
      <c r="AB368" s="6" t="s">
        <v>58</v>
      </c>
      <c r="AC368" s="10" t="str">
        <f>"－"</f>
        <v>－</v>
      </c>
      <c r="AD368" s="9" t="n">
        <f>1</f>
        <v>1.0</v>
      </c>
    </row>
    <row r="369">
      <c r="A369" s="3" t="s">
        <v>50</v>
      </c>
      <c r="B369" s="3" t="s">
        <v>1100</v>
      </c>
      <c r="C369" s="43" t="s">
        <v>1101</v>
      </c>
      <c r="D369" s="43" t="s">
        <v>1102</v>
      </c>
      <c r="E369" s="3" t="s">
        <v>54</v>
      </c>
      <c r="F369" s="3"/>
      <c r="G369" s="3" t="s">
        <v>116</v>
      </c>
      <c r="H369" s="4" t="s">
        <v>117</v>
      </c>
      <c r="I369" s="5" t="n">
        <v>3600.0</v>
      </c>
      <c r="J369" s="6" t="s">
        <v>517</v>
      </c>
      <c r="K369" s="7" t="s">
        <v>1103</v>
      </c>
      <c r="L369" s="6" t="s">
        <v>517</v>
      </c>
      <c r="M369" s="7" t="s">
        <v>1103</v>
      </c>
      <c r="N369" s="6"/>
      <c r="O369" s="7"/>
      <c r="P369" s="6" t="s">
        <v>517</v>
      </c>
      <c r="Q369" s="7" t="s">
        <v>1103</v>
      </c>
      <c r="R369" s="6"/>
      <c r="S369" s="7"/>
      <c r="T369" s="6" t="s">
        <v>517</v>
      </c>
      <c r="U369" s="7" t="s">
        <v>1103</v>
      </c>
      <c r="V369" s="8" t="n">
        <f>47.4</f>
        <v>47.4</v>
      </c>
      <c r="W369" s="9" t="n">
        <f>10</f>
        <v>10.0</v>
      </c>
      <c r="X369" s="9"/>
      <c r="Y369" s="9" t="n">
        <f>47400</f>
        <v>47400.0</v>
      </c>
      <c r="Z369" s="9"/>
      <c r="AA369" s="9" t="str">
        <f>"－"</f>
        <v>－</v>
      </c>
      <c r="AB369" s="6" t="s">
        <v>58</v>
      </c>
      <c r="AC369" s="10" t="n">
        <f>10</f>
        <v>10.0</v>
      </c>
      <c r="AD369" s="9" t="n">
        <f>1</f>
        <v>1.0</v>
      </c>
    </row>
    <row r="370">
      <c r="A370" s="3" t="s">
        <v>50</v>
      </c>
      <c r="B370" s="3" t="s">
        <v>1100</v>
      </c>
      <c r="C370" s="43" t="s">
        <v>1101</v>
      </c>
      <c r="D370" s="43" t="s">
        <v>1102</v>
      </c>
      <c r="E370" s="3" t="s">
        <v>104</v>
      </c>
      <c r="F370" s="3"/>
      <c r="G370" s="3" t="s">
        <v>116</v>
      </c>
      <c r="H370" s="4" t="s">
        <v>975</v>
      </c>
      <c r="I370" s="5" t="n">
        <v>3800.0</v>
      </c>
      <c r="J370" s="6" t="s">
        <v>120</v>
      </c>
      <c r="K370" s="7" t="s">
        <v>1104</v>
      </c>
      <c r="L370" s="6" t="s">
        <v>120</v>
      </c>
      <c r="M370" s="7" t="s">
        <v>1104</v>
      </c>
      <c r="N370" s="6"/>
      <c r="O370" s="7"/>
      <c r="P370" s="6" t="s">
        <v>120</v>
      </c>
      <c r="Q370" s="7" t="s">
        <v>1104</v>
      </c>
      <c r="R370" s="6"/>
      <c r="S370" s="7"/>
      <c r="T370" s="6" t="s">
        <v>120</v>
      </c>
      <c r="U370" s="7" t="s">
        <v>1104</v>
      </c>
      <c r="V370" s="8" t="n">
        <f>80.5</f>
        <v>80.5</v>
      </c>
      <c r="W370" s="9" t="n">
        <f>6</f>
        <v>6.0</v>
      </c>
      <c r="X370" s="9"/>
      <c r="Y370" s="9" t="n">
        <f>48300</f>
        <v>48300.0</v>
      </c>
      <c r="Z370" s="9"/>
      <c r="AA370" s="9" t="n">
        <f>6</f>
        <v>6.0</v>
      </c>
      <c r="AB370" s="6" t="s">
        <v>58</v>
      </c>
      <c r="AC370" s="10" t="str">
        <f>"－"</f>
        <v>－</v>
      </c>
      <c r="AD370" s="9" t="n">
        <f>1</f>
        <v>1.0</v>
      </c>
    </row>
    <row r="371">
      <c r="A371" s="3" t="s">
        <v>50</v>
      </c>
      <c r="B371" s="3" t="s">
        <v>1105</v>
      </c>
      <c r="C371" s="43" t="s">
        <v>1106</v>
      </c>
      <c r="D371" s="43" t="s">
        <v>1107</v>
      </c>
      <c r="E371" s="3" t="s">
        <v>54</v>
      </c>
      <c r="F371" s="3"/>
      <c r="G371" s="3" t="s">
        <v>67</v>
      </c>
      <c r="H371" s="4" t="s">
        <v>72</v>
      </c>
      <c r="I371" s="5" t="n">
        <v>1100.0</v>
      </c>
      <c r="J371" s="6" t="s">
        <v>210</v>
      </c>
      <c r="K371" s="7" t="s">
        <v>1108</v>
      </c>
      <c r="L371" s="6" t="s">
        <v>210</v>
      </c>
      <c r="M371" s="7" t="s">
        <v>1108</v>
      </c>
      <c r="N371" s="6"/>
      <c r="O371" s="7"/>
      <c r="P371" s="6" t="s">
        <v>210</v>
      </c>
      <c r="Q371" s="7" t="s">
        <v>1108</v>
      </c>
      <c r="R371" s="6"/>
      <c r="S371" s="7"/>
      <c r="T371" s="6" t="s">
        <v>210</v>
      </c>
      <c r="U371" s="7" t="s">
        <v>1108</v>
      </c>
      <c r="V371" s="8" t="n">
        <f>4</f>
        <v>4.0</v>
      </c>
      <c r="W371" s="9" t="n">
        <f>10</f>
        <v>10.0</v>
      </c>
      <c r="X371" s="9"/>
      <c r="Y371" s="9" t="n">
        <f>4000</f>
        <v>4000.0</v>
      </c>
      <c r="Z371" s="9"/>
      <c r="AA371" s="9" t="str">
        <f>"－"</f>
        <v>－</v>
      </c>
      <c r="AB371" s="6" t="s">
        <v>58</v>
      </c>
      <c r="AC371" s="10" t="n">
        <f>10</f>
        <v>10.0</v>
      </c>
      <c r="AD371" s="9" t="n">
        <f>1</f>
        <v>1.0</v>
      </c>
    </row>
    <row r="372">
      <c r="A372" s="3" t="s">
        <v>50</v>
      </c>
      <c r="B372" s="3" t="s">
        <v>1105</v>
      </c>
      <c r="C372" s="43" t="s">
        <v>1106</v>
      </c>
      <c r="D372" s="43" t="s">
        <v>1107</v>
      </c>
      <c r="E372" s="3" t="s">
        <v>54</v>
      </c>
      <c r="F372" s="3"/>
      <c r="G372" s="3" t="s">
        <v>67</v>
      </c>
      <c r="H372" s="4" t="s">
        <v>72</v>
      </c>
      <c r="I372" s="5" t="n">
        <v>1200.0</v>
      </c>
      <c r="J372" s="6" t="s">
        <v>172</v>
      </c>
      <c r="K372" s="7" t="s">
        <v>1109</v>
      </c>
      <c r="L372" s="6" t="s">
        <v>172</v>
      </c>
      <c r="M372" s="7" t="s">
        <v>1109</v>
      </c>
      <c r="N372" s="6"/>
      <c r="O372" s="7"/>
      <c r="P372" s="6" t="s">
        <v>172</v>
      </c>
      <c r="Q372" s="7" t="s">
        <v>1109</v>
      </c>
      <c r="R372" s="6"/>
      <c r="S372" s="7"/>
      <c r="T372" s="6" t="s">
        <v>172</v>
      </c>
      <c r="U372" s="7" t="s">
        <v>1109</v>
      </c>
      <c r="V372" s="8" t="n">
        <f>11</f>
        <v>11.0</v>
      </c>
      <c r="W372" s="9" t="n">
        <f>20</f>
        <v>20.0</v>
      </c>
      <c r="X372" s="9"/>
      <c r="Y372" s="9" t="n">
        <f>22000</f>
        <v>22000.0</v>
      </c>
      <c r="Z372" s="9"/>
      <c r="AA372" s="9" t="str">
        <f>"－"</f>
        <v>－</v>
      </c>
      <c r="AB372" s="6" t="s">
        <v>58</v>
      </c>
      <c r="AC372" s="10" t="n">
        <f>20</f>
        <v>20.0</v>
      </c>
      <c r="AD372" s="9" t="n">
        <f>1</f>
        <v>1.0</v>
      </c>
    </row>
    <row r="373">
      <c r="A373" s="3" t="s">
        <v>50</v>
      </c>
      <c r="B373" s="3" t="s">
        <v>1105</v>
      </c>
      <c r="C373" s="43" t="s">
        <v>1106</v>
      </c>
      <c r="D373" s="43" t="s">
        <v>1107</v>
      </c>
      <c r="E373" s="3" t="s">
        <v>54</v>
      </c>
      <c r="F373" s="3"/>
      <c r="G373" s="3" t="s">
        <v>112</v>
      </c>
      <c r="H373" s="4" t="s">
        <v>113</v>
      </c>
      <c r="I373" s="5" t="n">
        <v>1300.0</v>
      </c>
      <c r="J373" s="6" t="s">
        <v>517</v>
      </c>
      <c r="K373" s="7" t="s">
        <v>421</v>
      </c>
      <c r="L373" s="6" t="s">
        <v>517</v>
      </c>
      <c r="M373" s="7" t="s">
        <v>421</v>
      </c>
      <c r="N373" s="6"/>
      <c r="O373" s="7"/>
      <c r="P373" s="6" t="s">
        <v>517</v>
      </c>
      <c r="Q373" s="7" t="s">
        <v>421</v>
      </c>
      <c r="R373" s="6"/>
      <c r="S373" s="7"/>
      <c r="T373" s="6" t="s">
        <v>517</v>
      </c>
      <c r="U373" s="7" t="s">
        <v>421</v>
      </c>
      <c r="V373" s="8" t="n">
        <f>30</f>
        <v>30.0</v>
      </c>
      <c r="W373" s="9" t="n">
        <f>22</f>
        <v>22.0</v>
      </c>
      <c r="X373" s="9"/>
      <c r="Y373" s="9" t="n">
        <f>66000</f>
        <v>66000.0</v>
      </c>
      <c r="Z373" s="9"/>
      <c r="AA373" s="9" t="str">
        <f>"－"</f>
        <v>－</v>
      </c>
      <c r="AB373" s="6" t="s">
        <v>58</v>
      </c>
      <c r="AC373" s="10" t="n">
        <f>22</f>
        <v>22.0</v>
      </c>
      <c r="AD373" s="9" t="n">
        <f>1</f>
        <v>1.0</v>
      </c>
    </row>
    <row r="374">
      <c r="A374" s="3" t="s">
        <v>50</v>
      </c>
      <c r="B374" s="3" t="s">
        <v>1105</v>
      </c>
      <c r="C374" s="43" t="s">
        <v>1106</v>
      </c>
      <c r="D374" s="43" t="s">
        <v>1107</v>
      </c>
      <c r="E374" s="3" t="s">
        <v>54</v>
      </c>
      <c r="F374" s="3"/>
      <c r="G374" s="3" t="s">
        <v>116</v>
      </c>
      <c r="H374" s="4" t="s">
        <v>1110</v>
      </c>
      <c r="I374" s="5" t="n">
        <v>1300.0</v>
      </c>
      <c r="J374" s="6" t="s">
        <v>278</v>
      </c>
      <c r="K374" s="7" t="s">
        <v>1111</v>
      </c>
      <c r="L374" s="6" t="s">
        <v>278</v>
      </c>
      <c r="M374" s="7" t="s">
        <v>1111</v>
      </c>
      <c r="N374" s="6"/>
      <c r="O374" s="7"/>
      <c r="P374" s="6" t="s">
        <v>278</v>
      </c>
      <c r="Q374" s="7" t="s">
        <v>1111</v>
      </c>
      <c r="R374" s="6"/>
      <c r="S374" s="7"/>
      <c r="T374" s="6" t="s">
        <v>278</v>
      </c>
      <c r="U374" s="7" t="s">
        <v>1111</v>
      </c>
      <c r="V374" s="8" t="n">
        <f>15.7</f>
        <v>15.7</v>
      </c>
      <c r="W374" s="9" t="n">
        <f>18</f>
        <v>18.0</v>
      </c>
      <c r="X374" s="9"/>
      <c r="Y374" s="9" t="n">
        <f>28260</f>
        <v>28260.0</v>
      </c>
      <c r="Z374" s="9"/>
      <c r="AA374" s="9" t="str">
        <f>"－"</f>
        <v>－</v>
      </c>
      <c r="AB374" s="6" t="s">
        <v>58</v>
      </c>
      <c r="AC374" s="10" t="n">
        <f>18</f>
        <v>18.0</v>
      </c>
      <c r="AD374" s="9" t="n">
        <f>1</f>
        <v>1.0</v>
      </c>
    </row>
    <row r="375">
      <c r="A375" s="3" t="s">
        <v>50</v>
      </c>
      <c r="B375" s="3" t="s">
        <v>1105</v>
      </c>
      <c r="C375" s="43" t="s">
        <v>1106</v>
      </c>
      <c r="D375" s="43" t="s">
        <v>1107</v>
      </c>
      <c r="E375" s="3" t="s">
        <v>104</v>
      </c>
      <c r="F375" s="3"/>
      <c r="G375" s="3" t="s">
        <v>84</v>
      </c>
      <c r="H375" s="4" t="s">
        <v>85</v>
      </c>
      <c r="I375" s="5" t="n">
        <v>1300.0</v>
      </c>
      <c r="J375" s="6" t="s">
        <v>365</v>
      </c>
      <c r="K375" s="7" t="s">
        <v>1112</v>
      </c>
      <c r="L375" s="6" t="s">
        <v>365</v>
      </c>
      <c r="M375" s="7" t="s">
        <v>1112</v>
      </c>
      <c r="N375" s="6"/>
      <c r="O375" s="7"/>
      <c r="P375" s="6" t="s">
        <v>365</v>
      </c>
      <c r="Q375" s="7" t="s">
        <v>1112</v>
      </c>
      <c r="R375" s="6"/>
      <c r="S375" s="7"/>
      <c r="T375" s="6" t="s">
        <v>365</v>
      </c>
      <c r="U375" s="7" t="s">
        <v>1112</v>
      </c>
      <c r="V375" s="8" t="n">
        <f>19.9</f>
        <v>19.9</v>
      </c>
      <c r="W375" s="9" t="n">
        <f>10</f>
        <v>10.0</v>
      </c>
      <c r="X375" s="9"/>
      <c r="Y375" s="9" t="n">
        <f>19900</f>
        <v>19900.0</v>
      </c>
      <c r="Z375" s="9"/>
      <c r="AA375" s="9" t="n">
        <f>10</f>
        <v>10.0</v>
      </c>
      <c r="AB375" s="6" t="s">
        <v>58</v>
      </c>
      <c r="AC375" s="10" t="str">
        <f>"－"</f>
        <v>－</v>
      </c>
      <c r="AD375" s="9" t="n">
        <f>1</f>
        <v>1.0</v>
      </c>
    </row>
    <row r="376">
      <c r="A376" s="3" t="s">
        <v>50</v>
      </c>
      <c r="B376" s="3" t="s">
        <v>1113</v>
      </c>
      <c r="C376" s="43" t="s">
        <v>1114</v>
      </c>
      <c r="D376" s="43" t="s">
        <v>1115</v>
      </c>
      <c r="E376" s="3" t="s">
        <v>54</v>
      </c>
      <c r="F376" s="3"/>
      <c r="G376" s="3" t="s">
        <v>294</v>
      </c>
      <c r="H376" s="4" t="s">
        <v>295</v>
      </c>
      <c r="I376" s="5" t="n">
        <v>3200.0</v>
      </c>
      <c r="J376" s="6" t="s">
        <v>82</v>
      </c>
      <c r="K376" s="7" t="s">
        <v>99</v>
      </c>
      <c r="L376" s="6" t="s">
        <v>544</v>
      </c>
      <c r="M376" s="7" t="s">
        <v>703</v>
      </c>
      <c r="N376" s="6"/>
      <c r="O376" s="7"/>
      <c r="P376" s="6" t="s">
        <v>82</v>
      </c>
      <c r="Q376" s="7" t="s">
        <v>99</v>
      </c>
      <c r="R376" s="6"/>
      <c r="S376" s="7"/>
      <c r="T376" s="6" t="s">
        <v>544</v>
      </c>
      <c r="U376" s="7" t="s">
        <v>703</v>
      </c>
      <c r="V376" s="8" t="n">
        <f>132.5</f>
        <v>132.5</v>
      </c>
      <c r="W376" s="9" t="n">
        <f>10</f>
        <v>10.0</v>
      </c>
      <c r="X376" s="9"/>
      <c r="Y376" s="9" t="n">
        <f>132500</f>
        <v>132500.0</v>
      </c>
      <c r="Z376" s="9"/>
      <c r="AA376" s="9" t="n">
        <f>5</f>
        <v>5.0</v>
      </c>
      <c r="AB376" s="6" t="s">
        <v>58</v>
      </c>
      <c r="AC376" s="10" t="str">
        <f>"－"</f>
        <v>－</v>
      </c>
      <c r="AD376" s="9" t="n">
        <f>2</f>
        <v>2.0</v>
      </c>
    </row>
    <row r="377">
      <c r="A377" s="3" t="s">
        <v>50</v>
      </c>
      <c r="B377" s="3" t="s">
        <v>1113</v>
      </c>
      <c r="C377" s="43" t="s">
        <v>1114</v>
      </c>
      <c r="D377" s="43" t="s">
        <v>1115</v>
      </c>
      <c r="E377" s="3" t="s">
        <v>54</v>
      </c>
      <c r="F377" s="3"/>
      <c r="G377" s="3" t="s">
        <v>294</v>
      </c>
      <c r="H377" s="4" t="s">
        <v>295</v>
      </c>
      <c r="I377" s="5" t="n">
        <v>3400.0</v>
      </c>
      <c r="J377" s="6" t="s">
        <v>563</v>
      </c>
      <c r="K377" s="7" t="s">
        <v>1116</v>
      </c>
      <c r="L377" s="6" t="s">
        <v>82</v>
      </c>
      <c r="M377" s="7" t="s">
        <v>561</v>
      </c>
      <c r="N377" s="6"/>
      <c r="O377" s="7"/>
      <c r="P377" s="6" t="s">
        <v>563</v>
      </c>
      <c r="Q377" s="7" t="s">
        <v>1116</v>
      </c>
      <c r="R377" s="6"/>
      <c r="S377" s="7"/>
      <c r="T377" s="6" t="s">
        <v>82</v>
      </c>
      <c r="U377" s="7" t="s">
        <v>561</v>
      </c>
      <c r="V377" s="8" t="n">
        <f>123</f>
        <v>123.0</v>
      </c>
      <c r="W377" s="9" t="n">
        <f>6</f>
        <v>6.0</v>
      </c>
      <c r="X377" s="9"/>
      <c r="Y377" s="9" t="n">
        <f>73800</f>
        <v>73800.0</v>
      </c>
      <c r="Z377" s="9"/>
      <c r="AA377" s="9" t="n">
        <f>3</f>
        <v>3.0</v>
      </c>
      <c r="AB377" s="6" t="s">
        <v>58</v>
      </c>
      <c r="AC377" s="10" t="str">
        <f>"－"</f>
        <v>－</v>
      </c>
      <c r="AD377" s="9" t="n">
        <f>2</f>
        <v>2.0</v>
      </c>
    </row>
    <row r="378">
      <c r="A378" s="3" t="s">
        <v>50</v>
      </c>
      <c r="B378" s="3" t="s">
        <v>1113</v>
      </c>
      <c r="C378" s="43" t="s">
        <v>1114</v>
      </c>
      <c r="D378" s="43" t="s">
        <v>1115</v>
      </c>
      <c r="E378" s="3" t="s">
        <v>54</v>
      </c>
      <c r="F378" s="3"/>
      <c r="G378" s="3" t="s">
        <v>80</v>
      </c>
      <c r="H378" s="4" t="s">
        <v>320</v>
      </c>
      <c r="I378" s="5" t="n">
        <v>2800.0</v>
      </c>
      <c r="J378" s="6" t="s">
        <v>316</v>
      </c>
      <c r="K378" s="7" t="s">
        <v>1117</v>
      </c>
      <c r="L378" s="6" t="s">
        <v>316</v>
      </c>
      <c r="M378" s="7" t="s">
        <v>1117</v>
      </c>
      <c r="N378" s="6"/>
      <c r="O378" s="7"/>
      <c r="P378" s="6" t="s">
        <v>316</v>
      </c>
      <c r="Q378" s="7" t="s">
        <v>1117</v>
      </c>
      <c r="R378" s="6"/>
      <c r="S378" s="7"/>
      <c r="T378" s="6" t="s">
        <v>316</v>
      </c>
      <c r="U378" s="7" t="s">
        <v>1117</v>
      </c>
      <c r="V378" s="8" t="n">
        <f>138.5</f>
        <v>138.5</v>
      </c>
      <c r="W378" s="9" t="n">
        <f>2</f>
        <v>2.0</v>
      </c>
      <c r="X378" s="9"/>
      <c r="Y378" s="9" t="n">
        <f>27700</f>
        <v>27700.0</v>
      </c>
      <c r="Z378" s="9"/>
      <c r="AA378" s="9" t="str">
        <f>"－"</f>
        <v>－</v>
      </c>
      <c r="AB378" s="6" t="s">
        <v>58</v>
      </c>
      <c r="AC378" s="10" t="n">
        <f>2</f>
        <v>2.0</v>
      </c>
      <c r="AD378" s="9" t="n">
        <f>1</f>
        <v>1.0</v>
      </c>
    </row>
    <row r="379">
      <c r="A379" s="3" t="s">
        <v>50</v>
      </c>
      <c r="B379" s="3" t="s">
        <v>1113</v>
      </c>
      <c r="C379" s="43" t="s">
        <v>1114</v>
      </c>
      <c r="D379" s="43" t="s">
        <v>1115</v>
      </c>
      <c r="E379" s="3" t="s">
        <v>104</v>
      </c>
      <c r="F379" s="3"/>
      <c r="G379" s="3" t="s">
        <v>80</v>
      </c>
      <c r="H379" s="4" t="s">
        <v>340</v>
      </c>
      <c r="I379" s="5" t="n">
        <v>3000.0</v>
      </c>
      <c r="J379" s="6" t="s">
        <v>365</v>
      </c>
      <c r="K379" s="7" t="s">
        <v>159</v>
      </c>
      <c r="L379" s="6" t="s">
        <v>365</v>
      </c>
      <c r="M379" s="7" t="s">
        <v>159</v>
      </c>
      <c r="N379" s="6"/>
      <c r="O379" s="7"/>
      <c r="P379" s="6" t="s">
        <v>365</v>
      </c>
      <c r="Q379" s="7" t="s">
        <v>159</v>
      </c>
      <c r="R379" s="6"/>
      <c r="S379" s="7"/>
      <c r="T379" s="6" t="s">
        <v>365</v>
      </c>
      <c r="U379" s="7" t="s">
        <v>159</v>
      </c>
      <c r="V379" s="8" t="n">
        <f>29</f>
        <v>29.0</v>
      </c>
      <c r="W379" s="9" t="n">
        <f>7</f>
        <v>7.0</v>
      </c>
      <c r="X379" s="9"/>
      <c r="Y379" s="9" t="n">
        <f>20300</f>
        <v>20300.0</v>
      </c>
      <c r="Z379" s="9"/>
      <c r="AA379" s="9" t="str">
        <f>"－"</f>
        <v>－</v>
      </c>
      <c r="AB379" s="6" t="s">
        <v>58</v>
      </c>
      <c r="AC379" s="10" t="n">
        <f>7</f>
        <v>7.0</v>
      </c>
      <c r="AD379" s="9" t="n">
        <f>1</f>
        <v>1.0</v>
      </c>
    </row>
    <row r="380">
      <c r="A380" s="3" t="s">
        <v>50</v>
      </c>
      <c r="B380" s="3" t="s">
        <v>1113</v>
      </c>
      <c r="C380" s="43" t="s">
        <v>1114</v>
      </c>
      <c r="D380" s="43" t="s">
        <v>1115</v>
      </c>
      <c r="E380" s="3" t="s">
        <v>104</v>
      </c>
      <c r="F380" s="3"/>
      <c r="G380" s="3" t="s">
        <v>84</v>
      </c>
      <c r="H380" s="4" t="s">
        <v>85</v>
      </c>
      <c r="I380" s="5" t="n">
        <v>3200.0</v>
      </c>
      <c r="J380" s="6" t="s">
        <v>367</v>
      </c>
      <c r="K380" s="7" t="s">
        <v>1118</v>
      </c>
      <c r="L380" s="6" t="s">
        <v>367</v>
      </c>
      <c r="M380" s="7" t="s">
        <v>1118</v>
      </c>
      <c r="N380" s="6"/>
      <c r="O380" s="7"/>
      <c r="P380" s="6" t="s">
        <v>367</v>
      </c>
      <c r="Q380" s="7" t="s">
        <v>1118</v>
      </c>
      <c r="R380" s="6"/>
      <c r="S380" s="7"/>
      <c r="T380" s="6" t="s">
        <v>367</v>
      </c>
      <c r="U380" s="7" t="s">
        <v>1118</v>
      </c>
      <c r="V380" s="8" t="n">
        <f>88</f>
        <v>88.0</v>
      </c>
      <c r="W380" s="9" t="n">
        <f>8</f>
        <v>8.0</v>
      </c>
      <c r="X380" s="9"/>
      <c r="Y380" s="9" t="n">
        <f>70400</f>
        <v>70400.0</v>
      </c>
      <c r="Z380" s="9"/>
      <c r="AA380" s="9" t="n">
        <f>8</f>
        <v>8.0</v>
      </c>
      <c r="AB380" s="6" t="s">
        <v>58</v>
      </c>
      <c r="AC380" s="10" t="str">
        <f>"－"</f>
        <v>－</v>
      </c>
      <c r="AD380" s="9" t="n">
        <f>1</f>
        <v>1.0</v>
      </c>
    </row>
    <row r="381">
      <c r="A381" s="3" t="s">
        <v>50</v>
      </c>
      <c r="B381" s="3" t="s">
        <v>1119</v>
      </c>
      <c r="C381" s="43" t="s">
        <v>1120</v>
      </c>
      <c r="D381" s="43" t="s">
        <v>1121</v>
      </c>
      <c r="E381" s="3" t="s">
        <v>104</v>
      </c>
      <c r="F381" s="3"/>
      <c r="G381" s="3" t="s">
        <v>59</v>
      </c>
      <c r="H381" s="4" t="s">
        <v>691</v>
      </c>
      <c r="I381" s="5" t="n">
        <v>72500.0</v>
      </c>
      <c r="J381" s="6"/>
      <c r="K381" s="7" t="s">
        <v>57</v>
      </c>
      <c r="L381" s="6"/>
      <c r="M381" s="7" t="s">
        <v>57</v>
      </c>
      <c r="N381" s="6" t="s">
        <v>162</v>
      </c>
      <c r="O381" s="7" t="s">
        <v>1122</v>
      </c>
      <c r="P381" s="6"/>
      <c r="Q381" s="7" t="s">
        <v>57</v>
      </c>
      <c r="R381" s="6" t="s">
        <v>162</v>
      </c>
      <c r="S381" s="7" t="s">
        <v>1123</v>
      </c>
      <c r="T381" s="6"/>
      <c r="U381" s="7" t="s">
        <v>57</v>
      </c>
      <c r="V381" s="8" t="str">
        <f>"－"</f>
        <v>－</v>
      </c>
      <c r="W381" s="9" t="n">
        <f>210</f>
        <v>210.0</v>
      </c>
      <c r="X381" s="9" t="n">
        <v>210.0</v>
      </c>
      <c r="Y381" s="9" t="n">
        <f>16805830</f>
        <v>1.680583E7</v>
      </c>
      <c r="Z381" s="9" t="n">
        <v>1.680583E7</v>
      </c>
      <c r="AA381" s="9" t="str">
        <f>"－"</f>
        <v>－</v>
      </c>
      <c r="AB381" s="6" t="s">
        <v>58</v>
      </c>
      <c r="AC381" s="10" t="n">
        <f>210</f>
        <v>210.0</v>
      </c>
      <c r="AD381" s="9" t="str">
        <f>"－"</f>
        <v>－</v>
      </c>
    </row>
    <row r="382">
      <c r="A382" s="3" t="s">
        <v>50</v>
      </c>
      <c r="B382" s="3" t="s">
        <v>1119</v>
      </c>
      <c r="C382" s="43" t="s">
        <v>1120</v>
      </c>
      <c r="D382" s="43" t="s">
        <v>1121</v>
      </c>
      <c r="E382" s="3" t="s">
        <v>104</v>
      </c>
      <c r="F382" s="3"/>
      <c r="G382" s="3" t="s">
        <v>67</v>
      </c>
      <c r="H382" s="4" t="s">
        <v>72</v>
      </c>
      <c r="I382" s="5" t="n">
        <v>57500.0</v>
      </c>
      <c r="J382" s="6" t="s">
        <v>234</v>
      </c>
      <c r="K382" s="7" t="s">
        <v>696</v>
      </c>
      <c r="L382" s="6" t="s">
        <v>234</v>
      </c>
      <c r="M382" s="7" t="s">
        <v>1124</v>
      </c>
      <c r="N382" s="6"/>
      <c r="O382" s="7"/>
      <c r="P382" s="6" t="s">
        <v>234</v>
      </c>
      <c r="Q382" s="7" t="s">
        <v>696</v>
      </c>
      <c r="R382" s="6"/>
      <c r="S382" s="7"/>
      <c r="T382" s="6" t="s">
        <v>234</v>
      </c>
      <c r="U382" s="7" t="s">
        <v>1124</v>
      </c>
      <c r="V382" s="8" t="n">
        <f>2710</f>
        <v>2710.0</v>
      </c>
      <c r="W382" s="9" t="n">
        <f>2</f>
        <v>2.0</v>
      </c>
      <c r="X382" s="9"/>
      <c r="Y382" s="9" t="n">
        <f>271100</f>
        <v>271100.0</v>
      </c>
      <c r="Z382" s="9"/>
      <c r="AA382" s="9" t="str">
        <f>"－"</f>
        <v>－</v>
      </c>
      <c r="AB382" s="6" t="s">
        <v>58</v>
      </c>
      <c r="AC382" s="10" t="n">
        <f>1</f>
        <v>1.0</v>
      </c>
      <c r="AD382" s="9" t="n">
        <f>1</f>
        <v>1.0</v>
      </c>
    </row>
    <row r="383">
      <c r="A383" s="3" t="s">
        <v>50</v>
      </c>
      <c r="B383" s="3" t="s">
        <v>1125</v>
      </c>
      <c r="C383" s="43" t="s">
        <v>1126</v>
      </c>
      <c r="D383" s="43" t="s">
        <v>1127</v>
      </c>
      <c r="E383" s="3" t="s">
        <v>54</v>
      </c>
      <c r="F383" s="3"/>
      <c r="G383" s="3" t="s">
        <v>116</v>
      </c>
      <c r="H383" s="4" t="s">
        <v>694</v>
      </c>
      <c r="I383" s="5" t="n">
        <v>1900.0</v>
      </c>
      <c r="J383" s="6" t="s">
        <v>278</v>
      </c>
      <c r="K383" s="7" t="s">
        <v>1128</v>
      </c>
      <c r="L383" s="6" t="s">
        <v>278</v>
      </c>
      <c r="M383" s="7" t="s">
        <v>1128</v>
      </c>
      <c r="N383" s="6"/>
      <c r="O383" s="7"/>
      <c r="P383" s="6" t="s">
        <v>278</v>
      </c>
      <c r="Q383" s="7" t="s">
        <v>1128</v>
      </c>
      <c r="R383" s="6"/>
      <c r="S383" s="7"/>
      <c r="T383" s="6" t="s">
        <v>278</v>
      </c>
      <c r="U383" s="7" t="s">
        <v>1128</v>
      </c>
      <c r="V383" s="8" t="n">
        <f>10.5</f>
        <v>10.5</v>
      </c>
      <c r="W383" s="9" t="n">
        <f>21</f>
        <v>21.0</v>
      </c>
      <c r="X383" s="9"/>
      <c r="Y383" s="9" t="n">
        <f>22050</f>
        <v>22050.0</v>
      </c>
      <c r="Z383" s="9"/>
      <c r="AA383" s="9" t="str">
        <f>"－"</f>
        <v>－</v>
      </c>
      <c r="AB383" s="6" t="s">
        <v>58</v>
      </c>
      <c r="AC383" s="10" t="n">
        <f>21</f>
        <v>21.0</v>
      </c>
      <c r="AD383" s="9" t="n">
        <f>1</f>
        <v>1.0</v>
      </c>
    </row>
    <row r="384">
      <c r="A384" s="3" t="s">
        <v>50</v>
      </c>
      <c r="B384" s="3" t="s">
        <v>1125</v>
      </c>
      <c r="C384" s="43" t="s">
        <v>1126</v>
      </c>
      <c r="D384" s="43" t="s">
        <v>1127</v>
      </c>
      <c r="E384" s="3" t="s">
        <v>54</v>
      </c>
      <c r="F384" s="3"/>
      <c r="G384" s="3" t="s">
        <v>294</v>
      </c>
      <c r="H384" s="4" t="s">
        <v>295</v>
      </c>
      <c r="I384" s="5" t="n">
        <v>1900.0</v>
      </c>
      <c r="J384" s="6" t="s">
        <v>563</v>
      </c>
      <c r="K384" s="7" t="s">
        <v>1129</v>
      </c>
      <c r="L384" s="6" t="s">
        <v>299</v>
      </c>
      <c r="M384" s="7" t="s">
        <v>125</v>
      </c>
      <c r="N384" s="6"/>
      <c r="O384" s="7"/>
      <c r="P384" s="6" t="s">
        <v>563</v>
      </c>
      <c r="Q384" s="7" t="s">
        <v>1129</v>
      </c>
      <c r="R384" s="6"/>
      <c r="S384" s="7"/>
      <c r="T384" s="6" t="s">
        <v>299</v>
      </c>
      <c r="U384" s="7" t="s">
        <v>125</v>
      </c>
      <c r="V384" s="8" t="n">
        <f>42</f>
        <v>42.0</v>
      </c>
      <c r="W384" s="9" t="n">
        <f>32</f>
        <v>32.0</v>
      </c>
      <c r="X384" s="9"/>
      <c r="Y384" s="9" t="n">
        <f>106800</f>
        <v>106800.0</v>
      </c>
      <c r="Z384" s="9"/>
      <c r="AA384" s="9" t="n">
        <f>22</f>
        <v>22.0</v>
      </c>
      <c r="AB384" s="6" t="s">
        <v>58</v>
      </c>
      <c r="AC384" s="10" t="str">
        <f>"－"</f>
        <v>－</v>
      </c>
      <c r="AD384" s="9" t="n">
        <f>2</f>
        <v>2.0</v>
      </c>
    </row>
    <row r="385">
      <c r="A385" s="3" t="s">
        <v>50</v>
      </c>
      <c r="B385" s="3" t="s">
        <v>1125</v>
      </c>
      <c r="C385" s="43" t="s">
        <v>1126</v>
      </c>
      <c r="D385" s="43" t="s">
        <v>1127</v>
      </c>
      <c r="E385" s="3" t="s">
        <v>104</v>
      </c>
      <c r="F385" s="3"/>
      <c r="G385" s="3" t="s">
        <v>80</v>
      </c>
      <c r="H385" s="4" t="s">
        <v>81</v>
      </c>
      <c r="I385" s="5" t="n">
        <v>1900.0</v>
      </c>
      <c r="J385" s="6" t="s">
        <v>365</v>
      </c>
      <c r="K385" s="7" t="s">
        <v>108</v>
      </c>
      <c r="L385" s="6" t="s">
        <v>365</v>
      </c>
      <c r="M385" s="7" t="s">
        <v>108</v>
      </c>
      <c r="N385" s="6"/>
      <c r="O385" s="7"/>
      <c r="P385" s="6" t="s">
        <v>365</v>
      </c>
      <c r="Q385" s="7" t="s">
        <v>108</v>
      </c>
      <c r="R385" s="6"/>
      <c r="S385" s="7"/>
      <c r="T385" s="6" t="s">
        <v>365</v>
      </c>
      <c r="U385" s="7" t="s">
        <v>108</v>
      </c>
      <c r="V385" s="8" t="n">
        <f>16.6</f>
        <v>16.6</v>
      </c>
      <c r="W385" s="9" t="n">
        <f>11</f>
        <v>11.0</v>
      </c>
      <c r="X385" s="9"/>
      <c r="Y385" s="9" t="n">
        <f>18260</f>
        <v>18260.0</v>
      </c>
      <c r="Z385" s="9"/>
      <c r="AA385" s="9" t="str">
        <f>"－"</f>
        <v>－</v>
      </c>
      <c r="AB385" s="6" t="s">
        <v>58</v>
      </c>
      <c r="AC385" s="10" t="n">
        <f>11</f>
        <v>11.0</v>
      </c>
      <c r="AD385" s="9" t="n">
        <f>1</f>
        <v>1.0</v>
      </c>
    </row>
    <row r="386">
      <c r="A386" s="3" t="s">
        <v>50</v>
      </c>
      <c r="B386" s="3" t="s">
        <v>1125</v>
      </c>
      <c r="C386" s="43" t="s">
        <v>1126</v>
      </c>
      <c r="D386" s="43" t="s">
        <v>1127</v>
      </c>
      <c r="E386" s="3" t="s">
        <v>104</v>
      </c>
      <c r="F386" s="3"/>
      <c r="G386" s="3" t="s">
        <v>84</v>
      </c>
      <c r="H386" s="4" t="s">
        <v>85</v>
      </c>
      <c r="I386" s="5" t="n">
        <v>2000.0</v>
      </c>
      <c r="J386" s="6" t="s">
        <v>92</v>
      </c>
      <c r="K386" s="7" t="s">
        <v>1130</v>
      </c>
      <c r="L386" s="6" t="s">
        <v>92</v>
      </c>
      <c r="M386" s="7" t="s">
        <v>1130</v>
      </c>
      <c r="N386" s="6"/>
      <c r="O386" s="7"/>
      <c r="P386" s="6" t="s">
        <v>92</v>
      </c>
      <c r="Q386" s="7" t="s">
        <v>1130</v>
      </c>
      <c r="R386" s="6"/>
      <c r="S386" s="7"/>
      <c r="T386" s="6" t="s">
        <v>92</v>
      </c>
      <c r="U386" s="7" t="s">
        <v>1130</v>
      </c>
      <c r="V386" s="8" t="n">
        <f>14</f>
        <v>14.0</v>
      </c>
      <c r="W386" s="9" t="n">
        <f>12</f>
        <v>12.0</v>
      </c>
      <c r="X386" s="9"/>
      <c r="Y386" s="9" t="n">
        <f>16800</f>
        <v>16800.0</v>
      </c>
      <c r="Z386" s="9"/>
      <c r="AA386" s="9" t="str">
        <f>"－"</f>
        <v>－</v>
      </c>
      <c r="AB386" s="6" t="s">
        <v>58</v>
      </c>
      <c r="AC386" s="10" t="n">
        <f>12</f>
        <v>12.0</v>
      </c>
      <c r="AD386" s="9" t="n">
        <f>1</f>
        <v>1.0</v>
      </c>
    </row>
    <row r="387">
      <c r="A387" s="3" t="s">
        <v>50</v>
      </c>
      <c r="B387" s="3" t="s">
        <v>1125</v>
      </c>
      <c r="C387" s="43" t="s">
        <v>1126</v>
      </c>
      <c r="D387" s="43" t="s">
        <v>1127</v>
      </c>
      <c r="E387" s="3" t="s">
        <v>104</v>
      </c>
      <c r="F387" s="3"/>
      <c r="G387" s="3" t="s">
        <v>127</v>
      </c>
      <c r="H387" s="4" t="s">
        <v>128</v>
      </c>
      <c r="I387" s="5" t="n">
        <v>1900.0</v>
      </c>
      <c r="J387" s="6" t="s">
        <v>399</v>
      </c>
      <c r="K387" s="7" t="s">
        <v>1131</v>
      </c>
      <c r="L387" s="6" t="s">
        <v>399</v>
      </c>
      <c r="M387" s="7" t="s">
        <v>1131</v>
      </c>
      <c r="N387" s="6"/>
      <c r="O387" s="7"/>
      <c r="P387" s="6" t="s">
        <v>399</v>
      </c>
      <c r="Q387" s="7" t="s">
        <v>1131</v>
      </c>
      <c r="R387" s="6"/>
      <c r="S387" s="7"/>
      <c r="T387" s="6" t="s">
        <v>399</v>
      </c>
      <c r="U387" s="7" t="s">
        <v>1131</v>
      </c>
      <c r="V387" s="8" t="n">
        <f>71.5</f>
        <v>71.5</v>
      </c>
      <c r="W387" s="9" t="n">
        <f>2</f>
        <v>2.0</v>
      </c>
      <c r="X387" s="9"/>
      <c r="Y387" s="9" t="n">
        <f>14300</f>
        <v>14300.0</v>
      </c>
      <c r="Z387" s="9"/>
      <c r="AA387" s="9" t="n">
        <f>2</f>
        <v>2.0</v>
      </c>
      <c r="AB387" s="6" t="s">
        <v>58</v>
      </c>
      <c r="AC387" s="10" t="str">
        <f>"－"</f>
        <v>－</v>
      </c>
      <c r="AD387" s="9" t="n">
        <f>1</f>
        <v>1.0</v>
      </c>
    </row>
    <row r="388">
      <c r="A388" s="3" t="s">
        <v>50</v>
      </c>
      <c r="B388" s="3" t="s">
        <v>1132</v>
      </c>
      <c r="C388" s="43" t="s">
        <v>1133</v>
      </c>
      <c r="D388" s="43" t="s">
        <v>1134</v>
      </c>
      <c r="E388" s="3" t="s">
        <v>54</v>
      </c>
      <c r="F388" s="3"/>
      <c r="G388" s="3" t="s">
        <v>112</v>
      </c>
      <c r="H388" s="4" t="s">
        <v>113</v>
      </c>
      <c r="I388" s="5" t="n">
        <v>4200.0</v>
      </c>
      <c r="J388" s="6" t="s">
        <v>78</v>
      </c>
      <c r="K388" s="7" t="s">
        <v>1135</v>
      </c>
      <c r="L388" s="6" t="s">
        <v>517</v>
      </c>
      <c r="M388" s="7" t="s">
        <v>364</v>
      </c>
      <c r="N388" s="6"/>
      <c r="O388" s="7"/>
      <c r="P388" s="6" t="s">
        <v>78</v>
      </c>
      <c r="Q388" s="7" t="s">
        <v>1135</v>
      </c>
      <c r="R388" s="6"/>
      <c r="S388" s="7"/>
      <c r="T388" s="6" t="s">
        <v>517</v>
      </c>
      <c r="U388" s="7" t="s">
        <v>364</v>
      </c>
      <c r="V388" s="8" t="n">
        <f>81.67</f>
        <v>81.67</v>
      </c>
      <c r="W388" s="9" t="n">
        <f>14</f>
        <v>14.0</v>
      </c>
      <c r="X388" s="9"/>
      <c r="Y388" s="9" t="n">
        <f>118250</f>
        <v>118250.0</v>
      </c>
      <c r="Z388" s="9"/>
      <c r="AA388" s="9" t="n">
        <f>9</f>
        <v>9.0</v>
      </c>
      <c r="AB388" s="6" t="s">
        <v>58</v>
      </c>
      <c r="AC388" s="10" t="str">
        <f>"－"</f>
        <v>－</v>
      </c>
      <c r="AD388" s="9" t="n">
        <f>3</f>
        <v>3.0</v>
      </c>
    </row>
    <row r="389">
      <c r="A389" s="3" t="s">
        <v>50</v>
      </c>
      <c r="B389" s="3" t="s">
        <v>1132</v>
      </c>
      <c r="C389" s="43" t="s">
        <v>1133</v>
      </c>
      <c r="D389" s="43" t="s">
        <v>1134</v>
      </c>
      <c r="E389" s="3" t="s">
        <v>54</v>
      </c>
      <c r="F389" s="3"/>
      <c r="G389" s="3" t="s">
        <v>116</v>
      </c>
      <c r="H389" s="4" t="s">
        <v>693</v>
      </c>
      <c r="I389" s="5" t="n">
        <v>4000.0</v>
      </c>
      <c r="J389" s="6" t="s">
        <v>517</v>
      </c>
      <c r="K389" s="7" t="s">
        <v>421</v>
      </c>
      <c r="L389" s="6" t="s">
        <v>517</v>
      </c>
      <c r="M389" s="7" t="s">
        <v>421</v>
      </c>
      <c r="N389" s="6"/>
      <c r="O389" s="7"/>
      <c r="P389" s="6" t="s">
        <v>517</v>
      </c>
      <c r="Q389" s="7" t="s">
        <v>421</v>
      </c>
      <c r="R389" s="6"/>
      <c r="S389" s="7"/>
      <c r="T389" s="6" t="s">
        <v>517</v>
      </c>
      <c r="U389" s="7" t="s">
        <v>421</v>
      </c>
      <c r="V389" s="8" t="n">
        <f>30</f>
        <v>30.0</v>
      </c>
      <c r="W389" s="9" t="n">
        <f>12</f>
        <v>12.0</v>
      </c>
      <c r="X389" s="9"/>
      <c r="Y389" s="9" t="n">
        <f>36000</f>
        <v>36000.0</v>
      </c>
      <c r="Z389" s="9"/>
      <c r="AA389" s="9" t="str">
        <f>"－"</f>
        <v>－</v>
      </c>
      <c r="AB389" s="6" t="s">
        <v>58</v>
      </c>
      <c r="AC389" s="10" t="n">
        <f>12</f>
        <v>12.0</v>
      </c>
      <c r="AD389" s="9" t="n">
        <f>1</f>
        <v>1.0</v>
      </c>
    </row>
    <row r="390">
      <c r="A390" s="3" t="s">
        <v>50</v>
      </c>
      <c r="B390" s="3" t="s">
        <v>1132</v>
      </c>
      <c r="C390" s="43" t="s">
        <v>1133</v>
      </c>
      <c r="D390" s="43" t="s">
        <v>1134</v>
      </c>
      <c r="E390" s="3" t="s">
        <v>54</v>
      </c>
      <c r="F390" s="3"/>
      <c r="G390" s="3" t="s">
        <v>294</v>
      </c>
      <c r="H390" s="4" t="s">
        <v>295</v>
      </c>
      <c r="I390" s="5" t="n">
        <v>4400.0</v>
      </c>
      <c r="J390" s="6" t="s">
        <v>711</v>
      </c>
      <c r="K390" s="7" t="s">
        <v>1136</v>
      </c>
      <c r="L390" s="6" t="s">
        <v>544</v>
      </c>
      <c r="M390" s="7" t="s">
        <v>574</v>
      </c>
      <c r="N390" s="6"/>
      <c r="O390" s="7"/>
      <c r="P390" s="6" t="s">
        <v>711</v>
      </c>
      <c r="Q390" s="7" t="s">
        <v>1136</v>
      </c>
      <c r="R390" s="6"/>
      <c r="S390" s="7"/>
      <c r="T390" s="6" t="s">
        <v>544</v>
      </c>
      <c r="U390" s="7" t="s">
        <v>574</v>
      </c>
      <c r="V390" s="8" t="n">
        <f>218.75</f>
        <v>218.75</v>
      </c>
      <c r="W390" s="9" t="n">
        <f>16</f>
        <v>16.0</v>
      </c>
      <c r="X390" s="9"/>
      <c r="Y390" s="9" t="n">
        <f>350000</f>
        <v>350000.0</v>
      </c>
      <c r="Z390" s="9"/>
      <c r="AA390" s="9" t="n">
        <f>8</f>
        <v>8.0</v>
      </c>
      <c r="AB390" s="6" t="s">
        <v>58</v>
      </c>
      <c r="AC390" s="10" t="str">
        <f>"－"</f>
        <v>－</v>
      </c>
      <c r="AD390" s="9" t="n">
        <f>2</f>
        <v>2.0</v>
      </c>
    </row>
    <row r="391">
      <c r="A391" s="3" t="s">
        <v>50</v>
      </c>
      <c r="B391" s="3" t="s">
        <v>1132</v>
      </c>
      <c r="C391" s="43" t="s">
        <v>1133</v>
      </c>
      <c r="D391" s="43" t="s">
        <v>1134</v>
      </c>
      <c r="E391" s="3" t="s">
        <v>54</v>
      </c>
      <c r="F391" s="3"/>
      <c r="G391" s="3" t="s">
        <v>457</v>
      </c>
      <c r="H391" s="4" t="s">
        <v>465</v>
      </c>
      <c r="I391" s="5" t="n">
        <v>4200.0</v>
      </c>
      <c r="J391" s="6" t="s">
        <v>434</v>
      </c>
      <c r="K391" s="7" t="s">
        <v>1137</v>
      </c>
      <c r="L391" s="6" t="s">
        <v>434</v>
      </c>
      <c r="M391" s="7" t="s">
        <v>1137</v>
      </c>
      <c r="N391" s="6"/>
      <c r="O391" s="7"/>
      <c r="P391" s="6" t="s">
        <v>434</v>
      </c>
      <c r="Q391" s="7" t="s">
        <v>1137</v>
      </c>
      <c r="R391" s="6"/>
      <c r="S391" s="7"/>
      <c r="T391" s="6" t="s">
        <v>434</v>
      </c>
      <c r="U391" s="7" t="s">
        <v>1137</v>
      </c>
      <c r="V391" s="8" t="n">
        <f>86</f>
        <v>86.0</v>
      </c>
      <c r="W391" s="9" t="n">
        <f>1</f>
        <v>1.0</v>
      </c>
      <c r="X391" s="9"/>
      <c r="Y391" s="9" t="n">
        <f>8600</f>
        <v>8600.0</v>
      </c>
      <c r="Z391" s="9"/>
      <c r="AA391" s="9" t="str">
        <f>"－"</f>
        <v>－</v>
      </c>
      <c r="AB391" s="6"/>
      <c r="AC391" s="10" t="n">
        <f>1</f>
        <v>1.0</v>
      </c>
      <c r="AD391" s="9" t="n">
        <f>1</f>
        <v>1.0</v>
      </c>
    </row>
    <row r="392">
      <c r="A392" s="3" t="s">
        <v>50</v>
      </c>
      <c r="B392" s="3" t="s">
        <v>1132</v>
      </c>
      <c r="C392" s="43" t="s">
        <v>1133</v>
      </c>
      <c r="D392" s="43" t="s">
        <v>1134</v>
      </c>
      <c r="E392" s="3" t="s">
        <v>104</v>
      </c>
      <c r="F392" s="3"/>
      <c r="G392" s="3" t="s">
        <v>80</v>
      </c>
      <c r="H392" s="4" t="s">
        <v>320</v>
      </c>
      <c r="I392" s="5" t="n">
        <v>4000.0</v>
      </c>
      <c r="J392" s="6" t="s">
        <v>337</v>
      </c>
      <c r="K392" s="7" t="s">
        <v>840</v>
      </c>
      <c r="L392" s="6" t="s">
        <v>1138</v>
      </c>
      <c r="M392" s="7" t="s">
        <v>1139</v>
      </c>
      <c r="N392" s="6"/>
      <c r="O392" s="7"/>
      <c r="P392" s="6" t="s">
        <v>337</v>
      </c>
      <c r="Q392" s="7" t="s">
        <v>840</v>
      </c>
      <c r="R392" s="6"/>
      <c r="S392" s="7"/>
      <c r="T392" s="6" t="s">
        <v>1138</v>
      </c>
      <c r="U392" s="7" t="s">
        <v>1139</v>
      </c>
      <c r="V392" s="8" t="n">
        <f>106.25</f>
        <v>106.25</v>
      </c>
      <c r="W392" s="9" t="n">
        <f>20</f>
        <v>20.0</v>
      </c>
      <c r="X392" s="9"/>
      <c r="Y392" s="9" t="n">
        <f>212500</f>
        <v>212500.0</v>
      </c>
      <c r="Z392" s="9"/>
      <c r="AA392" s="9" t="n">
        <f>10</f>
        <v>10.0</v>
      </c>
      <c r="AB392" s="6" t="s">
        <v>58</v>
      </c>
      <c r="AC392" s="10" t="str">
        <f>"－"</f>
        <v>－</v>
      </c>
      <c r="AD392" s="9" t="n">
        <f>2</f>
        <v>2.0</v>
      </c>
    </row>
    <row r="393">
      <c r="A393" s="3" t="s">
        <v>50</v>
      </c>
      <c r="B393" s="3" t="s">
        <v>1132</v>
      </c>
      <c r="C393" s="43" t="s">
        <v>1133</v>
      </c>
      <c r="D393" s="43" t="s">
        <v>1134</v>
      </c>
      <c r="E393" s="3" t="s">
        <v>104</v>
      </c>
      <c r="F393" s="3"/>
      <c r="G393" s="3" t="s">
        <v>84</v>
      </c>
      <c r="H393" s="4" t="s">
        <v>85</v>
      </c>
      <c r="I393" s="5" t="n">
        <v>4200.0</v>
      </c>
      <c r="J393" s="6" t="s">
        <v>365</v>
      </c>
      <c r="K393" s="7" t="s">
        <v>888</v>
      </c>
      <c r="L393" s="6" t="s">
        <v>365</v>
      </c>
      <c r="M393" s="7" t="s">
        <v>888</v>
      </c>
      <c r="N393" s="6"/>
      <c r="O393" s="7"/>
      <c r="P393" s="6" t="s">
        <v>365</v>
      </c>
      <c r="Q393" s="7" t="s">
        <v>888</v>
      </c>
      <c r="R393" s="6"/>
      <c r="S393" s="7"/>
      <c r="T393" s="6" t="s">
        <v>365</v>
      </c>
      <c r="U393" s="7" t="s">
        <v>888</v>
      </c>
      <c r="V393" s="8" t="n">
        <f>40</f>
        <v>40.0</v>
      </c>
      <c r="W393" s="9" t="n">
        <f>8</f>
        <v>8.0</v>
      </c>
      <c r="X393" s="9"/>
      <c r="Y393" s="9" t="n">
        <f>32000</f>
        <v>32000.0</v>
      </c>
      <c r="Z393" s="9"/>
      <c r="AA393" s="9" t="n">
        <f>8</f>
        <v>8.0</v>
      </c>
      <c r="AB393" s="6" t="s">
        <v>58</v>
      </c>
      <c r="AC393" s="10" t="str">
        <f>"－"</f>
        <v>－</v>
      </c>
      <c r="AD393" s="9" t="n">
        <f>1</f>
        <v>1.0</v>
      </c>
    </row>
    <row r="394">
      <c r="A394" s="3" t="s">
        <v>50</v>
      </c>
      <c r="B394" s="3" t="s">
        <v>1132</v>
      </c>
      <c r="C394" s="43" t="s">
        <v>1133</v>
      </c>
      <c r="D394" s="43" t="s">
        <v>1134</v>
      </c>
      <c r="E394" s="3" t="s">
        <v>104</v>
      </c>
      <c r="F394" s="3"/>
      <c r="G394" s="3" t="s">
        <v>100</v>
      </c>
      <c r="H394" s="4" t="s">
        <v>101</v>
      </c>
      <c r="I394" s="5" t="n">
        <v>4800.0</v>
      </c>
      <c r="J394" s="6" t="s">
        <v>631</v>
      </c>
      <c r="K394" s="7" t="s">
        <v>83</v>
      </c>
      <c r="L394" s="6" t="s">
        <v>631</v>
      </c>
      <c r="M394" s="7" t="s">
        <v>83</v>
      </c>
      <c r="N394" s="6"/>
      <c r="O394" s="7"/>
      <c r="P394" s="6" t="s">
        <v>453</v>
      </c>
      <c r="Q394" s="7" t="s">
        <v>71</v>
      </c>
      <c r="R394" s="6"/>
      <c r="S394" s="7"/>
      <c r="T394" s="6" t="s">
        <v>453</v>
      </c>
      <c r="U394" s="7" t="s">
        <v>71</v>
      </c>
      <c r="V394" s="8" t="n">
        <f>32.5</f>
        <v>32.5</v>
      </c>
      <c r="W394" s="9" t="n">
        <f>2</f>
        <v>2.0</v>
      </c>
      <c r="X394" s="9"/>
      <c r="Y394" s="9" t="n">
        <f>6500</f>
        <v>6500.0</v>
      </c>
      <c r="Z394" s="9"/>
      <c r="AA394" s="9" t="str">
        <f>"－"</f>
        <v>－</v>
      </c>
      <c r="AB394" s="6"/>
      <c r="AC394" s="10" t="str">
        <f>"－"</f>
        <v>－</v>
      </c>
      <c r="AD394" s="9" t="n">
        <f>2</f>
        <v>2.0</v>
      </c>
    </row>
    <row r="395">
      <c r="A395" s="3" t="s">
        <v>50</v>
      </c>
      <c r="B395" s="3" t="s">
        <v>1140</v>
      </c>
      <c r="C395" s="43" t="s">
        <v>1141</v>
      </c>
      <c r="D395" s="43" t="s">
        <v>1142</v>
      </c>
      <c r="E395" s="3" t="s">
        <v>54</v>
      </c>
      <c r="F395" s="3"/>
      <c r="G395" s="3" t="s">
        <v>88</v>
      </c>
      <c r="H395" s="4" t="s">
        <v>89</v>
      </c>
      <c r="I395" s="5" t="n">
        <v>4600.0</v>
      </c>
      <c r="J395" s="6" t="s">
        <v>769</v>
      </c>
      <c r="K395" s="7" t="s">
        <v>1143</v>
      </c>
      <c r="L395" s="6" t="s">
        <v>769</v>
      </c>
      <c r="M395" s="7" t="s">
        <v>1143</v>
      </c>
      <c r="N395" s="6"/>
      <c r="O395" s="7"/>
      <c r="P395" s="6" t="s">
        <v>401</v>
      </c>
      <c r="Q395" s="7" t="s">
        <v>1144</v>
      </c>
      <c r="R395" s="6"/>
      <c r="S395" s="7"/>
      <c r="T395" s="6" t="s">
        <v>383</v>
      </c>
      <c r="U395" s="7" t="s">
        <v>83</v>
      </c>
      <c r="V395" s="8" t="n">
        <f>91</f>
        <v>91.0</v>
      </c>
      <c r="W395" s="9" t="n">
        <f>6</f>
        <v>6.0</v>
      </c>
      <c r="X395" s="9"/>
      <c r="Y395" s="9" t="n">
        <f>54600</f>
        <v>54600.0</v>
      </c>
      <c r="Z395" s="9"/>
      <c r="AA395" s="9" t="n">
        <f>2</f>
        <v>2.0</v>
      </c>
      <c r="AB395" s="6" t="s">
        <v>58</v>
      </c>
      <c r="AC395" s="10" t="str">
        <f>"－"</f>
        <v>－</v>
      </c>
      <c r="AD395" s="9" t="n">
        <f>3</f>
        <v>3.0</v>
      </c>
    </row>
    <row r="396">
      <c r="A396" s="3" t="s">
        <v>50</v>
      </c>
      <c r="B396" s="3" t="s">
        <v>1145</v>
      </c>
      <c r="C396" s="43" t="s">
        <v>1146</v>
      </c>
      <c r="D396" s="43" t="s">
        <v>1147</v>
      </c>
      <c r="E396" s="3" t="s">
        <v>54</v>
      </c>
      <c r="F396" s="3"/>
      <c r="G396" s="3" t="s">
        <v>55</v>
      </c>
      <c r="H396" s="4" t="s">
        <v>936</v>
      </c>
      <c r="I396" s="5" t="n">
        <v>2800.0</v>
      </c>
      <c r="J396" s="6"/>
      <c r="K396" s="7" t="s">
        <v>57</v>
      </c>
      <c r="L396" s="6"/>
      <c r="M396" s="7" t="s">
        <v>57</v>
      </c>
      <c r="N396" s="6" t="s">
        <v>139</v>
      </c>
      <c r="O396" s="7" t="s">
        <v>1148</v>
      </c>
      <c r="P396" s="6"/>
      <c r="Q396" s="7" t="s">
        <v>57</v>
      </c>
      <c r="R396" s="6" t="s">
        <v>139</v>
      </c>
      <c r="S396" s="7" t="s">
        <v>1148</v>
      </c>
      <c r="T396" s="6"/>
      <c r="U396" s="7" t="s">
        <v>57</v>
      </c>
      <c r="V396" s="8" t="str">
        <f>"－"</f>
        <v>－</v>
      </c>
      <c r="W396" s="9" t="n">
        <f>48</f>
        <v>48.0</v>
      </c>
      <c r="X396" s="9" t="n">
        <v>48.0</v>
      </c>
      <c r="Y396" s="9" t="n">
        <f>2702400</f>
        <v>2702400.0</v>
      </c>
      <c r="Z396" s="9" t="n">
        <v>2702400.0</v>
      </c>
      <c r="AA396" s="9" t="str">
        <f>"－"</f>
        <v>－</v>
      </c>
      <c r="AB396" s="6" t="s">
        <v>58</v>
      </c>
      <c r="AC396" s="10" t="str">
        <f>"－"</f>
        <v>－</v>
      </c>
      <c r="AD396" s="9" t="str">
        <f>"－"</f>
        <v>－</v>
      </c>
    </row>
    <row r="397">
      <c r="A397" s="3" t="s">
        <v>50</v>
      </c>
      <c r="B397" s="3" t="s">
        <v>1149</v>
      </c>
      <c r="C397" s="43" t="s">
        <v>1150</v>
      </c>
      <c r="D397" s="43" t="s">
        <v>1151</v>
      </c>
      <c r="E397" s="3" t="s">
        <v>104</v>
      </c>
      <c r="F397" s="3"/>
      <c r="G397" s="3" t="s">
        <v>88</v>
      </c>
      <c r="H397" s="4" t="s">
        <v>89</v>
      </c>
      <c r="I397" s="5" t="n">
        <v>2800.0</v>
      </c>
      <c r="J397" s="6" t="s">
        <v>752</v>
      </c>
      <c r="K397" s="7" t="s">
        <v>1152</v>
      </c>
      <c r="L397" s="6" t="s">
        <v>752</v>
      </c>
      <c r="M397" s="7" t="s">
        <v>1152</v>
      </c>
      <c r="N397" s="6"/>
      <c r="O397" s="7"/>
      <c r="P397" s="6" t="s">
        <v>752</v>
      </c>
      <c r="Q397" s="7" t="s">
        <v>1152</v>
      </c>
      <c r="R397" s="6"/>
      <c r="S397" s="7"/>
      <c r="T397" s="6" t="s">
        <v>752</v>
      </c>
      <c r="U397" s="7" t="s">
        <v>1152</v>
      </c>
      <c r="V397" s="8" t="n">
        <f>3.6</f>
        <v>3.6</v>
      </c>
      <c r="W397" s="9" t="n">
        <f>5</f>
        <v>5.0</v>
      </c>
      <c r="X397" s="9"/>
      <c r="Y397" s="9" t="n">
        <f>1800</f>
        <v>1800.0</v>
      </c>
      <c r="Z397" s="9"/>
      <c r="AA397" s="9" t="str">
        <f>"－"</f>
        <v>－</v>
      </c>
      <c r="AB397" s="6" t="s">
        <v>58</v>
      </c>
      <c r="AC397" s="10" t="n">
        <f>5</f>
        <v>5.0</v>
      </c>
      <c r="AD397" s="9" t="n">
        <f>1</f>
        <v>1.0</v>
      </c>
    </row>
    <row r="398">
      <c r="A398" s="3" t="s">
        <v>50</v>
      </c>
      <c r="B398" s="3" t="s">
        <v>1149</v>
      </c>
      <c r="C398" s="43" t="s">
        <v>1150</v>
      </c>
      <c r="D398" s="43" t="s">
        <v>1151</v>
      </c>
      <c r="E398" s="3" t="s">
        <v>104</v>
      </c>
      <c r="F398" s="3"/>
      <c r="G398" s="3" t="s">
        <v>96</v>
      </c>
      <c r="H398" s="4" t="s">
        <v>97</v>
      </c>
      <c r="I398" s="5" t="n">
        <v>2800.0</v>
      </c>
      <c r="J398" s="6" t="s">
        <v>624</v>
      </c>
      <c r="K398" s="7" t="s">
        <v>1153</v>
      </c>
      <c r="L398" s="6" t="s">
        <v>624</v>
      </c>
      <c r="M398" s="7" t="s">
        <v>1153</v>
      </c>
      <c r="N398" s="6"/>
      <c r="O398" s="7"/>
      <c r="P398" s="6" t="s">
        <v>624</v>
      </c>
      <c r="Q398" s="7" t="s">
        <v>1153</v>
      </c>
      <c r="R398" s="6"/>
      <c r="S398" s="7"/>
      <c r="T398" s="6" t="s">
        <v>624</v>
      </c>
      <c r="U398" s="7" t="s">
        <v>1153</v>
      </c>
      <c r="V398" s="8" t="n">
        <f>59.5</f>
        <v>59.5</v>
      </c>
      <c r="W398" s="9" t="n">
        <f>5</f>
        <v>5.0</v>
      </c>
      <c r="X398" s="9"/>
      <c r="Y398" s="9" t="n">
        <f>29750</f>
        <v>29750.0</v>
      </c>
      <c r="Z398" s="9"/>
      <c r="AA398" s="9" t="str">
        <f>"－"</f>
        <v>－</v>
      </c>
      <c r="AB398" s="6" t="s">
        <v>58</v>
      </c>
      <c r="AC398" s="10" t="n">
        <f>5</f>
        <v>5.0</v>
      </c>
      <c r="AD398" s="9" t="n">
        <f>1</f>
        <v>1.0</v>
      </c>
    </row>
    <row r="399">
      <c r="A399" s="3" t="s">
        <v>50</v>
      </c>
      <c r="B399" s="3" t="s">
        <v>1149</v>
      </c>
      <c r="C399" s="43" t="s">
        <v>1150</v>
      </c>
      <c r="D399" s="43" t="s">
        <v>1151</v>
      </c>
      <c r="E399" s="3" t="s">
        <v>104</v>
      </c>
      <c r="F399" s="3"/>
      <c r="G399" s="3" t="s">
        <v>127</v>
      </c>
      <c r="H399" s="4" t="s">
        <v>128</v>
      </c>
      <c r="I399" s="5" t="n">
        <v>2800.0</v>
      </c>
      <c r="J399" s="6" t="s">
        <v>1154</v>
      </c>
      <c r="K399" s="7" t="s">
        <v>1155</v>
      </c>
      <c r="L399" s="6" t="s">
        <v>1154</v>
      </c>
      <c r="M399" s="7" t="s">
        <v>1155</v>
      </c>
      <c r="N399" s="6"/>
      <c r="O399" s="7"/>
      <c r="P399" s="6" t="s">
        <v>1154</v>
      </c>
      <c r="Q399" s="7" t="s">
        <v>1155</v>
      </c>
      <c r="R399" s="6"/>
      <c r="S399" s="7"/>
      <c r="T399" s="6" t="s">
        <v>1154</v>
      </c>
      <c r="U399" s="7" t="s">
        <v>1155</v>
      </c>
      <c r="V399" s="8" t="n">
        <f>32.7</f>
        <v>32.7</v>
      </c>
      <c r="W399" s="9" t="n">
        <f>5</f>
        <v>5.0</v>
      </c>
      <c r="X399" s="9"/>
      <c r="Y399" s="9" t="n">
        <f>16350</f>
        <v>16350.0</v>
      </c>
      <c r="Z399" s="9"/>
      <c r="AA399" s="9" t="str">
        <f>"－"</f>
        <v>－</v>
      </c>
      <c r="AB399" s="6" t="s">
        <v>58</v>
      </c>
      <c r="AC399" s="10" t="n">
        <f>5</f>
        <v>5.0</v>
      </c>
      <c r="AD399" s="9" t="n">
        <f>1</f>
        <v>1.0</v>
      </c>
    </row>
    <row r="400">
      <c r="A400" s="3" t="s">
        <v>50</v>
      </c>
      <c r="B400" s="3" t="s">
        <v>1156</v>
      </c>
      <c r="C400" s="43" t="s">
        <v>1157</v>
      </c>
      <c r="D400" s="43" t="s">
        <v>1158</v>
      </c>
      <c r="E400" s="3" t="s">
        <v>104</v>
      </c>
      <c r="F400" s="3"/>
      <c r="G400" s="3" t="s">
        <v>63</v>
      </c>
      <c r="H400" s="4" t="s">
        <v>64</v>
      </c>
      <c r="I400" s="5" t="n">
        <v>700.0</v>
      </c>
      <c r="J400" s="6" t="s">
        <v>1159</v>
      </c>
      <c r="K400" s="7" t="s">
        <v>885</v>
      </c>
      <c r="L400" s="6" t="s">
        <v>147</v>
      </c>
      <c r="M400" s="7" t="s">
        <v>1160</v>
      </c>
      <c r="N400" s="6"/>
      <c r="O400" s="7"/>
      <c r="P400" s="6" t="s">
        <v>1159</v>
      </c>
      <c r="Q400" s="7" t="s">
        <v>885</v>
      </c>
      <c r="R400" s="6"/>
      <c r="S400" s="7"/>
      <c r="T400" s="6" t="s">
        <v>147</v>
      </c>
      <c r="U400" s="7" t="s">
        <v>1160</v>
      </c>
      <c r="V400" s="8" t="n">
        <f>29</f>
        <v>29.0</v>
      </c>
      <c r="W400" s="9" t="n">
        <f>20</f>
        <v>20.0</v>
      </c>
      <c r="X400" s="9"/>
      <c r="Y400" s="9" t="n">
        <f>58000</f>
        <v>58000.0</v>
      </c>
      <c r="Z400" s="9"/>
      <c r="AA400" s="9" t="str">
        <f>"－"</f>
        <v>－</v>
      </c>
      <c r="AB400" s="6" t="s">
        <v>58</v>
      </c>
      <c r="AC400" s="10" t="str">
        <f>"－"</f>
        <v>－</v>
      </c>
      <c r="AD400" s="9" t="n">
        <f>2</f>
        <v>2.0</v>
      </c>
    </row>
    <row r="401">
      <c r="A401" s="3" t="s">
        <v>50</v>
      </c>
      <c r="B401" s="3" t="s">
        <v>1156</v>
      </c>
      <c r="C401" s="43" t="s">
        <v>1157</v>
      </c>
      <c r="D401" s="43" t="s">
        <v>1158</v>
      </c>
      <c r="E401" s="3" t="s">
        <v>104</v>
      </c>
      <c r="F401" s="3"/>
      <c r="G401" s="3" t="s">
        <v>116</v>
      </c>
      <c r="H401" s="4" t="s">
        <v>117</v>
      </c>
      <c r="I401" s="5" t="n">
        <v>750.0</v>
      </c>
      <c r="J401" s="6" t="s">
        <v>147</v>
      </c>
      <c r="K401" s="7" t="s">
        <v>421</v>
      </c>
      <c r="L401" s="6" t="s">
        <v>147</v>
      </c>
      <c r="M401" s="7" t="s">
        <v>421</v>
      </c>
      <c r="N401" s="6"/>
      <c r="O401" s="7"/>
      <c r="P401" s="6" t="s">
        <v>705</v>
      </c>
      <c r="Q401" s="7" t="s">
        <v>1161</v>
      </c>
      <c r="R401" s="6"/>
      <c r="S401" s="7"/>
      <c r="T401" s="6" t="s">
        <v>705</v>
      </c>
      <c r="U401" s="7" t="s">
        <v>1161</v>
      </c>
      <c r="V401" s="8" t="n">
        <f>28</f>
        <v>28.0</v>
      </c>
      <c r="W401" s="9" t="n">
        <f>110</f>
        <v>110.0</v>
      </c>
      <c r="X401" s="9"/>
      <c r="Y401" s="9" t="n">
        <f>326000</f>
        <v>326000.0</v>
      </c>
      <c r="Z401" s="9"/>
      <c r="AA401" s="9" t="str">
        <f>"－"</f>
        <v>－</v>
      </c>
      <c r="AB401" s="6" t="s">
        <v>58</v>
      </c>
      <c r="AC401" s="10" t="n">
        <f>100</f>
        <v>100.0</v>
      </c>
      <c r="AD401" s="9" t="n">
        <f>2</f>
        <v>2.0</v>
      </c>
    </row>
    <row r="402">
      <c r="A402" s="3" t="s">
        <v>50</v>
      </c>
      <c r="B402" s="3" t="s">
        <v>1156</v>
      </c>
      <c r="C402" s="43" t="s">
        <v>1157</v>
      </c>
      <c r="D402" s="43" t="s">
        <v>1158</v>
      </c>
      <c r="E402" s="3" t="s">
        <v>104</v>
      </c>
      <c r="F402" s="3"/>
      <c r="G402" s="3" t="s">
        <v>127</v>
      </c>
      <c r="H402" s="4" t="s">
        <v>128</v>
      </c>
      <c r="I402" s="5" t="n">
        <v>750.0</v>
      </c>
      <c r="J402" s="6" t="s">
        <v>408</v>
      </c>
      <c r="K402" s="7" t="s">
        <v>206</v>
      </c>
      <c r="L402" s="6" t="s">
        <v>1162</v>
      </c>
      <c r="M402" s="7" t="s">
        <v>79</v>
      </c>
      <c r="N402" s="6"/>
      <c r="O402" s="7"/>
      <c r="P402" s="6" t="s">
        <v>408</v>
      </c>
      <c r="Q402" s="7" t="s">
        <v>206</v>
      </c>
      <c r="R402" s="6"/>
      <c r="S402" s="7"/>
      <c r="T402" s="6" t="s">
        <v>1162</v>
      </c>
      <c r="U402" s="7" t="s">
        <v>79</v>
      </c>
      <c r="V402" s="8" t="n">
        <f>5</f>
        <v>5.0</v>
      </c>
      <c r="W402" s="9" t="n">
        <f>100</f>
        <v>100.0</v>
      </c>
      <c r="X402" s="9"/>
      <c r="Y402" s="9" t="n">
        <f>50000</f>
        <v>50000.0</v>
      </c>
      <c r="Z402" s="9"/>
      <c r="AA402" s="9" t="str">
        <f>"－"</f>
        <v>－</v>
      </c>
      <c r="AB402" s="6" t="s">
        <v>58</v>
      </c>
      <c r="AC402" s="10" t="str">
        <f>"－"</f>
        <v>－</v>
      </c>
      <c r="AD402" s="9" t="n">
        <f>2</f>
        <v>2.0</v>
      </c>
    </row>
    <row r="403">
      <c r="A403" s="3" t="s">
        <v>50</v>
      </c>
      <c r="B403" s="3" t="s">
        <v>1156</v>
      </c>
      <c r="C403" s="43" t="s">
        <v>1157</v>
      </c>
      <c r="D403" s="43" t="s">
        <v>1158</v>
      </c>
      <c r="E403" s="3" t="s">
        <v>104</v>
      </c>
      <c r="F403" s="3"/>
      <c r="G403" s="3" t="s">
        <v>100</v>
      </c>
      <c r="H403" s="4" t="s">
        <v>101</v>
      </c>
      <c r="I403" s="5" t="n">
        <v>750.0</v>
      </c>
      <c r="J403" s="6" t="s">
        <v>1162</v>
      </c>
      <c r="K403" s="7" t="s">
        <v>1129</v>
      </c>
      <c r="L403" s="6" t="s">
        <v>1162</v>
      </c>
      <c r="M403" s="7" t="s">
        <v>1129</v>
      </c>
      <c r="N403" s="6"/>
      <c r="O403" s="7"/>
      <c r="P403" s="6" t="s">
        <v>1162</v>
      </c>
      <c r="Q403" s="7" t="s">
        <v>1129</v>
      </c>
      <c r="R403" s="6"/>
      <c r="S403" s="7"/>
      <c r="T403" s="6" t="s">
        <v>1162</v>
      </c>
      <c r="U403" s="7" t="s">
        <v>1129</v>
      </c>
      <c r="V403" s="8" t="n">
        <f>19</f>
        <v>19.0</v>
      </c>
      <c r="W403" s="9" t="n">
        <f>50</f>
        <v>50.0</v>
      </c>
      <c r="X403" s="9"/>
      <c r="Y403" s="9" t="n">
        <f>95000</f>
        <v>95000.0</v>
      </c>
      <c r="Z403" s="9"/>
      <c r="AA403" s="9" t="str">
        <f>"－"</f>
        <v>－</v>
      </c>
      <c r="AB403" s="6"/>
      <c r="AC403" s="10" t="n">
        <f>50</f>
        <v>50.0</v>
      </c>
      <c r="AD403" s="9" t="n">
        <f>1</f>
        <v>1.0</v>
      </c>
    </row>
    <row r="404">
      <c r="A404" s="3" t="s">
        <v>50</v>
      </c>
      <c r="B404" s="3" t="s">
        <v>1156</v>
      </c>
      <c r="C404" s="43" t="s">
        <v>1157</v>
      </c>
      <c r="D404" s="43" t="s">
        <v>1158</v>
      </c>
      <c r="E404" s="3" t="s">
        <v>104</v>
      </c>
      <c r="F404" s="3"/>
      <c r="G404" s="3" t="s">
        <v>100</v>
      </c>
      <c r="H404" s="4" t="s">
        <v>436</v>
      </c>
      <c r="I404" s="5" t="n">
        <v>900.0</v>
      </c>
      <c r="J404" s="6" t="s">
        <v>1163</v>
      </c>
      <c r="K404" s="7" t="s">
        <v>1109</v>
      </c>
      <c r="L404" s="6" t="s">
        <v>1163</v>
      </c>
      <c r="M404" s="7" t="s">
        <v>1109</v>
      </c>
      <c r="N404" s="6"/>
      <c r="O404" s="7"/>
      <c r="P404" s="6" t="s">
        <v>1163</v>
      </c>
      <c r="Q404" s="7" t="s">
        <v>1109</v>
      </c>
      <c r="R404" s="6"/>
      <c r="S404" s="7"/>
      <c r="T404" s="6" t="s">
        <v>1163</v>
      </c>
      <c r="U404" s="7" t="s">
        <v>1109</v>
      </c>
      <c r="V404" s="8" t="n">
        <f>11</f>
        <v>11.0</v>
      </c>
      <c r="W404" s="9" t="n">
        <f>1</f>
        <v>1.0</v>
      </c>
      <c r="X404" s="9"/>
      <c r="Y404" s="9" t="n">
        <f>1100</f>
        <v>1100.0</v>
      </c>
      <c r="Z404" s="9"/>
      <c r="AA404" s="9" t="str">
        <f>"－"</f>
        <v>－</v>
      </c>
      <c r="AB404" s="6"/>
      <c r="AC404" s="10" t="n">
        <f>1</f>
        <v>1.0</v>
      </c>
      <c r="AD404" s="9" t="n">
        <f>1</f>
        <v>1.0</v>
      </c>
    </row>
    <row r="405">
      <c r="A405" s="3" t="s">
        <v>50</v>
      </c>
      <c r="B405" s="3" t="s">
        <v>1164</v>
      </c>
      <c r="C405" s="43" t="s">
        <v>1165</v>
      </c>
      <c r="D405" s="43" t="s">
        <v>1166</v>
      </c>
      <c r="E405" s="3" t="s">
        <v>104</v>
      </c>
      <c r="F405" s="3"/>
      <c r="G405" s="3" t="s">
        <v>127</v>
      </c>
      <c r="H405" s="4" t="s">
        <v>128</v>
      </c>
      <c r="I405" s="5" t="n">
        <v>600.0</v>
      </c>
      <c r="J405" s="6" t="s">
        <v>408</v>
      </c>
      <c r="K405" s="7" t="s">
        <v>202</v>
      </c>
      <c r="L405" s="6" t="s">
        <v>408</v>
      </c>
      <c r="M405" s="7" t="s">
        <v>202</v>
      </c>
      <c r="N405" s="6"/>
      <c r="O405" s="7"/>
      <c r="P405" s="6" t="s">
        <v>408</v>
      </c>
      <c r="Q405" s="7" t="s">
        <v>202</v>
      </c>
      <c r="R405" s="6"/>
      <c r="S405" s="7"/>
      <c r="T405" s="6" t="s">
        <v>408</v>
      </c>
      <c r="U405" s="7" t="s">
        <v>202</v>
      </c>
      <c r="V405" s="8" t="n">
        <f>5</f>
        <v>5.0</v>
      </c>
      <c r="W405" s="9" t="n">
        <f>80</f>
        <v>80.0</v>
      </c>
      <c r="X405" s="9"/>
      <c r="Y405" s="9" t="n">
        <f>40000</f>
        <v>40000.0</v>
      </c>
      <c r="Z405" s="9"/>
      <c r="AA405" s="9" t="n">
        <f>80</f>
        <v>80.0</v>
      </c>
      <c r="AB405" s="6" t="s">
        <v>58</v>
      </c>
      <c r="AC405" s="10" t="str">
        <f>"－"</f>
        <v>－</v>
      </c>
      <c r="AD405" s="9" t="n">
        <f>1</f>
        <v>1.0</v>
      </c>
    </row>
    <row r="406">
      <c r="A406" s="3" t="s">
        <v>50</v>
      </c>
      <c r="B406" s="3" t="s">
        <v>1167</v>
      </c>
      <c r="C406" s="43" t="s">
        <v>1168</v>
      </c>
      <c r="D406" s="43" t="s">
        <v>1169</v>
      </c>
      <c r="E406" s="3" t="s">
        <v>54</v>
      </c>
      <c r="F406" s="3"/>
      <c r="G406" s="3" t="s">
        <v>127</v>
      </c>
      <c r="H406" s="4" t="s">
        <v>128</v>
      </c>
      <c r="I406" s="5" t="n">
        <v>4000.0</v>
      </c>
      <c r="J406" s="6"/>
      <c r="K406" s="7" t="s">
        <v>57</v>
      </c>
      <c r="L406" s="6"/>
      <c r="M406" s="7" t="s">
        <v>57</v>
      </c>
      <c r="N406" s="6" t="s">
        <v>411</v>
      </c>
      <c r="O406" s="7" t="s">
        <v>1170</v>
      </c>
      <c r="P406" s="6"/>
      <c r="Q406" s="7" t="s">
        <v>57</v>
      </c>
      <c r="R406" s="6" t="s">
        <v>411</v>
      </c>
      <c r="S406" s="7" t="s">
        <v>1170</v>
      </c>
      <c r="T406" s="6"/>
      <c r="U406" s="7" t="s">
        <v>57</v>
      </c>
      <c r="V406" s="8" t="str">
        <f>"－"</f>
        <v>－</v>
      </c>
      <c r="W406" s="9" t="n">
        <f>39</f>
        <v>39.0</v>
      </c>
      <c r="X406" s="9" t="n">
        <v>39.0</v>
      </c>
      <c r="Y406" s="9" t="n">
        <f>218400</f>
        <v>218400.0</v>
      </c>
      <c r="Z406" s="9" t="n">
        <v>218400.0</v>
      </c>
      <c r="AA406" s="9" t="str">
        <f>"－"</f>
        <v>－</v>
      </c>
      <c r="AB406" s="6" t="s">
        <v>58</v>
      </c>
      <c r="AC406" s="10" t="n">
        <f>39</f>
        <v>39.0</v>
      </c>
      <c r="AD406" s="9" t="str">
        <f>"－"</f>
        <v>－</v>
      </c>
    </row>
    <row r="407">
      <c r="A407" s="3" t="s">
        <v>50</v>
      </c>
      <c r="B407" s="3" t="s">
        <v>1167</v>
      </c>
      <c r="C407" s="43" t="s">
        <v>1168</v>
      </c>
      <c r="D407" s="43" t="s">
        <v>1169</v>
      </c>
      <c r="E407" s="3" t="s">
        <v>104</v>
      </c>
      <c r="F407" s="3"/>
      <c r="G407" s="3" t="s">
        <v>63</v>
      </c>
      <c r="H407" s="4" t="s">
        <v>1171</v>
      </c>
      <c r="I407" s="5" t="n">
        <v>4200.0</v>
      </c>
      <c r="J407" s="6"/>
      <c r="K407" s="7" t="s">
        <v>57</v>
      </c>
      <c r="L407" s="6"/>
      <c r="M407" s="7" t="s">
        <v>57</v>
      </c>
      <c r="N407" s="6" t="s">
        <v>165</v>
      </c>
      <c r="O407" s="7" t="s">
        <v>1172</v>
      </c>
      <c r="P407" s="6"/>
      <c r="Q407" s="7" t="s">
        <v>57</v>
      </c>
      <c r="R407" s="6" t="s">
        <v>165</v>
      </c>
      <c r="S407" s="7" t="s">
        <v>1173</v>
      </c>
      <c r="T407" s="6"/>
      <c r="U407" s="7" t="s">
        <v>57</v>
      </c>
      <c r="V407" s="8" t="str">
        <f>"－"</f>
        <v>－</v>
      </c>
      <c r="W407" s="9" t="n">
        <f>2367</f>
        <v>2367.0</v>
      </c>
      <c r="X407" s="9" t="n">
        <v>2367.0</v>
      </c>
      <c r="Y407" s="9" t="n">
        <f>40568110</f>
        <v>4.056811E7</v>
      </c>
      <c r="Z407" s="9" t="n">
        <v>4.056811E7</v>
      </c>
      <c r="AA407" s="9" t="str">
        <f>"－"</f>
        <v>－</v>
      </c>
      <c r="AB407" s="6" t="s">
        <v>58</v>
      </c>
      <c r="AC407" s="10" t="n">
        <f>2367</f>
        <v>2367.0</v>
      </c>
      <c r="AD407" s="9" t="str">
        <f>"－"</f>
        <v>－</v>
      </c>
    </row>
    <row r="408">
      <c r="A408" s="3" t="s">
        <v>50</v>
      </c>
      <c r="B408" s="3" t="s">
        <v>1174</v>
      </c>
      <c r="C408" s="43" t="s">
        <v>1175</v>
      </c>
      <c r="D408" s="43" t="s">
        <v>1176</v>
      </c>
      <c r="E408" s="3" t="s">
        <v>104</v>
      </c>
      <c r="F408" s="3"/>
      <c r="G408" s="3" t="s">
        <v>84</v>
      </c>
      <c r="H408" s="4" t="s">
        <v>85</v>
      </c>
      <c r="I408" s="5" t="n">
        <v>4200.0</v>
      </c>
      <c r="J408" s="6" t="s">
        <v>365</v>
      </c>
      <c r="K408" s="7" t="s">
        <v>1177</v>
      </c>
      <c r="L408" s="6" t="s">
        <v>365</v>
      </c>
      <c r="M408" s="7" t="s">
        <v>1177</v>
      </c>
      <c r="N408" s="6"/>
      <c r="O408" s="7"/>
      <c r="P408" s="6" t="s">
        <v>794</v>
      </c>
      <c r="Q408" s="7" t="s">
        <v>483</v>
      </c>
      <c r="R408" s="6"/>
      <c r="S408" s="7"/>
      <c r="T408" s="6" t="s">
        <v>794</v>
      </c>
      <c r="U408" s="7" t="s">
        <v>483</v>
      </c>
      <c r="V408" s="8" t="n">
        <f>70.75</f>
        <v>70.75</v>
      </c>
      <c r="W408" s="9" t="n">
        <f>6</f>
        <v>6.0</v>
      </c>
      <c r="X408" s="9"/>
      <c r="Y408" s="9" t="n">
        <f>42450</f>
        <v>42450.0</v>
      </c>
      <c r="Z408" s="9"/>
      <c r="AA408" s="9" t="n">
        <f>3</f>
        <v>3.0</v>
      </c>
      <c r="AB408" s="6" t="s">
        <v>58</v>
      </c>
      <c r="AC408" s="10" t="str">
        <f>"－"</f>
        <v>－</v>
      </c>
      <c r="AD408" s="9" t="n">
        <f>2</f>
        <v>2.0</v>
      </c>
    </row>
    <row r="409">
      <c r="A409" s="3" t="s">
        <v>50</v>
      </c>
      <c r="B409" s="3" t="s">
        <v>1174</v>
      </c>
      <c r="C409" s="43" t="s">
        <v>1175</v>
      </c>
      <c r="D409" s="43" t="s">
        <v>1176</v>
      </c>
      <c r="E409" s="3" t="s">
        <v>104</v>
      </c>
      <c r="F409" s="3"/>
      <c r="G409" s="3" t="s">
        <v>127</v>
      </c>
      <c r="H409" s="4" t="s">
        <v>822</v>
      </c>
      <c r="I409" s="5" t="n">
        <v>4400.0</v>
      </c>
      <c r="J409" s="6" t="s">
        <v>620</v>
      </c>
      <c r="K409" s="7" t="s">
        <v>541</v>
      </c>
      <c r="L409" s="6" t="s">
        <v>620</v>
      </c>
      <c r="M409" s="7" t="s">
        <v>541</v>
      </c>
      <c r="N409" s="6"/>
      <c r="O409" s="7"/>
      <c r="P409" s="6" t="s">
        <v>620</v>
      </c>
      <c r="Q409" s="7" t="s">
        <v>541</v>
      </c>
      <c r="R409" s="6"/>
      <c r="S409" s="7"/>
      <c r="T409" s="6" t="s">
        <v>620</v>
      </c>
      <c r="U409" s="7" t="s">
        <v>541</v>
      </c>
      <c r="V409" s="8" t="n">
        <f>51</f>
        <v>51.0</v>
      </c>
      <c r="W409" s="9" t="n">
        <f>10</f>
        <v>10.0</v>
      </c>
      <c r="X409" s="9"/>
      <c r="Y409" s="9" t="n">
        <f>51000</f>
        <v>51000.0</v>
      </c>
      <c r="Z409" s="9"/>
      <c r="AA409" s="9" t="n">
        <f>10</f>
        <v>10.0</v>
      </c>
      <c r="AB409" s="6" t="s">
        <v>58</v>
      </c>
      <c r="AC409" s="10" t="str">
        <f>"－"</f>
        <v>－</v>
      </c>
      <c r="AD409" s="9" t="n">
        <f>1</f>
        <v>1.0</v>
      </c>
    </row>
    <row r="410">
      <c r="A410" s="3" t="s">
        <v>50</v>
      </c>
      <c r="B410" s="3" t="s">
        <v>1178</v>
      </c>
      <c r="C410" s="43" t="s">
        <v>1179</v>
      </c>
      <c r="D410" s="43" t="s">
        <v>1180</v>
      </c>
      <c r="E410" s="3" t="s">
        <v>54</v>
      </c>
      <c r="F410" s="3"/>
      <c r="G410" s="3" t="s">
        <v>55</v>
      </c>
      <c r="H410" s="4" t="s">
        <v>56</v>
      </c>
      <c r="I410" s="5" t="n">
        <v>225.0</v>
      </c>
      <c r="J410" s="6"/>
      <c r="K410" s="7" t="s">
        <v>57</v>
      </c>
      <c r="L410" s="6"/>
      <c r="M410" s="7" t="s">
        <v>57</v>
      </c>
      <c r="N410" s="6"/>
      <c r="O410" s="7"/>
      <c r="P410" s="6"/>
      <c r="Q410" s="7" t="s">
        <v>57</v>
      </c>
      <c r="R410" s="6"/>
      <c r="S410" s="7"/>
      <c r="T410" s="6"/>
      <c r="U410" s="7" t="s">
        <v>57</v>
      </c>
      <c r="V410" s="8" t="str">
        <f>"－"</f>
        <v>－</v>
      </c>
      <c r="W410" s="9" t="str">
        <f>"－"</f>
        <v>－</v>
      </c>
      <c r="X410" s="9"/>
      <c r="Y410" s="9" t="str">
        <f>"－"</f>
        <v>－</v>
      </c>
      <c r="Z410" s="9"/>
      <c r="AA410" s="9" t="str">
        <f>"－"</f>
        <v>－</v>
      </c>
      <c r="AB410" s="6" t="s">
        <v>58</v>
      </c>
      <c r="AC410" s="10" t="n">
        <f>50</f>
        <v>50.0</v>
      </c>
      <c r="AD410" s="9" t="str">
        <f>"－"</f>
        <v>－</v>
      </c>
    </row>
    <row r="411">
      <c r="A411" s="3" t="s">
        <v>50</v>
      </c>
      <c r="B411" s="3" t="s">
        <v>1178</v>
      </c>
      <c r="C411" s="43" t="s">
        <v>1179</v>
      </c>
      <c r="D411" s="43" t="s">
        <v>1180</v>
      </c>
      <c r="E411" s="3" t="s">
        <v>54</v>
      </c>
      <c r="F411" s="3"/>
      <c r="G411" s="3" t="s">
        <v>63</v>
      </c>
      <c r="H411" s="4" t="s">
        <v>64</v>
      </c>
      <c r="I411" s="5" t="n">
        <v>250.0</v>
      </c>
      <c r="J411" s="6" t="s">
        <v>147</v>
      </c>
      <c r="K411" s="7" t="s">
        <v>79</v>
      </c>
      <c r="L411" s="6" t="s">
        <v>147</v>
      </c>
      <c r="M411" s="7" t="s">
        <v>79</v>
      </c>
      <c r="N411" s="6"/>
      <c r="O411" s="7"/>
      <c r="P411" s="6" t="s">
        <v>147</v>
      </c>
      <c r="Q411" s="7" t="s">
        <v>79</v>
      </c>
      <c r="R411" s="6"/>
      <c r="S411" s="7"/>
      <c r="T411" s="6" t="s">
        <v>147</v>
      </c>
      <c r="U411" s="7" t="s">
        <v>79</v>
      </c>
      <c r="V411" s="8" t="n">
        <f>7</f>
        <v>7.0</v>
      </c>
      <c r="W411" s="9" t="n">
        <f>100</f>
        <v>100.0</v>
      </c>
      <c r="X411" s="9"/>
      <c r="Y411" s="9" t="n">
        <f>70000</f>
        <v>70000.0</v>
      </c>
      <c r="Z411" s="9"/>
      <c r="AA411" s="9" t="n">
        <f>100</f>
        <v>100.0</v>
      </c>
      <c r="AB411" s="6" t="s">
        <v>58</v>
      </c>
      <c r="AC411" s="10" t="str">
        <f>"－"</f>
        <v>－</v>
      </c>
      <c r="AD411" s="9" t="n">
        <f>1</f>
        <v>1.0</v>
      </c>
    </row>
    <row r="412">
      <c r="A412" s="3" t="s">
        <v>50</v>
      </c>
      <c r="B412" s="3" t="s">
        <v>1178</v>
      </c>
      <c r="C412" s="43" t="s">
        <v>1179</v>
      </c>
      <c r="D412" s="43" t="s">
        <v>1180</v>
      </c>
      <c r="E412" s="3" t="s">
        <v>104</v>
      </c>
      <c r="F412" s="3"/>
      <c r="G412" s="3" t="s">
        <v>55</v>
      </c>
      <c r="H412" s="4" t="s">
        <v>56</v>
      </c>
      <c r="I412" s="5" t="n">
        <v>250.0</v>
      </c>
      <c r="J412" s="6" t="s">
        <v>473</v>
      </c>
      <c r="K412" s="7" t="s">
        <v>696</v>
      </c>
      <c r="L412" s="6" t="s">
        <v>473</v>
      </c>
      <c r="M412" s="7" t="s">
        <v>696</v>
      </c>
      <c r="N412" s="6"/>
      <c r="O412" s="7"/>
      <c r="P412" s="6" t="s">
        <v>473</v>
      </c>
      <c r="Q412" s="7" t="s">
        <v>696</v>
      </c>
      <c r="R412" s="6"/>
      <c r="S412" s="7"/>
      <c r="T412" s="6" t="s">
        <v>473</v>
      </c>
      <c r="U412" s="7" t="s">
        <v>696</v>
      </c>
      <c r="V412" s="8" t="n">
        <f>1</f>
        <v>1.0</v>
      </c>
      <c r="W412" s="9" t="n">
        <f>60</f>
        <v>60.0</v>
      </c>
      <c r="X412" s="9"/>
      <c r="Y412" s="9" t="n">
        <f>6000</f>
        <v>6000.0</v>
      </c>
      <c r="Z412" s="9"/>
      <c r="AA412" s="9" t="n">
        <f>60</f>
        <v>60.0</v>
      </c>
      <c r="AB412" s="6" t="s">
        <v>58</v>
      </c>
      <c r="AC412" s="10" t="str">
        <f>"－"</f>
        <v>－</v>
      </c>
      <c r="AD412" s="9" t="n">
        <f>1</f>
        <v>1.0</v>
      </c>
    </row>
    <row r="413">
      <c r="A413" s="3" t="s">
        <v>50</v>
      </c>
      <c r="B413" s="3" t="s">
        <v>1178</v>
      </c>
      <c r="C413" s="43" t="s">
        <v>1179</v>
      </c>
      <c r="D413" s="43" t="s">
        <v>1180</v>
      </c>
      <c r="E413" s="3" t="s">
        <v>104</v>
      </c>
      <c r="F413" s="3"/>
      <c r="G413" s="3" t="s">
        <v>63</v>
      </c>
      <c r="H413" s="4" t="s">
        <v>64</v>
      </c>
      <c r="I413" s="5" t="n">
        <v>250.0</v>
      </c>
      <c r="J413" s="6" t="s">
        <v>147</v>
      </c>
      <c r="K413" s="7" t="s">
        <v>699</v>
      </c>
      <c r="L413" s="6" t="s">
        <v>147</v>
      </c>
      <c r="M413" s="7" t="s">
        <v>699</v>
      </c>
      <c r="N413" s="6"/>
      <c r="O413" s="7"/>
      <c r="P413" s="6" t="s">
        <v>147</v>
      </c>
      <c r="Q413" s="7" t="s">
        <v>699</v>
      </c>
      <c r="R413" s="6"/>
      <c r="S413" s="7"/>
      <c r="T413" s="6" t="s">
        <v>147</v>
      </c>
      <c r="U413" s="7" t="s">
        <v>699</v>
      </c>
      <c r="V413" s="8" t="n">
        <f>2</f>
        <v>2.0</v>
      </c>
      <c r="W413" s="9" t="n">
        <f>50</f>
        <v>50.0</v>
      </c>
      <c r="X413" s="9"/>
      <c r="Y413" s="9" t="n">
        <f>10000</f>
        <v>10000.0</v>
      </c>
      <c r="Z413" s="9"/>
      <c r="AA413" s="9" t="str">
        <f>"－"</f>
        <v>－</v>
      </c>
      <c r="AB413" s="6" t="s">
        <v>58</v>
      </c>
      <c r="AC413" s="10" t="n">
        <f>50</f>
        <v>50.0</v>
      </c>
      <c r="AD413" s="9" t="n">
        <f>1</f>
        <v>1.0</v>
      </c>
    </row>
    <row r="414">
      <c r="A414" s="3" t="s">
        <v>50</v>
      </c>
      <c r="B414" s="3" t="s">
        <v>1178</v>
      </c>
      <c r="C414" s="43" t="s">
        <v>1179</v>
      </c>
      <c r="D414" s="43" t="s">
        <v>1180</v>
      </c>
      <c r="E414" s="3" t="s">
        <v>104</v>
      </c>
      <c r="F414" s="3"/>
      <c r="G414" s="3" t="s">
        <v>116</v>
      </c>
      <c r="H414" s="4" t="s">
        <v>117</v>
      </c>
      <c r="I414" s="5" t="n">
        <v>250.0</v>
      </c>
      <c r="J414" s="6" t="s">
        <v>266</v>
      </c>
      <c r="K414" s="7" t="s">
        <v>1181</v>
      </c>
      <c r="L414" s="6" t="s">
        <v>114</v>
      </c>
      <c r="M414" s="7" t="s">
        <v>1182</v>
      </c>
      <c r="N414" s="6"/>
      <c r="O414" s="7"/>
      <c r="P414" s="6" t="s">
        <v>266</v>
      </c>
      <c r="Q414" s="7" t="s">
        <v>1181</v>
      </c>
      <c r="R414" s="6"/>
      <c r="S414" s="7"/>
      <c r="T414" s="6" t="s">
        <v>114</v>
      </c>
      <c r="U414" s="7" t="s">
        <v>1182</v>
      </c>
      <c r="V414" s="8" t="n">
        <f>1.55</f>
        <v>1.55</v>
      </c>
      <c r="W414" s="9" t="n">
        <f>150</f>
        <v>150.0</v>
      </c>
      <c r="X414" s="9"/>
      <c r="Y414" s="9" t="n">
        <f>27500</f>
        <v>27500.0</v>
      </c>
      <c r="Z414" s="9"/>
      <c r="AA414" s="9" t="str">
        <f>"－"</f>
        <v>－</v>
      </c>
      <c r="AB414" s="6" t="s">
        <v>58</v>
      </c>
      <c r="AC414" s="10" t="n">
        <f>150</f>
        <v>150.0</v>
      </c>
      <c r="AD414" s="9" t="n">
        <f>2</f>
        <v>2.0</v>
      </c>
    </row>
    <row r="415">
      <c r="A415" s="3" t="s">
        <v>50</v>
      </c>
      <c r="B415" s="3" t="s">
        <v>1183</v>
      </c>
      <c r="C415" s="43" t="s">
        <v>1184</v>
      </c>
      <c r="D415" s="43" t="s">
        <v>1185</v>
      </c>
      <c r="E415" s="3" t="s">
        <v>54</v>
      </c>
      <c r="F415" s="3"/>
      <c r="G415" s="3" t="s">
        <v>294</v>
      </c>
      <c r="H415" s="4" t="s">
        <v>295</v>
      </c>
      <c r="I415" s="5" t="n">
        <v>1500.0</v>
      </c>
      <c r="J415" s="6" t="s">
        <v>563</v>
      </c>
      <c r="K415" s="7" t="s">
        <v>1186</v>
      </c>
      <c r="L415" s="6" t="s">
        <v>563</v>
      </c>
      <c r="M415" s="7" t="s">
        <v>1186</v>
      </c>
      <c r="N415" s="6"/>
      <c r="O415" s="7"/>
      <c r="P415" s="6" t="s">
        <v>563</v>
      </c>
      <c r="Q415" s="7" t="s">
        <v>1186</v>
      </c>
      <c r="R415" s="6"/>
      <c r="S415" s="7"/>
      <c r="T415" s="6" t="s">
        <v>563</v>
      </c>
      <c r="U415" s="7" t="s">
        <v>1186</v>
      </c>
      <c r="V415" s="8" t="n">
        <f>33.6</f>
        <v>33.6</v>
      </c>
      <c r="W415" s="9" t="n">
        <f>1</f>
        <v>1.0</v>
      </c>
      <c r="X415" s="9"/>
      <c r="Y415" s="9" t="n">
        <f>3360</f>
        <v>3360.0</v>
      </c>
      <c r="Z415" s="9"/>
      <c r="AA415" s="9" t="str">
        <f>"－"</f>
        <v>－</v>
      </c>
      <c r="AB415" s="6" t="s">
        <v>58</v>
      </c>
      <c r="AC415" s="10" t="n">
        <f>1</f>
        <v>1.0</v>
      </c>
      <c r="AD415" s="9" t="n">
        <f>1</f>
        <v>1.0</v>
      </c>
    </row>
    <row r="416">
      <c r="A416" s="3" t="s">
        <v>50</v>
      </c>
      <c r="B416" s="3" t="s">
        <v>1183</v>
      </c>
      <c r="C416" s="43" t="s">
        <v>1184</v>
      </c>
      <c r="D416" s="43" t="s">
        <v>1185</v>
      </c>
      <c r="E416" s="3" t="s">
        <v>54</v>
      </c>
      <c r="F416" s="3"/>
      <c r="G416" s="3" t="s">
        <v>88</v>
      </c>
      <c r="H416" s="4" t="s">
        <v>89</v>
      </c>
      <c r="I416" s="5" t="n">
        <v>1600.0</v>
      </c>
      <c r="J416" s="6" t="s">
        <v>592</v>
      </c>
      <c r="K416" s="7" t="s">
        <v>1187</v>
      </c>
      <c r="L416" s="6" t="s">
        <v>592</v>
      </c>
      <c r="M416" s="7" t="s">
        <v>1187</v>
      </c>
      <c r="N416" s="6"/>
      <c r="O416" s="7"/>
      <c r="P416" s="6" t="s">
        <v>592</v>
      </c>
      <c r="Q416" s="7" t="s">
        <v>1187</v>
      </c>
      <c r="R416" s="6"/>
      <c r="S416" s="7"/>
      <c r="T416" s="6" t="s">
        <v>592</v>
      </c>
      <c r="U416" s="7" t="s">
        <v>1187</v>
      </c>
      <c r="V416" s="8" t="n">
        <f>27.5</f>
        <v>27.5</v>
      </c>
      <c r="W416" s="9" t="n">
        <f>1</f>
        <v>1.0</v>
      </c>
      <c r="X416" s="9"/>
      <c r="Y416" s="9" t="n">
        <f>2750</f>
        <v>2750.0</v>
      </c>
      <c r="Z416" s="9"/>
      <c r="AA416" s="9" t="str">
        <f>"－"</f>
        <v>－</v>
      </c>
      <c r="AB416" s="6" t="s">
        <v>58</v>
      </c>
      <c r="AC416" s="10" t="n">
        <f>1</f>
        <v>1.0</v>
      </c>
      <c r="AD416" s="9" t="n">
        <f>1</f>
        <v>1.0</v>
      </c>
    </row>
    <row r="417">
      <c r="A417" s="3" t="s">
        <v>50</v>
      </c>
      <c r="B417" s="3" t="s">
        <v>1183</v>
      </c>
      <c r="C417" s="43" t="s">
        <v>1184</v>
      </c>
      <c r="D417" s="43" t="s">
        <v>1185</v>
      </c>
      <c r="E417" s="3" t="s">
        <v>54</v>
      </c>
      <c r="F417" s="3"/>
      <c r="G417" s="3" t="s">
        <v>127</v>
      </c>
      <c r="H417" s="4" t="s">
        <v>128</v>
      </c>
      <c r="I417" s="5" t="n">
        <v>1700.0</v>
      </c>
      <c r="J417" s="6" t="s">
        <v>628</v>
      </c>
      <c r="K417" s="7" t="s">
        <v>1188</v>
      </c>
      <c r="L417" s="6" t="s">
        <v>628</v>
      </c>
      <c r="M417" s="7" t="s">
        <v>1188</v>
      </c>
      <c r="N417" s="6"/>
      <c r="O417" s="7"/>
      <c r="P417" s="6" t="s">
        <v>628</v>
      </c>
      <c r="Q417" s="7" t="s">
        <v>1188</v>
      </c>
      <c r="R417" s="6"/>
      <c r="S417" s="7"/>
      <c r="T417" s="6" t="s">
        <v>628</v>
      </c>
      <c r="U417" s="7" t="s">
        <v>1188</v>
      </c>
      <c r="V417" s="8" t="n">
        <f>14.9</f>
        <v>14.9</v>
      </c>
      <c r="W417" s="9" t="n">
        <f>1</f>
        <v>1.0</v>
      </c>
      <c r="X417" s="9"/>
      <c r="Y417" s="9" t="n">
        <f>1490</f>
        <v>1490.0</v>
      </c>
      <c r="Z417" s="9"/>
      <c r="AA417" s="9" t="n">
        <f>1</f>
        <v>1.0</v>
      </c>
      <c r="AB417" s="6" t="s">
        <v>58</v>
      </c>
      <c r="AC417" s="10" t="str">
        <f>"－"</f>
        <v>－</v>
      </c>
      <c r="AD417" s="9" t="n">
        <f>1</f>
        <v>1.0</v>
      </c>
    </row>
    <row r="418">
      <c r="A418" s="3" t="s">
        <v>50</v>
      </c>
      <c r="B418" s="3" t="s">
        <v>1183</v>
      </c>
      <c r="C418" s="43" t="s">
        <v>1184</v>
      </c>
      <c r="D418" s="43" t="s">
        <v>1185</v>
      </c>
      <c r="E418" s="3" t="s">
        <v>104</v>
      </c>
      <c r="F418" s="3"/>
      <c r="G418" s="3" t="s">
        <v>127</v>
      </c>
      <c r="H418" s="4" t="s">
        <v>128</v>
      </c>
      <c r="I418" s="5" t="n">
        <v>1700.0</v>
      </c>
      <c r="J418" s="6" t="s">
        <v>408</v>
      </c>
      <c r="K418" s="7" t="s">
        <v>91</v>
      </c>
      <c r="L418" s="6" t="s">
        <v>408</v>
      </c>
      <c r="M418" s="7" t="s">
        <v>91</v>
      </c>
      <c r="N418" s="6"/>
      <c r="O418" s="7"/>
      <c r="P418" s="6" t="s">
        <v>1162</v>
      </c>
      <c r="Q418" s="7" t="s">
        <v>206</v>
      </c>
      <c r="R418" s="6"/>
      <c r="S418" s="7"/>
      <c r="T418" s="6" t="s">
        <v>1162</v>
      </c>
      <c r="U418" s="7" t="s">
        <v>206</v>
      </c>
      <c r="V418" s="8" t="n">
        <f>6</f>
        <v>6.0</v>
      </c>
      <c r="W418" s="9" t="n">
        <f>40</f>
        <v>40.0</v>
      </c>
      <c r="X418" s="9"/>
      <c r="Y418" s="9" t="n">
        <f>24000</f>
        <v>24000.0</v>
      </c>
      <c r="Z418" s="9"/>
      <c r="AA418" s="9" t="str">
        <f>"－"</f>
        <v>－</v>
      </c>
      <c r="AB418" s="6" t="s">
        <v>58</v>
      </c>
      <c r="AC418" s="10" t="str">
        <f>"－"</f>
        <v>－</v>
      </c>
      <c r="AD418" s="9" t="n">
        <f>2</f>
        <v>2.0</v>
      </c>
    </row>
    <row r="419">
      <c r="A419" s="3" t="s">
        <v>50</v>
      </c>
      <c r="B419" s="3" t="s">
        <v>1183</v>
      </c>
      <c r="C419" s="43" t="s">
        <v>1184</v>
      </c>
      <c r="D419" s="43" t="s">
        <v>1185</v>
      </c>
      <c r="E419" s="3" t="s">
        <v>104</v>
      </c>
      <c r="F419" s="3"/>
      <c r="G419" s="3" t="s">
        <v>100</v>
      </c>
      <c r="H419" s="4" t="s">
        <v>101</v>
      </c>
      <c r="I419" s="5" t="n">
        <v>1700.0</v>
      </c>
      <c r="J419" s="6" t="s">
        <v>1162</v>
      </c>
      <c r="K419" s="7" t="s">
        <v>1189</v>
      </c>
      <c r="L419" s="6" t="s">
        <v>1162</v>
      </c>
      <c r="M419" s="7" t="s">
        <v>1189</v>
      </c>
      <c r="N419" s="6"/>
      <c r="O419" s="7"/>
      <c r="P419" s="6" t="s">
        <v>1162</v>
      </c>
      <c r="Q419" s="7" t="s">
        <v>1189</v>
      </c>
      <c r="R419" s="6"/>
      <c r="S419" s="7"/>
      <c r="T419" s="6" t="s">
        <v>1162</v>
      </c>
      <c r="U419" s="7" t="s">
        <v>1189</v>
      </c>
      <c r="V419" s="8" t="n">
        <f>24</f>
        <v>24.0</v>
      </c>
      <c r="W419" s="9" t="n">
        <f>20</f>
        <v>20.0</v>
      </c>
      <c r="X419" s="9"/>
      <c r="Y419" s="9" t="n">
        <f>48000</f>
        <v>48000.0</v>
      </c>
      <c r="Z419" s="9"/>
      <c r="AA419" s="9" t="str">
        <f>"－"</f>
        <v>－</v>
      </c>
      <c r="AB419" s="6"/>
      <c r="AC419" s="10" t="n">
        <f>20</f>
        <v>20.0</v>
      </c>
      <c r="AD419" s="9" t="n">
        <f>1</f>
        <v>1.0</v>
      </c>
    </row>
    <row r="420">
      <c r="A420" s="3" t="s">
        <v>50</v>
      </c>
      <c r="B420" s="3" t="s">
        <v>1183</v>
      </c>
      <c r="C420" s="43" t="s">
        <v>1184</v>
      </c>
      <c r="D420" s="43" t="s">
        <v>1185</v>
      </c>
      <c r="E420" s="3" t="s">
        <v>104</v>
      </c>
      <c r="F420" s="3"/>
      <c r="G420" s="3" t="s">
        <v>100</v>
      </c>
      <c r="H420" s="4" t="s">
        <v>101</v>
      </c>
      <c r="I420" s="5" t="n">
        <v>1800.0</v>
      </c>
      <c r="J420" s="6" t="s">
        <v>647</v>
      </c>
      <c r="K420" s="7" t="s">
        <v>1190</v>
      </c>
      <c r="L420" s="6" t="s">
        <v>647</v>
      </c>
      <c r="M420" s="7" t="s">
        <v>1190</v>
      </c>
      <c r="N420" s="6"/>
      <c r="O420" s="7"/>
      <c r="P420" s="6" t="s">
        <v>647</v>
      </c>
      <c r="Q420" s="7" t="s">
        <v>1190</v>
      </c>
      <c r="R420" s="6"/>
      <c r="S420" s="7"/>
      <c r="T420" s="6" t="s">
        <v>647</v>
      </c>
      <c r="U420" s="7" t="s">
        <v>1190</v>
      </c>
      <c r="V420" s="8" t="n">
        <f>5.3</f>
        <v>5.3</v>
      </c>
      <c r="W420" s="9" t="n">
        <f>1</f>
        <v>1.0</v>
      </c>
      <c r="X420" s="9"/>
      <c r="Y420" s="9" t="n">
        <f>530</f>
        <v>530.0</v>
      </c>
      <c r="Z420" s="9"/>
      <c r="AA420" s="9" t="str">
        <f>"－"</f>
        <v>－</v>
      </c>
      <c r="AB420" s="6"/>
      <c r="AC420" s="10" t="n">
        <f>1</f>
        <v>1.0</v>
      </c>
      <c r="AD420" s="9" t="n">
        <f>1</f>
        <v>1.0</v>
      </c>
    </row>
    <row r="421">
      <c r="A421" s="3" t="s">
        <v>50</v>
      </c>
      <c r="B421" s="3" t="s">
        <v>1191</v>
      </c>
      <c r="C421" s="43" t="s">
        <v>1192</v>
      </c>
      <c r="D421" s="43" t="s">
        <v>1193</v>
      </c>
      <c r="E421" s="3" t="s">
        <v>104</v>
      </c>
      <c r="F421" s="3"/>
      <c r="G421" s="3" t="s">
        <v>127</v>
      </c>
      <c r="H421" s="4" t="s">
        <v>128</v>
      </c>
      <c r="I421" s="5" t="n">
        <v>500.0</v>
      </c>
      <c r="J421" s="6" t="s">
        <v>1194</v>
      </c>
      <c r="K421" s="7" t="s">
        <v>79</v>
      </c>
      <c r="L421" s="6" t="s">
        <v>1194</v>
      </c>
      <c r="M421" s="7" t="s">
        <v>79</v>
      </c>
      <c r="N421" s="6"/>
      <c r="O421" s="7"/>
      <c r="P421" s="6" t="s">
        <v>1194</v>
      </c>
      <c r="Q421" s="7" t="s">
        <v>79</v>
      </c>
      <c r="R421" s="6"/>
      <c r="S421" s="7"/>
      <c r="T421" s="6" t="s">
        <v>1194</v>
      </c>
      <c r="U421" s="7" t="s">
        <v>79</v>
      </c>
      <c r="V421" s="8" t="n">
        <f>7</f>
        <v>7.0</v>
      </c>
      <c r="W421" s="9" t="n">
        <f>100</f>
        <v>100.0</v>
      </c>
      <c r="X421" s="9"/>
      <c r="Y421" s="9" t="n">
        <f>70000</f>
        <v>70000.0</v>
      </c>
      <c r="Z421" s="9"/>
      <c r="AA421" s="9" t="str">
        <f>"－"</f>
        <v>－</v>
      </c>
      <c r="AB421" s="6" t="s">
        <v>58</v>
      </c>
      <c r="AC421" s="10" t="n">
        <f>100</f>
        <v>100.0</v>
      </c>
      <c r="AD421" s="9" t="n">
        <f>1</f>
        <v>1.0</v>
      </c>
    </row>
    <row r="422">
      <c r="A422" s="3" t="s">
        <v>50</v>
      </c>
      <c r="B422" s="3" t="s">
        <v>1195</v>
      </c>
      <c r="C422" s="43" t="s">
        <v>1196</v>
      </c>
      <c r="D422" s="43" t="s">
        <v>1197</v>
      </c>
      <c r="E422" s="3" t="s">
        <v>104</v>
      </c>
      <c r="F422" s="3"/>
      <c r="G422" s="3" t="s">
        <v>679</v>
      </c>
      <c r="H422" s="4" t="s">
        <v>1198</v>
      </c>
      <c r="I422" s="5" t="n">
        <v>1100.0</v>
      </c>
      <c r="J422" s="6"/>
      <c r="K422" s="7" t="s">
        <v>57</v>
      </c>
      <c r="L422" s="6"/>
      <c r="M422" s="7" t="s">
        <v>57</v>
      </c>
      <c r="N422" s="6" t="s">
        <v>431</v>
      </c>
      <c r="O422" s="7" t="s">
        <v>1199</v>
      </c>
      <c r="P422" s="6"/>
      <c r="Q422" s="7" t="s">
        <v>57</v>
      </c>
      <c r="R422" s="6" t="s">
        <v>431</v>
      </c>
      <c r="S422" s="7" t="s">
        <v>1199</v>
      </c>
      <c r="T422" s="6"/>
      <c r="U422" s="7" t="s">
        <v>57</v>
      </c>
      <c r="V422" s="8" t="str">
        <f>"－"</f>
        <v>－</v>
      </c>
      <c r="W422" s="9" t="n">
        <f>150</f>
        <v>150.0</v>
      </c>
      <c r="X422" s="9" t="n">
        <v>150.0</v>
      </c>
      <c r="Y422" s="9" t="n">
        <f>7156500</f>
        <v>7156500.0</v>
      </c>
      <c r="Z422" s="9" t="n">
        <v>7156500.0</v>
      </c>
      <c r="AA422" s="9" t="str">
        <f>"－"</f>
        <v>－</v>
      </c>
      <c r="AB422" s="6"/>
      <c r="AC422" s="10" t="n">
        <f>150</f>
        <v>150.0</v>
      </c>
      <c r="AD422" s="9" t="str">
        <f>"－"</f>
        <v>－</v>
      </c>
    </row>
    <row r="423">
      <c r="A423" s="3" t="s">
        <v>50</v>
      </c>
      <c r="B423" s="3" t="s">
        <v>1200</v>
      </c>
      <c r="C423" s="43" t="s">
        <v>1201</v>
      </c>
      <c r="D423" s="43" t="s">
        <v>1202</v>
      </c>
      <c r="E423" s="3" t="s">
        <v>54</v>
      </c>
      <c r="F423" s="3"/>
      <c r="G423" s="3" t="s">
        <v>84</v>
      </c>
      <c r="H423" s="4" t="s">
        <v>1203</v>
      </c>
      <c r="I423" s="5" t="n">
        <v>1900.0</v>
      </c>
      <c r="J423" s="6" t="s">
        <v>318</v>
      </c>
      <c r="K423" s="7" t="s">
        <v>83</v>
      </c>
      <c r="L423" s="6" t="s">
        <v>318</v>
      </c>
      <c r="M423" s="7" t="s">
        <v>83</v>
      </c>
      <c r="N423" s="6"/>
      <c r="O423" s="7"/>
      <c r="P423" s="6" t="s">
        <v>1204</v>
      </c>
      <c r="Q423" s="7" t="s">
        <v>1161</v>
      </c>
      <c r="R423" s="6"/>
      <c r="S423" s="7"/>
      <c r="T423" s="6" t="s">
        <v>1204</v>
      </c>
      <c r="U423" s="7" t="s">
        <v>1161</v>
      </c>
      <c r="V423" s="8" t="n">
        <f>40.5</f>
        <v>40.5</v>
      </c>
      <c r="W423" s="9" t="n">
        <f>16</f>
        <v>16.0</v>
      </c>
      <c r="X423" s="9"/>
      <c r="Y423" s="9" t="n">
        <f>64800</f>
        <v>64800.0</v>
      </c>
      <c r="Z423" s="9"/>
      <c r="AA423" s="9" t="str">
        <f>"－"</f>
        <v>－</v>
      </c>
      <c r="AB423" s="6" t="s">
        <v>58</v>
      </c>
      <c r="AC423" s="10" t="n">
        <f>8</f>
        <v>8.0</v>
      </c>
      <c r="AD423" s="9" t="n">
        <f>2</f>
        <v>2.0</v>
      </c>
    </row>
    <row r="424">
      <c r="A424" s="3" t="s">
        <v>50</v>
      </c>
      <c r="B424" s="3" t="s">
        <v>1200</v>
      </c>
      <c r="C424" s="43" t="s">
        <v>1201</v>
      </c>
      <c r="D424" s="43" t="s">
        <v>1202</v>
      </c>
      <c r="E424" s="3" t="s">
        <v>54</v>
      </c>
      <c r="F424" s="3"/>
      <c r="G424" s="3" t="s">
        <v>127</v>
      </c>
      <c r="H424" s="4" t="s">
        <v>128</v>
      </c>
      <c r="I424" s="5" t="n">
        <v>1800.0</v>
      </c>
      <c r="J424" s="6" t="s">
        <v>431</v>
      </c>
      <c r="K424" s="7" t="s">
        <v>1108</v>
      </c>
      <c r="L424" s="6" t="s">
        <v>431</v>
      </c>
      <c r="M424" s="7" t="s">
        <v>1108</v>
      </c>
      <c r="N424" s="6"/>
      <c r="O424" s="7"/>
      <c r="P424" s="6" t="s">
        <v>431</v>
      </c>
      <c r="Q424" s="7" t="s">
        <v>1108</v>
      </c>
      <c r="R424" s="6"/>
      <c r="S424" s="7"/>
      <c r="T424" s="6" t="s">
        <v>431</v>
      </c>
      <c r="U424" s="7" t="s">
        <v>1108</v>
      </c>
      <c r="V424" s="8" t="n">
        <f>4</f>
        <v>4.0</v>
      </c>
      <c r="W424" s="9" t="n">
        <f>1</f>
        <v>1.0</v>
      </c>
      <c r="X424" s="9"/>
      <c r="Y424" s="9" t="n">
        <f>400</f>
        <v>400.0</v>
      </c>
      <c r="Z424" s="9"/>
      <c r="AA424" s="9" t="str">
        <f>"－"</f>
        <v>－</v>
      </c>
      <c r="AB424" s="6" t="s">
        <v>58</v>
      </c>
      <c r="AC424" s="10" t="n">
        <f>1</f>
        <v>1.0</v>
      </c>
      <c r="AD424" s="9" t="n">
        <f>1</f>
        <v>1.0</v>
      </c>
    </row>
    <row r="425">
      <c r="A425" s="3" t="s">
        <v>50</v>
      </c>
      <c r="B425" s="3" t="s">
        <v>1200</v>
      </c>
      <c r="C425" s="43" t="s">
        <v>1201</v>
      </c>
      <c r="D425" s="43" t="s">
        <v>1202</v>
      </c>
      <c r="E425" s="3" t="s">
        <v>104</v>
      </c>
      <c r="F425" s="3"/>
      <c r="G425" s="3" t="s">
        <v>294</v>
      </c>
      <c r="H425" s="4" t="s">
        <v>295</v>
      </c>
      <c r="I425" s="5" t="n">
        <v>2000.0</v>
      </c>
      <c r="J425" s="6" t="s">
        <v>299</v>
      </c>
      <c r="K425" s="7" t="s">
        <v>1205</v>
      </c>
      <c r="L425" s="6" t="s">
        <v>299</v>
      </c>
      <c r="M425" s="7" t="s">
        <v>1205</v>
      </c>
      <c r="N425" s="6"/>
      <c r="O425" s="7"/>
      <c r="P425" s="6" t="s">
        <v>544</v>
      </c>
      <c r="Q425" s="7" t="s">
        <v>138</v>
      </c>
      <c r="R425" s="6"/>
      <c r="S425" s="7"/>
      <c r="T425" s="6" t="s">
        <v>544</v>
      </c>
      <c r="U425" s="7" t="s">
        <v>138</v>
      </c>
      <c r="V425" s="8" t="n">
        <f>17.85</f>
        <v>17.85</v>
      </c>
      <c r="W425" s="9" t="n">
        <f>20</f>
        <v>20.0</v>
      </c>
      <c r="X425" s="9"/>
      <c r="Y425" s="9" t="n">
        <f>35700</f>
        <v>35700.0</v>
      </c>
      <c r="Z425" s="9"/>
      <c r="AA425" s="9" t="str">
        <f>"－"</f>
        <v>－</v>
      </c>
      <c r="AB425" s="6" t="s">
        <v>58</v>
      </c>
      <c r="AC425" s="10" t="n">
        <f>10</f>
        <v>10.0</v>
      </c>
      <c r="AD425" s="9" t="n">
        <f>2</f>
        <v>2.0</v>
      </c>
    </row>
    <row r="426">
      <c r="A426" s="3" t="s">
        <v>50</v>
      </c>
      <c r="B426" s="3" t="s">
        <v>1200</v>
      </c>
      <c r="C426" s="43" t="s">
        <v>1201</v>
      </c>
      <c r="D426" s="43" t="s">
        <v>1202</v>
      </c>
      <c r="E426" s="3" t="s">
        <v>104</v>
      </c>
      <c r="F426" s="3"/>
      <c r="G426" s="3" t="s">
        <v>80</v>
      </c>
      <c r="H426" s="4" t="s">
        <v>81</v>
      </c>
      <c r="I426" s="5" t="n">
        <v>2000.0</v>
      </c>
      <c r="J426" s="6" t="s">
        <v>305</v>
      </c>
      <c r="K426" s="7" t="s">
        <v>1206</v>
      </c>
      <c r="L426" s="6" t="s">
        <v>1061</v>
      </c>
      <c r="M426" s="7" t="s">
        <v>421</v>
      </c>
      <c r="N426" s="6"/>
      <c r="O426" s="7"/>
      <c r="P426" s="6" t="s">
        <v>305</v>
      </c>
      <c r="Q426" s="7" t="s">
        <v>1206</v>
      </c>
      <c r="R426" s="6"/>
      <c r="S426" s="7"/>
      <c r="T426" s="6" t="s">
        <v>1061</v>
      </c>
      <c r="U426" s="7" t="s">
        <v>421</v>
      </c>
      <c r="V426" s="8" t="n">
        <f>21.6</f>
        <v>21.6</v>
      </c>
      <c r="W426" s="9" t="n">
        <f>36</f>
        <v>36.0</v>
      </c>
      <c r="X426" s="9"/>
      <c r="Y426" s="9" t="n">
        <f>84320</f>
        <v>84320.0</v>
      </c>
      <c r="Z426" s="9"/>
      <c r="AA426" s="9" t="str">
        <f>"－"</f>
        <v>－</v>
      </c>
      <c r="AB426" s="6" t="s">
        <v>58</v>
      </c>
      <c r="AC426" s="10" t="n">
        <f>26</f>
        <v>26.0</v>
      </c>
      <c r="AD426" s="9" t="n">
        <f>2</f>
        <v>2.0</v>
      </c>
    </row>
    <row r="427">
      <c r="A427" s="3" t="s">
        <v>50</v>
      </c>
      <c r="B427" s="3" t="s">
        <v>1200</v>
      </c>
      <c r="C427" s="43" t="s">
        <v>1201</v>
      </c>
      <c r="D427" s="43" t="s">
        <v>1202</v>
      </c>
      <c r="E427" s="3" t="s">
        <v>104</v>
      </c>
      <c r="F427" s="3"/>
      <c r="G427" s="3" t="s">
        <v>127</v>
      </c>
      <c r="H427" s="4" t="s">
        <v>128</v>
      </c>
      <c r="I427" s="5" t="n">
        <v>2000.0</v>
      </c>
      <c r="J427" s="6" t="s">
        <v>399</v>
      </c>
      <c r="K427" s="7" t="s">
        <v>71</v>
      </c>
      <c r="L427" s="6" t="s">
        <v>399</v>
      </c>
      <c r="M427" s="7" t="s">
        <v>71</v>
      </c>
      <c r="N427" s="6"/>
      <c r="O427" s="7"/>
      <c r="P427" s="6" t="s">
        <v>399</v>
      </c>
      <c r="Q427" s="7" t="s">
        <v>71</v>
      </c>
      <c r="R427" s="6"/>
      <c r="S427" s="7"/>
      <c r="T427" s="6" t="s">
        <v>631</v>
      </c>
      <c r="U427" s="7" t="s">
        <v>71</v>
      </c>
      <c r="V427" s="8" t="n">
        <f>10</f>
        <v>10.0</v>
      </c>
      <c r="W427" s="9" t="n">
        <f>20</f>
        <v>20.0</v>
      </c>
      <c r="X427" s="9"/>
      <c r="Y427" s="9" t="n">
        <f>20000</f>
        <v>20000.0</v>
      </c>
      <c r="Z427" s="9"/>
      <c r="AA427" s="9" t="str">
        <f>"－"</f>
        <v>－</v>
      </c>
      <c r="AB427" s="6" t="s">
        <v>58</v>
      </c>
      <c r="AC427" s="10" t="str">
        <f>"－"</f>
        <v>－</v>
      </c>
      <c r="AD427" s="9" t="n">
        <f>2</f>
        <v>2.0</v>
      </c>
    </row>
    <row r="428">
      <c r="A428" s="3" t="s">
        <v>50</v>
      </c>
      <c r="B428" s="3" t="s">
        <v>1200</v>
      </c>
      <c r="C428" s="43" t="s">
        <v>1201</v>
      </c>
      <c r="D428" s="43" t="s">
        <v>1202</v>
      </c>
      <c r="E428" s="3" t="s">
        <v>104</v>
      </c>
      <c r="F428" s="3"/>
      <c r="G428" s="3" t="s">
        <v>100</v>
      </c>
      <c r="H428" s="4" t="s">
        <v>101</v>
      </c>
      <c r="I428" s="5" t="n">
        <v>2000.0</v>
      </c>
      <c r="J428" s="6" t="s">
        <v>633</v>
      </c>
      <c r="K428" s="7" t="s">
        <v>1207</v>
      </c>
      <c r="L428" s="6" t="s">
        <v>633</v>
      </c>
      <c r="M428" s="7" t="s">
        <v>1207</v>
      </c>
      <c r="N428" s="6"/>
      <c r="O428" s="7"/>
      <c r="P428" s="6" t="s">
        <v>633</v>
      </c>
      <c r="Q428" s="7" t="s">
        <v>1207</v>
      </c>
      <c r="R428" s="6"/>
      <c r="S428" s="7"/>
      <c r="T428" s="6" t="s">
        <v>633</v>
      </c>
      <c r="U428" s="7" t="s">
        <v>1207</v>
      </c>
      <c r="V428" s="8" t="n">
        <f>9.8</f>
        <v>9.8</v>
      </c>
      <c r="W428" s="9" t="n">
        <f>10</f>
        <v>10.0</v>
      </c>
      <c r="X428" s="9"/>
      <c r="Y428" s="9" t="n">
        <f>9800</f>
        <v>9800.0</v>
      </c>
      <c r="Z428" s="9"/>
      <c r="AA428" s="9" t="str">
        <f>"－"</f>
        <v>－</v>
      </c>
      <c r="AB428" s="6"/>
      <c r="AC428" s="10" t="n">
        <f>10</f>
        <v>10.0</v>
      </c>
      <c r="AD428" s="9" t="n">
        <f>1</f>
        <v>1.0</v>
      </c>
    </row>
    <row r="429">
      <c r="A429" s="3" t="s">
        <v>50</v>
      </c>
      <c r="B429" s="3" t="s">
        <v>1208</v>
      </c>
      <c r="C429" s="43" t="s">
        <v>1209</v>
      </c>
      <c r="D429" s="43" t="s">
        <v>1210</v>
      </c>
      <c r="E429" s="3" t="s">
        <v>104</v>
      </c>
      <c r="F429" s="3"/>
      <c r="G429" s="3" t="s">
        <v>55</v>
      </c>
      <c r="H429" s="4" t="s">
        <v>56</v>
      </c>
      <c r="I429" s="5" t="n">
        <v>8500.0</v>
      </c>
      <c r="J429" s="6"/>
      <c r="K429" s="7" t="s">
        <v>57</v>
      </c>
      <c r="L429" s="6"/>
      <c r="M429" s="7" t="s">
        <v>57</v>
      </c>
      <c r="N429" s="6"/>
      <c r="O429" s="7"/>
      <c r="P429" s="6"/>
      <c r="Q429" s="7" t="s">
        <v>57</v>
      </c>
      <c r="R429" s="6"/>
      <c r="S429" s="7"/>
      <c r="T429" s="6"/>
      <c r="U429" s="7" t="s">
        <v>57</v>
      </c>
      <c r="V429" s="8" t="str">
        <f>"－"</f>
        <v>－</v>
      </c>
      <c r="W429" s="9" t="str">
        <f>"－"</f>
        <v>－</v>
      </c>
      <c r="X429" s="9"/>
      <c r="Y429" s="9" t="str">
        <f>"－"</f>
        <v>－</v>
      </c>
      <c r="Z429" s="9"/>
      <c r="AA429" s="9" t="n">
        <f>8</f>
        <v>8.0</v>
      </c>
      <c r="AB429" s="6" t="s">
        <v>58</v>
      </c>
      <c r="AC429" s="10" t="str">
        <f>"－"</f>
        <v>－</v>
      </c>
      <c r="AD429" s="9" t="str">
        <f>"－"</f>
        <v>－</v>
      </c>
    </row>
    <row r="430">
      <c r="A430" s="3" t="s">
        <v>50</v>
      </c>
      <c r="B430" s="3" t="s">
        <v>1208</v>
      </c>
      <c r="C430" s="43" t="s">
        <v>1209</v>
      </c>
      <c r="D430" s="43" t="s">
        <v>1210</v>
      </c>
      <c r="E430" s="3" t="s">
        <v>104</v>
      </c>
      <c r="F430" s="3"/>
      <c r="G430" s="3" t="s">
        <v>67</v>
      </c>
      <c r="H430" s="4" t="s">
        <v>72</v>
      </c>
      <c r="I430" s="5" t="n">
        <v>10000.0</v>
      </c>
      <c r="J430" s="6"/>
      <c r="K430" s="7" t="s">
        <v>57</v>
      </c>
      <c r="L430" s="6"/>
      <c r="M430" s="7" t="s">
        <v>57</v>
      </c>
      <c r="N430" s="6" t="s">
        <v>190</v>
      </c>
      <c r="O430" s="7" t="s">
        <v>1211</v>
      </c>
      <c r="P430" s="6"/>
      <c r="Q430" s="7" t="s">
        <v>57</v>
      </c>
      <c r="R430" s="6" t="s">
        <v>190</v>
      </c>
      <c r="S430" s="7" t="s">
        <v>1211</v>
      </c>
      <c r="T430" s="6"/>
      <c r="U430" s="7" t="s">
        <v>57</v>
      </c>
      <c r="V430" s="8" t="str">
        <f>"－"</f>
        <v>－</v>
      </c>
      <c r="W430" s="9" t="n">
        <f>7</f>
        <v>7.0</v>
      </c>
      <c r="X430" s="9" t="n">
        <v>7.0</v>
      </c>
      <c r="Y430" s="9" t="n">
        <f>150290</f>
        <v>150290.0</v>
      </c>
      <c r="Z430" s="9" t="n">
        <v>150290.0</v>
      </c>
      <c r="AA430" s="9" t="str">
        <f>"－"</f>
        <v>－</v>
      </c>
      <c r="AB430" s="6" t="s">
        <v>58</v>
      </c>
      <c r="AC430" s="10" t="n">
        <f>7</f>
        <v>7.0</v>
      </c>
      <c r="AD430" s="9" t="str">
        <f>"－"</f>
        <v>－</v>
      </c>
    </row>
    <row r="431">
      <c r="A431" s="3" t="s">
        <v>50</v>
      </c>
      <c r="B431" s="3" t="s">
        <v>1208</v>
      </c>
      <c r="C431" s="43" t="s">
        <v>1209</v>
      </c>
      <c r="D431" s="43" t="s">
        <v>1210</v>
      </c>
      <c r="E431" s="3" t="s">
        <v>104</v>
      </c>
      <c r="F431" s="3"/>
      <c r="G431" s="3" t="s">
        <v>116</v>
      </c>
      <c r="H431" s="4" t="s">
        <v>1212</v>
      </c>
      <c r="I431" s="5" t="n">
        <v>10500.0</v>
      </c>
      <c r="J431" s="6"/>
      <c r="K431" s="7" t="s">
        <v>57</v>
      </c>
      <c r="L431" s="6"/>
      <c r="M431" s="7" t="s">
        <v>57</v>
      </c>
      <c r="N431" s="6" t="s">
        <v>542</v>
      </c>
      <c r="O431" s="7" t="s">
        <v>1213</v>
      </c>
      <c r="P431" s="6"/>
      <c r="Q431" s="7" t="s">
        <v>57</v>
      </c>
      <c r="R431" s="6" t="s">
        <v>282</v>
      </c>
      <c r="S431" s="7" t="s">
        <v>1214</v>
      </c>
      <c r="T431" s="6"/>
      <c r="U431" s="7" t="s">
        <v>57</v>
      </c>
      <c r="V431" s="8" t="str">
        <f>"－"</f>
        <v>－</v>
      </c>
      <c r="W431" s="9" t="n">
        <f>14</f>
        <v>14.0</v>
      </c>
      <c r="X431" s="9" t="n">
        <v>14.0</v>
      </c>
      <c r="Y431" s="9" t="n">
        <f>289170</f>
        <v>289170.0</v>
      </c>
      <c r="Z431" s="9" t="n">
        <v>289170.0</v>
      </c>
      <c r="AA431" s="9" t="str">
        <f>"－"</f>
        <v>－</v>
      </c>
      <c r="AB431" s="6" t="s">
        <v>58</v>
      </c>
      <c r="AC431" s="10" t="str">
        <f>"－"</f>
        <v>－</v>
      </c>
      <c r="AD431" s="9" t="str">
        <f>"－"</f>
        <v>－</v>
      </c>
    </row>
    <row r="432">
      <c r="A432" s="3" t="s">
        <v>50</v>
      </c>
      <c r="B432" s="3" t="s">
        <v>1208</v>
      </c>
      <c r="C432" s="43" t="s">
        <v>1209</v>
      </c>
      <c r="D432" s="43" t="s">
        <v>1210</v>
      </c>
      <c r="E432" s="3" t="s">
        <v>104</v>
      </c>
      <c r="F432" s="3"/>
      <c r="G432" s="3" t="s">
        <v>294</v>
      </c>
      <c r="H432" s="4" t="s">
        <v>1215</v>
      </c>
      <c r="I432" s="5" t="n">
        <v>11500.0</v>
      </c>
      <c r="J432" s="6"/>
      <c r="K432" s="7" t="s">
        <v>57</v>
      </c>
      <c r="L432" s="6"/>
      <c r="M432" s="7" t="s">
        <v>57</v>
      </c>
      <c r="N432" s="6" t="s">
        <v>542</v>
      </c>
      <c r="O432" s="7" t="s">
        <v>1216</v>
      </c>
      <c r="P432" s="6"/>
      <c r="Q432" s="7" t="s">
        <v>57</v>
      </c>
      <c r="R432" s="6" t="s">
        <v>542</v>
      </c>
      <c r="S432" s="7" t="s">
        <v>1216</v>
      </c>
      <c r="T432" s="6"/>
      <c r="U432" s="7" t="s">
        <v>57</v>
      </c>
      <c r="V432" s="8" t="str">
        <f>"－"</f>
        <v>－</v>
      </c>
      <c r="W432" s="9" t="n">
        <f>7</f>
        <v>7.0</v>
      </c>
      <c r="X432" s="9" t="n">
        <v>7.0</v>
      </c>
      <c r="Y432" s="9" t="n">
        <f>140000</f>
        <v>140000.0</v>
      </c>
      <c r="Z432" s="9" t="n">
        <v>140000.0</v>
      </c>
      <c r="AA432" s="9" t="str">
        <f>"－"</f>
        <v>－</v>
      </c>
      <c r="AB432" s="6" t="s">
        <v>58</v>
      </c>
      <c r="AC432" s="10" t="n">
        <f>7</f>
        <v>7.0</v>
      </c>
      <c r="AD432" s="9" t="str">
        <f>"－"</f>
        <v>－</v>
      </c>
    </row>
    <row r="433">
      <c r="A433" s="3" t="s">
        <v>50</v>
      </c>
      <c r="B433" s="3" t="s">
        <v>1208</v>
      </c>
      <c r="C433" s="43" t="s">
        <v>1209</v>
      </c>
      <c r="D433" s="43" t="s">
        <v>1210</v>
      </c>
      <c r="E433" s="3" t="s">
        <v>104</v>
      </c>
      <c r="F433" s="3"/>
      <c r="G433" s="3" t="s">
        <v>84</v>
      </c>
      <c r="H433" s="4" t="s">
        <v>85</v>
      </c>
      <c r="I433" s="5" t="n">
        <v>10500.0</v>
      </c>
      <c r="J433" s="6"/>
      <c r="K433" s="7" t="s">
        <v>57</v>
      </c>
      <c r="L433" s="6"/>
      <c r="M433" s="7" t="s">
        <v>57</v>
      </c>
      <c r="N433" s="6" t="s">
        <v>330</v>
      </c>
      <c r="O433" s="7" t="s">
        <v>1217</v>
      </c>
      <c r="P433" s="6"/>
      <c r="Q433" s="7" t="s">
        <v>57</v>
      </c>
      <c r="R433" s="6" t="s">
        <v>330</v>
      </c>
      <c r="S433" s="7" t="s">
        <v>1217</v>
      </c>
      <c r="T433" s="6"/>
      <c r="U433" s="7" t="s">
        <v>57</v>
      </c>
      <c r="V433" s="8" t="str">
        <f>"－"</f>
        <v>－</v>
      </c>
      <c r="W433" s="9" t="n">
        <f>7</f>
        <v>7.0</v>
      </c>
      <c r="X433" s="9" t="n">
        <v>7.0</v>
      </c>
      <c r="Y433" s="9" t="n">
        <f>157780</f>
        <v>157780.0</v>
      </c>
      <c r="Z433" s="9" t="n">
        <v>157780.0</v>
      </c>
      <c r="AA433" s="9" t="str">
        <f>"－"</f>
        <v>－</v>
      </c>
      <c r="AB433" s="6" t="s">
        <v>58</v>
      </c>
      <c r="AC433" s="10" t="n">
        <f>7</f>
        <v>7.0</v>
      </c>
      <c r="AD433" s="9" t="str">
        <f>"－"</f>
        <v>－</v>
      </c>
    </row>
    <row r="434">
      <c r="A434" s="3" t="s">
        <v>50</v>
      </c>
      <c r="B434" s="3" t="s">
        <v>1208</v>
      </c>
      <c r="C434" s="43" t="s">
        <v>1209</v>
      </c>
      <c r="D434" s="43" t="s">
        <v>1210</v>
      </c>
      <c r="E434" s="3" t="s">
        <v>104</v>
      </c>
      <c r="F434" s="3"/>
      <c r="G434" s="3" t="s">
        <v>100</v>
      </c>
      <c r="H434" s="4" t="s">
        <v>101</v>
      </c>
      <c r="I434" s="5" t="n">
        <v>3000.0</v>
      </c>
      <c r="J434" s="6"/>
      <c r="K434" s="7" t="s">
        <v>57</v>
      </c>
      <c r="L434" s="6"/>
      <c r="M434" s="7" t="s">
        <v>57</v>
      </c>
      <c r="N434" s="6" t="s">
        <v>1154</v>
      </c>
      <c r="O434" s="7" t="s">
        <v>1218</v>
      </c>
      <c r="P434" s="6"/>
      <c r="Q434" s="7" t="s">
        <v>57</v>
      </c>
      <c r="R434" s="6" t="s">
        <v>1154</v>
      </c>
      <c r="S434" s="7" t="s">
        <v>1218</v>
      </c>
      <c r="T434" s="6"/>
      <c r="U434" s="7" t="s">
        <v>57</v>
      </c>
      <c r="V434" s="8" t="str">
        <f>"－"</f>
        <v>－</v>
      </c>
      <c r="W434" s="9" t="n">
        <f>21</f>
        <v>21.0</v>
      </c>
      <c r="X434" s="9" t="n">
        <v>21.0</v>
      </c>
      <c r="Y434" s="9" t="n">
        <f>177660</f>
        <v>177660.0</v>
      </c>
      <c r="Z434" s="9" t="n">
        <v>177660.0</v>
      </c>
      <c r="AA434" s="9" t="str">
        <f>"－"</f>
        <v>－</v>
      </c>
      <c r="AB434" s="6"/>
      <c r="AC434" s="10" t="n">
        <f>21</f>
        <v>21.0</v>
      </c>
      <c r="AD434" s="9" t="str">
        <f>"－"</f>
        <v>－</v>
      </c>
    </row>
    <row r="435">
      <c r="A435" s="3" t="s">
        <v>50</v>
      </c>
      <c r="B435" s="3" t="s">
        <v>1219</v>
      </c>
      <c r="C435" s="43" t="s">
        <v>1220</v>
      </c>
      <c r="D435" s="43" t="s">
        <v>1221</v>
      </c>
      <c r="E435" s="3" t="s">
        <v>54</v>
      </c>
      <c r="F435" s="3"/>
      <c r="G435" s="3" t="s">
        <v>112</v>
      </c>
      <c r="H435" s="4" t="s">
        <v>1222</v>
      </c>
      <c r="I435" s="5" t="n">
        <v>3000.0</v>
      </c>
      <c r="J435" s="6" t="s">
        <v>78</v>
      </c>
      <c r="K435" s="7" t="s">
        <v>1223</v>
      </c>
      <c r="L435" s="6" t="s">
        <v>78</v>
      </c>
      <c r="M435" s="7" t="s">
        <v>1223</v>
      </c>
      <c r="N435" s="6"/>
      <c r="O435" s="7"/>
      <c r="P435" s="6" t="s">
        <v>78</v>
      </c>
      <c r="Q435" s="7" t="s">
        <v>1223</v>
      </c>
      <c r="R435" s="6"/>
      <c r="S435" s="7"/>
      <c r="T435" s="6" t="s">
        <v>78</v>
      </c>
      <c r="U435" s="7" t="s">
        <v>1223</v>
      </c>
      <c r="V435" s="8" t="n">
        <f>88.5</f>
        <v>88.5</v>
      </c>
      <c r="W435" s="9" t="n">
        <f>5</f>
        <v>5.0</v>
      </c>
      <c r="X435" s="9"/>
      <c r="Y435" s="9" t="n">
        <f>44250</f>
        <v>44250.0</v>
      </c>
      <c r="Z435" s="9"/>
      <c r="AA435" s="9" t="str">
        <f>"－"</f>
        <v>－</v>
      </c>
      <c r="AB435" s="6" t="s">
        <v>58</v>
      </c>
      <c r="AC435" s="10" t="n">
        <f>5</f>
        <v>5.0</v>
      </c>
      <c r="AD435" s="9" t="n">
        <f>1</f>
        <v>1.0</v>
      </c>
    </row>
    <row r="436">
      <c r="A436" s="3" t="s">
        <v>50</v>
      </c>
      <c r="B436" s="3" t="s">
        <v>1219</v>
      </c>
      <c r="C436" s="43" t="s">
        <v>1220</v>
      </c>
      <c r="D436" s="43" t="s">
        <v>1221</v>
      </c>
      <c r="E436" s="3" t="s">
        <v>54</v>
      </c>
      <c r="F436" s="3"/>
      <c r="G436" s="3" t="s">
        <v>84</v>
      </c>
      <c r="H436" s="4" t="s">
        <v>85</v>
      </c>
      <c r="I436" s="5" t="n">
        <v>3500.0</v>
      </c>
      <c r="J436" s="6" t="s">
        <v>370</v>
      </c>
      <c r="K436" s="7" t="s">
        <v>281</v>
      </c>
      <c r="L436" s="6" t="s">
        <v>794</v>
      </c>
      <c r="M436" s="7" t="s">
        <v>178</v>
      </c>
      <c r="N436" s="6"/>
      <c r="O436" s="7"/>
      <c r="P436" s="6" t="s">
        <v>370</v>
      </c>
      <c r="Q436" s="7" t="s">
        <v>281</v>
      </c>
      <c r="R436" s="6"/>
      <c r="S436" s="7"/>
      <c r="T436" s="6" t="s">
        <v>794</v>
      </c>
      <c r="U436" s="7" t="s">
        <v>178</v>
      </c>
      <c r="V436" s="8" t="n">
        <f>150</f>
        <v>150.0</v>
      </c>
      <c r="W436" s="9" t="n">
        <f>8</f>
        <v>8.0</v>
      </c>
      <c r="X436" s="9"/>
      <c r="Y436" s="9" t="n">
        <f>120000</f>
        <v>120000.0</v>
      </c>
      <c r="Z436" s="9"/>
      <c r="AA436" s="9" t="n">
        <f>4</f>
        <v>4.0</v>
      </c>
      <c r="AB436" s="6" t="s">
        <v>58</v>
      </c>
      <c r="AC436" s="10" t="str">
        <f>"－"</f>
        <v>－</v>
      </c>
      <c r="AD436" s="9" t="n">
        <f>2</f>
        <v>2.0</v>
      </c>
    </row>
    <row r="437">
      <c r="A437" s="3" t="s">
        <v>50</v>
      </c>
      <c r="B437" s="3" t="s">
        <v>1219</v>
      </c>
      <c r="C437" s="43" t="s">
        <v>1220</v>
      </c>
      <c r="D437" s="43" t="s">
        <v>1221</v>
      </c>
      <c r="E437" s="3" t="s">
        <v>104</v>
      </c>
      <c r="F437" s="3"/>
      <c r="G437" s="3" t="s">
        <v>55</v>
      </c>
      <c r="H437" s="4" t="s">
        <v>56</v>
      </c>
      <c r="I437" s="5" t="n">
        <v>7500.0</v>
      </c>
      <c r="J437" s="6"/>
      <c r="K437" s="7" t="s">
        <v>57</v>
      </c>
      <c r="L437" s="6"/>
      <c r="M437" s="7" t="s">
        <v>57</v>
      </c>
      <c r="N437" s="6"/>
      <c r="O437" s="7"/>
      <c r="P437" s="6"/>
      <c r="Q437" s="7" t="s">
        <v>57</v>
      </c>
      <c r="R437" s="6"/>
      <c r="S437" s="7"/>
      <c r="T437" s="6"/>
      <c r="U437" s="7" t="s">
        <v>57</v>
      </c>
      <c r="V437" s="8" t="str">
        <f>"－"</f>
        <v>－</v>
      </c>
      <c r="W437" s="9" t="str">
        <f>"－"</f>
        <v>－</v>
      </c>
      <c r="X437" s="9"/>
      <c r="Y437" s="9" t="str">
        <f>"－"</f>
        <v>－</v>
      </c>
      <c r="Z437" s="9"/>
      <c r="AA437" s="9" t="n">
        <f>8</f>
        <v>8.0</v>
      </c>
      <c r="AB437" s="6" t="s">
        <v>58</v>
      </c>
      <c r="AC437" s="10" t="str">
        <f>"－"</f>
        <v>－</v>
      </c>
      <c r="AD437" s="9" t="str">
        <f>"－"</f>
        <v>－</v>
      </c>
    </row>
    <row r="438">
      <c r="A438" s="3" t="s">
        <v>50</v>
      </c>
      <c r="B438" s="3" t="s">
        <v>1219</v>
      </c>
      <c r="C438" s="43" t="s">
        <v>1220</v>
      </c>
      <c r="D438" s="43" t="s">
        <v>1221</v>
      </c>
      <c r="E438" s="3" t="s">
        <v>104</v>
      </c>
      <c r="F438" s="3"/>
      <c r="G438" s="3" t="s">
        <v>67</v>
      </c>
      <c r="H438" s="4" t="s">
        <v>72</v>
      </c>
      <c r="I438" s="5" t="n">
        <v>3000.0</v>
      </c>
      <c r="J438" s="6"/>
      <c r="K438" s="7" t="s">
        <v>57</v>
      </c>
      <c r="L438" s="6"/>
      <c r="M438" s="7" t="s">
        <v>57</v>
      </c>
      <c r="N438" s="6"/>
      <c r="O438" s="7"/>
      <c r="P438" s="6"/>
      <c r="Q438" s="7" t="s">
        <v>57</v>
      </c>
      <c r="R438" s="6"/>
      <c r="S438" s="7"/>
      <c r="T438" s="6"/>
      <c r="U438" s="7" t="s">
        <v>57</v>
      </c>
      <c r="V438" s="8" t="str">
        <f>"－"</f>
        <v>－</v>
      </c>
      <c r="W438" s="9" t="str">
        <f>"－"</f>
        <v>－</v>
      </c>
      <c r="X438" s="9"/>
      <c r="Y438" s="9" t="str">
        <f>"－"</f>
        <v>－</v>
      </c>
      <c r="Z438" s="9"/>
      <c r="AA438" s="9" t="n">
        <f>21</f>
        <v>21.0</v>
      </c>
      <c r="AB438" s="6" t="s">
        <v>58</v>
      </c>
      <c r="AC438" s="10" t="str">
        <f>"－"</f>
        <v>－</v>
      </c>
      <c r="AD438" s="9" t="str">
        <f>"－"</f>
        <v>－</v>
      </c>
    </row>
    <row r="439">
      <c r="A439" s="3" t="s">
        <v>50</v>
      </c>
      <c r="B439" s="3" t="s">
        <v>1219</v>
      </c>
      <c r="C439" s="43" t="s">
        <v>1220</v>
      </c>
      <c r="D439" s="43" t="s">
        <v>1221</v>
      </c>
      <c r="E439" s="3" t="s">
        <v>104</v>
      </c>
      <c r="F439" s="3"/>
      <c r="G439" s="3" t="s">
        <v>67</v>
      </c>
      <c r="H439" s="4" t="s">
        <v>72</v>
      </c>
      <c r="I439" s="5" t="n">
        <v>9000.0</v>
      </c>
      <c r="J439" s="6"/>
      <c r="K439" s="7" t="s">
        <v>57</v>
      </c>
      <c r="L439" s="6"/>
      <c r="M439" s="7" t="s">
        <v>57</v>
      </c>
      <c r="N439" s="6" t="s">
        <v>190</v>
      </c>
      <c r="O439" s="7" t="s">
        <v>1224</v>
      </c>
      <c r="P439" s="6"/>
      <c r="Q439" s="7" t="s">
        <v>57</v>
      </c>
      <c r="R439" s="6" t="s">
        <v>190</v>
      </c>
      <c r="S439" s="7" t="s">
        <v>1224</v>
      </c>
      <c r="T439" s="6"/>
      <c r="U439" s="7" t="s">
        <v>57</v>
      </c>
      <c r="V439" s="8" t="str">
        <f>"－"</f>
        <v>－</v>
      </c>
      <c r="W439" s="9" t="n">
        <f>7</f>
        <v>7.0</v>
      </c>
      <c r="X439" s="9" t="n">
        <v>7.0</v>
      </c>
      <c r="Y439" s="9" t="n">
        <f>273700</f>
        <v>273700.0</v>
      </c>
      <c r="Z439" s="9" t="n">
        <v>273700.0</v>
      </c>
      <c r="AA439" s="9" t="str">
        <f>"－"</f>
        <v>－</v>
      </c>
      <c r="AB439" s="6"/>
      <c r="AC439" s="10" t="str">
        <f>"－"</f>
        <v>－</v>
      </c>
      <c r="AD439" s="9" t="str">
        <f>"－"</f>
        <v>－</v>
      </c>
    </row>
    <row r="440">
      <c r="A440" s="3" t="s">
        <v>50</v>
      </c>
      <c r="B440" s="3" t="s">
        <v>1219</v>
      </c>
      <c r="C440" s="43" t="s">
        <v>1220</v>
      </c>
      <c r="D440" s="43" t="s">
        <v>1221</v>
      </c>
      <c r="E440" s="3" t="s">
        <v>104</v>
      </c>
      <c r="F440" s="3"/>
      <c r="G440" s="3" t="s">
        <v>80</v>
      </c>
      <c r="H440" s="4" t="s">
        <v>81</v>
      </c>
      <c r="I440" s="5" t="n">
        <v>3600.0</v>
      </c>
      <c r="J440" s="6" t="s">
        <v>318</v>
      </c>
      <c r="K440" s="7" t="s">
        <v>115</v>
      </c>
      <c r="L440" s="6" t="s">
        <v>318</v>
      </c>
      <c r="M440" s="7" t="s">
        <v>115</v>
      </c>
      <c r="N440" s="6"/>
      <c r="O440" s="7"/>
      <c r="P440" s="6" t="s">
        <v>318</v>
      </c>
      <c r="Q440" s="7" t="s">
        <v>115</v>
      </c>
      <c r="R440" s="6"/>
      <c r="S440" s="7"/>
      <c r="T440" s="6" t="s">
        <v>318</v>
      </c>
      <c r="U440" s="7" t="s">
        <v>115</v>
      </c>
      <c r="V440" s="8" t="n">
        <f>50</f>
        <v>50.0</v>
      </c>
      <c r="W440" s="9" t="n">
        <f>30</f>
        <v>30.0</v>
      </c>
      <c r="X440" s="9"/>
      <c r="Y440" s="9" t="n">
        <f>150000</f>
        <v>150000.0</v>
      </c>
      <c r="Z440" s="9"/>
      <c r="AA440" s="9" t="n">
        <f>30</f>
        <v>30.0</v>
      </c>
      <c r="AB440" s="6" t="s">
        <v>58</v>
      </c>
      <c r="AC440" s="10" t="str">
        <f>"－"</f>
        <v>－</v>
      </c>
      <c r="AD440" s="9" t="n">
        <f>1</f>
        <v>1.0</v>
      </c>
    </row>
    <row r="441">
      <c r="A441" s="3" t="s">
        <v>50</v>
      </c>
      <c r="B441" s="3" t="s">
        <v>1225</v>
      </c>
      <c r="C441" s="43" t="s">
        <v>1226</v>
      </c>
      <c r="D441" s="43" t="s">
        <v>1227</v>
      </c>
      <c r="E441" s="3" t="s">
        <v>54</v>
      </c>
      <c r="F441" s="3"/>
      <c r="G441" s="3" t="s">
        <v>80</v>
      </c>
      <c r="H441" s="4" t="s">
        <v>81</v>
      </c>
      <c r="I441" s="5" t="n">
        <v>2600.0</v>
      </c>
      <c r="J441" s="6" t="s">
        <v>305</v>
      </c>
      <c r="K441" s="7" t="s">
        <v>1228</v>
      </c>
      <c r="L441" s="6" t="s">
        <v>305</v>
      </c>
      <c r="M441" s="7" t="s">
        <v>1228</v>
      </c>
      <c r="N441" s="6"/>
      <c r="O441" s="7"/>
      <c r="P441" s="6" t="s">
        <v>305</v>
      </c>
      <c r="Q441" s="7" t="s">
        <v>1228</v>
      </c>
      <c r="R441" s="6"/>
      <c r="S441" s="7"/>
      <c r="T441" s="6" t="s">
        <v>305</v>
      </c>
      <c r="U441" s="7" t="s">
        <v>1228</v>
      </c>
      <c r="V441" s="8" t="n">
        <f>33.2</f>
        <v>33.2</v>
      </c>
      <c r="W441" s="9" t="n">
        <f>1</f>
        <v>1.0</v>
      </c>
      <c r="X441" s="9"/>
      <c r="Y441" s="9" t="n">
        <f>3320</f>
        <v>3320.0</v>
      </c>
      <c r="Z441" s="9"/>
      <c r="AA441" s="9" t="str">
        <f>"－"</f>
        <v>－</v>
      </c>
      <c r="AB441" s="6" t="s">
        <v>58</v>
      </c>
      <c r="AC441" s="10" t="n">
        <f>1</f>
        <v>1.0</v>
      </c>
      <c r="AD441" s="9" t="n">
        <f>1</f>
        <v>1.0</v>
      </c>
    </row>
    <row r="442">
      <c r="A442" s="3" t="s">
        <v>50</v>
      </c>
      <c r="B442" s="3" t="s">
        <v>1225</v>
      </c>
      <c r="C442" s="43" t="s">
        <v>1226</v>
      </c>
      <c r="D442" s="43" t="s">
        <v>1227</v>
      </c>
      <c r="E442" s="3" t="s">
        <v>54</v>
      </c>
      <c r="F442" s="3"/>
      <c r="G442" s="3" t="s">
        <v>96</v>
      </c>
      <c r="H442" s="4" t="s">
        <v>97</v>
      </c>
      <c r="I442" s="5" t="n">
        <v>3000.0</v>
      </c>
      <c r="J442" s="6" t="s">
        <v>403</v>
      </c>
      <c r="K442" s="7" t="s">
        <v>1229</v>
      </c>
      <c r="L442" s="6" t="s">
        <v>403</v>
      </c>
      <c r="M442" s="7" t="s">
        <v>1229</v>
      </c>
      <c r="N442" s="6"/>
      <c r="O442" s="7"/>
      <c r="P442" s="6" t="s">
        <v>403</v>
      </c>
      <c r="Q442" s="7" t="s">
        <v>1229</v>
      </c>
      <c r="R442" s="6"/>
      <c r="S442" s="7"/>
      <c r="T442" s="6" t="s">
        <v>403</v>
      </c>
      <c r="U442" s="7" t="s">
        <v>1229</v>
      </c>
      <c r="V442" s="8" t="n">
        <f>37.1</f>
        <v>37.1</v>
      </c>
      <c r="W442" s="9" t="n">
        <f>1</f>
        <v>1.0</v>
      </c>
      <c r="X442" s="9"/>
      <c r="Y442" s="9" t="n">
        <f>3710</f>
        <v>3710.0</v>
      </c>
      <c r="Z442" s="9"/>
      <c r="AA442" s="9" t="n">
        <f>1</f>
        <v>1.0</v>
      </c>
      <c r="AB442" s="6" t="s">
        <v>58</v>
      </c>
      <c r="AC442" s="10" t="str">
        <f>"－"</f>
        <v>－</v>
      </c>
      <c r="AD442" s="9" t="n">
        <f>1</f>
        <v>1.0</v>
      </c>
    </row>
    <row r="443">
      <c r="A443" s="3" t="s">
        <v>50</v>
      </c>
      <c r="B443" s="3" t="s">
        <v>1225</v>
      </c>
      <c r="C443" s="43" t="s">
        <v>1226</v>
      </c>
      <c r="D443" s="43" t="s">
        <v>1227</v>
      </c>
      <c r="E443" s="3" t="s">
        <v>104</v>
      </c>
      <c r="F443" s="3"/>
      <c r="G443" s="3" t="s">
        <v>127</v>
      </c>
      <c r="H443" s="4" t="s">
        <v>1230</v>
      </c>
      <c r="I443" s="5" t="n">
        <v>3000.0</v>
      </c>
      <c r="J443" s="6" t="s">
        <v>1154</v>
      </c>
      <c r="K443" s="7" t="s">
        <v>206</v>
      </c>
      <c r="L443" s="6" t="s">
        <v>1154</v>
      </c>
      <c r="M443" s="7" t="s">
        <v>206</v>
      </c>
      <c r="N443" s="6"/>
      <c r="O443" s="7"/>
      <c r="P443" s="6" t="s">
        <v>1154</v>
      </c>
      <c r="Q443" s="7" t="s">
        <v>206</v>
      </c>
      <c r="R443" s="6"/>
      <c r="S443" s="7"/>
      <c r="T443" s="6" t="s">
        <v>1154</v>
      </c>
      <c r="U443" s="7" t="s">
        <v>206</v>
      </c>
      <c r="V443" s="8" t="n">
        <f>3</f>
        <v>3.0</v>
      </c>
      <c r="W443" s="9" t="n">
        <f>1</f>
        <v>1.0</v>
      </c>
      <c r="X443" s="9"/>
      <c r="Y443" s="9" t="n">
        <f>300</f>
        <v>300.0</v>
      </c>
      <c r="Z443" s="9"/>
      <c r="AA443" s="9" t="str">
        <f>"－"</f>
        <v>－</v>
      </c>
      <c r="AB443" s="6" t="s">
        <v>58</v>
      </c>
      <c r="AC443" s="10" t="n">
        <f>1</f>
        <v>1.0</v>
      </c>
      <c r="AD443" s="9" t="n">
        <f>1</f>
        <v>1.0</v>
      </c>
    </row>
    <row r="444">
      <c r="A444" s="3" t="s">
        <v>50</v>
      </c>
      <c r="B444" s="3" t="s">
        <v>1225</v>
      </c>
      <c r="C444" s="43" t="s">
        <v>1226</v>
      </c>
      <c r="D444" s="43" t="s">
        <v>1227</v>
      </c>
      <c r="E444" s="3" t="s">
        <v>104</v>
      </c>
      <c r="F444" s="3"/>
      <c r="G444" s="3" t="s">
        <v>100</v>
      </c>
      <c r="H444" s="4" t="s">
        <v>101</v>
      </c>
      <c r="I444" s="5" t="n">
        <v>3000.0</v>
      </c>
      <c r="J444" s="6" t="s">
        <v>1163</v>
      </c>
      <c r="K444" s="7" t="s">
        <v>62</v>
      </c>
      <c r="L444" s="6" t="s">
        <v>1163</v>
      </c>
      <c r="M444" s="7" t="s">
        <v>62</v>
      </c>
      <c r="N444" s="6"/>
      <c r="O444" s="7"/>
      <c r="P444" s="6" t="s">
        <v>1163</v>
      </c>
      <c r="Q444" s="7" t="s">
        <v>62</v>
      </c>
      <c r="R444" s="6"/>
      <c r="S444" s="7"/>
      <c r="T444" s="6" t="s">
        <v>1163</v>
      </c>
      <c r="U444" s="7" t="s">
        <v>62</v>
      </c>
      <c r="V444" s="8" t="n">
        <f>15.9</f>
        <v>15.9</v>
      </c>
      <c r="W444" s="9" t="n">
        <f>1</f>
        <v>1.0</v>
      </c>
      <c r="X444" s="9"/>
      <c r="Y444" s="9" t="n">
        <f>1590</f>
        <v>1590.0</v>
      </c>
      <c r="Z444" s="9"/>
      <c r="AA444" s="9" t="str">
        <f>"－"</f>
        <v>－</v>
      </c>
      <c r="AB444" s="6"/>
      <c r="AC444" s="10" t="n">
        <f>1</f>
        <v>1.0</v>
      </c>
      <c r="AD444" s="9" t="n">
        <f>1</f>
        <v>1.0</v>
      </c>
    </row>
    <row r="445">
      <c r="A445" s="3" t="s">
        <v>50</v>
      </c>
      <c r="B445" s="3" t="s">
        <v>1231</v>
      </c>
      <c r="C445" s="43" t="s">
        <v>1232</v>
      </c>
      <c r="D445" s="43" t="s">
        <v>1233</v>
      </c>
      <c r="E445" s="3" t="s">
        <v>54</v>
      </c>
      <c r="F445" s="3"/>
      <c r="G445" s="3" t="s">
        <v>67</v>
      </c>
      <c r="H445" s="4" t="s">
        <v>72</v>
      </c>
      <c r="I445" s="5" t="n">
        <v>3200.0</v>
      </c>
      <c r="J445" s="6"/>
      <c r="K445" s="7" t="s">
        <v>57</v>
      </c>
      <c r="L445" s="6"/>
      <c r="M445" s="7" t="s">
        <v>57</v>
      </c>
      <c r="N445" s="6" t="s">
        <v>1234</v>
      </c>
      <c r="O445" s="7" t="s">
        <v>961</v>
      </c>
      <c r="P445" s="6"/>
      <c r="Q445" s="7" t="s">
        <v>57</v>
      </c>
      <c r="R445" s="6" t="s">
        <v>1234</v>
      </c>
      <c r="S445" s="7" t="s">
        <v>961</v>
      </c>
      <c r="T445" s="6"/>
      <c r="U445" s="7" t="s">
        <v>57</v>
      </c>
      <c r="V445" s="8" t="str">
        <f>"－"</f>
        <v>－</v>
      </c>
      <c r="W445" s="9" t="n">
        <f>2184</f>
        <v>2184.0</v>
      </c>
      <c r="X445" s="9" t="n">
        <v>2184.0</v>
      </c>
      <c r="Y445" s="9" t="n">
        <f>10920000</f>
        <v>1.092E7</v>
      </c>
      <c r="Z445" s="9" t="n">
        <v>1.092E7</v>
      </c>
      <c r="AA445" s="9" t="str">
        <f>"－"</f>
        <v>－</v>
      </c>
      <c r="AB445" s="6" t="s">
        <v>58</v>
      </c>
      <c r="AC445" s="10" t="n">
        <f>2184</f>
        <v>2184.0</v>
      </c>
      <c r="AD445" s="9" t="str">
        <f>"－"</f>
        <v>－</v>
      </c>
    </row>
    <row r="446">
      <c r="A446" s="3" t="s">
        <v>50</v>
      </c>
      <c r="B446" s="3" t="s">
        <v>1231</v>
      </c>
      <c r="C446" s="43" t="s">
        <v>1232</v>
      </c>
      <c r="D446" s="43" t="s">
        <v>1233</v>
      </c>
      <c r="E446" s="3" t="s">
        <v>54</v>
      </c>
      <c r="F446" s="3"/>
      <c r="G446" s="3" t="s">
        <v>112</v>
      </c>
      <c r="H446" s="4" t="s">
        <v>113</v>
      </c>
      <c r="I446" s="5" t="n">
        <v>3600.0</v>
      </c>
      <c r="J446" s="6"/>
      <c r="K446" s="7" t="s">
        <v>57</v>
      </c>
      <c r="L446" s="6"/>
      <c r="M446" s="7" t="s">
        <v>57</v>
      </c>
      <c r="N446" s="6" t="s">
        <v>228</v>
      </c>
      <c r="O446" s="7" t="s">
        <v>1235</v>
      </c>
      <c r="P446" s="6"/>
      <c r="Q446" s="7" t="s">
        <v>57</v>
      </c>
      <c r="R446" s="6" t="s">
        <v>221</v>
      </c>
      <c r="S446" s="7" t="s">
        <v>1236</v>
      </c>
      <c r="T446" s="6"/>
      <c r="U446" s="7" t="s">
        <v>57</v>
      </c>
      <c r="V446" s="8" t="str">
        <f>"－"</f>
        <v>－</v>
      </c>
      <c r="W446" s="9" t="n">
        <f>2100</f>
        <v>2100.0</v>
      </c>
      <c r="X446" s="9" t="n">
        <v>2100.0</v>
      </c>
      <c r="Y446" s="9" t="n">
        <f>21455060</f>
        <v>2.145506E7</v>
      </c>
      <c r="Z446" s="9" t="n">
        <v>2.145506E7</v>
      </c>
      <c r="AA446" s="9" t="str">
        <f>"－"</f>
        <v>－</v>
      </c>
      <c r="AB446" s="6" t="s">
        <v>58</v>
      </c>
      <c r="AC446" s="10" t="n">
        <f>2100</f>
        <v>2100.0</v>
      </c>
      <c r="AD446" s="9" t="str">
        <f>"－"</f>
        <v>－</v>
      </c>
    </row>
    <row r="447">
      <c r="A447" s="3" t="s">
        <v>50</v>
      </c>
      <c r="B447" s="3" t="s">
        <v>1231</v>
      </c>
      <c r="C447" s="43" t="s">
        <v>1232</v>
      </c>
      <c r="D447" s="43" t="s">
        <v>1233</v>
      </c>
      <c r="E447" s="3" t="s">
        <v>54</v>
      </c>
      <c r="F447" s="3"/>
      <c r="G447" s="3" t="s">
        <v>116</v>
      </c>
      <c r="H447" s="4" t="s">
        <v>1237</v>
      </c>
      <c r="I447" s="5" t="n">
        <v>3800.0</v>
      </c>
      <c r="J447" s="6"/>
      <c r="K447" s="7" t="s">
        <v>57</v>
      </c>
      <c r="L447" s="6"/>
      <c r="M447" s="7" t="s">
        <v>57</v>
      </c>
      <c r="N447" s="6" t="s">
        <v>276</v>
      </c>
      <c r="O447" s="7" t="s">
        <v>1238</v>
      </c>
      <c r="P447" s="6"/>
      <c r="Q447" s="7" t="s">
        <v>57</v>
      </c>
      <c r="R447" s="6" t="s">
        <v>274</v>
      </c>
      <c r="S447" s="7" t="s">
        <v>1239</v>
      </c>
      <c r="T447" s="6"/>
      <c r="U447" s="7" t="s">
        <v>57</v>
      </c>
      <c r="V447" s="8" t="str">
        <f>"－"</f>
        <v>－</v>
      </c>
      <c r="W447" s="9" t="n">
        <f>5397</f>
        <v>5397.0</v>
      </c>
      <c r="X447" s="9" t="n">
        <v>5397.0</v>
      </c>
      <c r="Y447" s="9" t="n">
        <f>64129700</f>
        <v>6.41297E7</v>
      </c>
      <c r="Z447" s="9" t="n">
        <v>6.41297E7</v>
      </c>
      <c r="AA447" s="9" t="str">
        <f>"－"</f>
        <v>－</v>
      </c>
      <c r="AB447" s="6" t="s">
        <v>58</v>
      </c>
      <c r="AC447" s="10" t="n">
        <f>5397</f>
        <v>5397.0</v>
      </c>
      <c r="AD447" s="9" t="str">
        <f>"－"</f>
        <v>－</v>
      </c>
    </row>
    <row r="448">
      <c r="A448" s="3" t="s">
        <v>50</v>
      </c>
      <c r="B448" s="3" t="s">
        <v>1231</v>
      </c>
      <c r="C448" s="43" t="s">
        <v>1232</v>
      </c>
      <c r="D448" s="43" t="s">
        <v>1233</v>
      </c>
      <c r="E448" s="3" t="s">
        <v>54</v>
      </c>
      <c r="F448" s="3"/>
      <c r="G448" s="3" t="s">
        <v>80</v>
      </c>
      <c r="H448" s="4" t="s">
        <v>81</v>
      </c>
      <c r="I448" s="5" t="n">
        <v>3800.0</v>
      </c>
      <c r="J448" s="6"/>
      <c r="K448" s="7" t="s">
        <v>57</v>
      </c>
      <c r="L448" s="6"/>
      <c r="M448" s="7" t="s">
        <v>57</v>
      </c>
      <c r="N448" s="6" t="s">
        <v>711</v>
      </c>
      <c r="O448" s="7" t="s">
        <v>1240</v>
      </c>
      <c r="P448" s="6"/>
      <c r="Q448" s="7" t="s">
        <v>57</v>
      </c>
      <c r="R448" s="6" t="s">
        <v>1241</v>
      </c>
      <c r="S448" s="7" t="s">
        <v>1242</v>
      </c>
      <c r="T448" s="6"/>
      <c r="U448" s="7" t="s">
        <v>57</v>
      </c>
      <c r="V448" s="8" t="str">
        <f>"－"</f>
        <v>－</v>
      </c>
      <c r="W448" s="9" t="n">
        <f>5016</f>
        <v>5016.0</v>
      </c>
      <c r="X448" s="9" t="n">
        <v>5016.0</v>
      </c>
      <c r="Y448" s="9" t="n">
        <f>36650800</f>
        <v>3.66508E7</v>
      </c>
      <c r="Z448" s="9" t="n">
        <v>3.66508E7</v>
      </c>
      <c r="AA448" s="9" t="n">
        <f>5016</f>
        <v>5016.0</v>
      </c>
      <c r="AB448" s="6" t="s">
        <v>58</v>
      </c>
      <c r="AC448" s="10" t="str">
        <f>"－"</f>
        <v>－</v>
      </c>
      <c r="AD448" s="9" t="str">
        <f>"－"</f>
        <v>－</v>
      </c>
    </row>
    <row r="449">
      <c r="A449" s="3" t="s">
        <v>50</v>
      </c>
      <c r="B449" s="3" t="s">
        <v>1231</v>
      </c>
      <c r="C449" s="43" t="s">
        <v>1232</v>
      </c>
      <c r="D449" s="43" t="s">
        <v>1233</v>
      </c>
      <c r="E449" s="3" t="s">
        <v>54</v>
      </c>
      <c r="F449" s="3"/>
      <c r="G449" s="3" t="s">
        <v>84</v>
      </c>
      <c r="H449" s="4" t="s">
        <v>1243</v>
      </c>
      <c r="I449" s="5" t="n">
        <v>3800.0</v>
      </c>
      <c r="J449" s="6"/>
      <c r="K449" s="7" t="s">
        <v>57</v>
      </c>
      <c r="L449" s="6"/>
      <c r="M449" s="7" t="s">
        <v>57</v>
      </c>
      <c r="N449" s="6" t="s">
        <v>584</v>
      </c>
      <c r="O449" s="7" t="s">
        <v>1244</v>
      </c>
      <c r="P449" s="6"/>
      <c r="Q449" s="7" t="s">
        <v>57</v>
      </c>
      <c r="R449" s="6" t="s">
        <v>584</v>
      </c>
      <c r="S449" s="7" t="s">
        <v>1245</v>
      </c>
      <c r="T449" s="6"/>
      <c r="U449" s="7" t="s">
        <v>57</v>
      </c>
      <c r="V449" s="8" t="str">
        <f>"－"</f>
        <v>－</v>
      </c>
      <c r="W449" s="9" t="n">
        <f>1886</f>
        <v>1886.0</v>
      </c>
      <c r="X449" s="9" t="n">
        <v>1886.0</v>
      </c>
      <c r="Y449" s="9" t="n">
        <f>13690780</f>
        <v>1.369078E7</v>
      </c>
      <c r="Z449" s="9" t="n">
        <v>1.369078E7</v>
      </c>
      <c r="AA449" s="9" t="str">
        <f>"－"</f>
        <v>－</v>
      </c>
      <c r="AB449" s="6" t="s">
        <v>58</v>
      </c>
      <c r="AC449" s="10" t="n">
        <f>1886</f>
        <v>1886.0</v>
      </c>
      <c r="AD449" s="9" t="str">
        <f>"－"</f>
        <v>－</v>
      </c>
    </row>
    <row r="450">
      <c r="A450" s="3" t="s">
        <v>50</v>
      </c>
      <c r="B450" s="3" t="s">
        <v>1231</v>
      </c>
      <c r="C450" s="43" t="s">
        <v>1232</v>
      </c>
      <c r="D450" s="43" t="s">
        <v>1233</v>
      </c>
      <c r="E450" s="3" t="s">
        <v>54</v>
      </c>
      <c r="F450" s="3"/>
      <c r="G450" s="3" t="s">
        <v>88</v>
      </c>
      <c r="H450" s="4" t="s">
        <v>89</v>
      </c>
      <c r="I450" s="5" t="n">
        <v>3600.0</v>
      </c>
      <c r="J450" s="6"/>
      <c r="K450" s="7" t="s">
        <v>57</v>
      </c>
      <c r="L450" s="6"/>
      <c r="M450" s="7" t="s">
        <v>57</v>
      </c>
      <c r="N450" s="6" t="s">
        <v>376</v>
      </c>
      <c r="O450" s="7" t="s">
        <v>961</v>
      </c>
      <c r="P450" s="6"/>
      <c r="Q450" s="7" t="s">
        <v>57</v>
      </c>
      <c r="R450" s="6" t="s">
        <v>376</v>
      </c>
      <c r="S450" s="7" t="s">
        <v>961</v>
      </c>
      <c r="T450" s="6"/>
      <c r="U450" s="7" t="s">
        <v>57</v>
      </c>
      <c r="V450" s="8" t="str">
        <f>"－"</f>
        <v>－</v>
      </c>
      <c r="W450" s="9" t="n">
        <f>939</f>
        <v>939.0</v>
      </c>
      <c r="X450" s="9" t="n">
        <v>939.0</v>
      </c>
      <c r="Y450" s="9" t="n">
        <f>4695000</f>
        <v>4695000.0</v>
      </c>
      <c r="Z450" s="9" t="n">
        <v>4695000.0</v>
      </c>
      <c r="AA450" s="9" t="str">
        <f>"－"</f>
        <v>－</v>
      </c>
      <c r="AB450" s="6" t="s">
        <v>58</v>
      </c>
      <c r="AC450" s="10" t="n">
        <f>939</f>
        <v>939.0</v>
      </c>
      <c r="AD450" s="9" t="str">
        <f>"－"</f>
        <v>－</v>
      </c>
    </row>
    <row r="451">
      <c r="A451" s="3" t="s">
        <v>50</v>
      </c>
      <c r="B451" s="3" t="s">
        <v>1231</v>
      </c>
      <c r="C451" s="43" t="s">
        <v>1232</v>
      </c>
      <c r="D451" s="43" t="s">
        <v>1233</v>
      </c>
      <c r="E451" s="3" t="s">
        <v>54</v>
      </c>
      <c r="F451" s="3"/>
      <c r="G451" s="3" t="s">
        <v>96</v>
      </c>
      <c r="H451" s="4" t="s">
        <v>97</v>
      </c>
      <c r="I451" s="5" t="n">
        <v>3800.0</v>
      </c>
      <c r="J451" s="6"/>
      <c r="K451" s="7" t="s">
        <v>57</v>
      </c>
      <c r="L451" s="6"/>
      <c r="M451" s="7" t="s">
        <v>57</v>
      </c>
      <c r="N451" s="6" t="s">
        <v>94</v>
      </c>
      <c r="O451" s="7" t="s">
        <v>1246</v>
      </c>
      <c r="P451" s="6"/>
      <c r="Q451" s="7" t="s">
        <v>57</v>
      </c>
      <c r="R451" s="6" t="s">
        <v>94</v>
      </c>
      <c r="S451" s="7" t="s">
        <v>1246</v>
      </c>
      <c r="T451" s="6"/>
      <c r="U451" s="7" t="s">
        <v>57</v>
      </c>
      <c r="V451" s="8" t="str">
        <f>"－"</f>
        <v>－</v>
      </c>
      <c r="W451" s="9" t="n">
        <f>1939</f>
        <v>1939.0</v>
      </c>
      <c r="X451" s="9" t="n">
        <v>1939.0</v>
      </c>
      <c r="Y451" s="9" t="n">
        <f>14387380</f>
        <v>1.438738E7</v>
      </c>
      <c r="Z451" s="9" t="n">
        <v>1.438738E7</v>
      </c>
      <c r="AA451" s="9" t="str">
        <f>"－"</f>
        <v>－</v>
      </c>
      <c r="AB451" s="6" t="s">
        <v>58</v>
      </c>
      <c r="AC451" s="10" t="n">
        <f>1939</f>
        <v>1939.0</v>
      </c>
      <c r="AD451" s="9" t="str">
        <f>"－"</f>
        <v>－</v>
      </c>
    </row>
    <row r="452">
      <c r="A452" s="3" t="s">
        <v>50</v>
      </c>
      <c r="B452" s="3" t="s">
        <v>1231</v>
      </c>
      <c r="C452" s="43" t="s">
        <v>1232</v>
      </c>
      <c r="D452" s="43" t="s">
        <v>1233</v>
      </c>
      <c r="E452" s="3" t="s">
        <v>54</v>
      </c>
      <c r="F452" s="3"/>
      <c r="G452" s="3" t="s">
        <v>127</v>
      </c>
      <c r="H452" s="4" t="s">
        <v>128</v>
      </c>
      <c r="I452" s="5" t="n">
        <v>3800.0</v>
      </c>
      <c r="J452" s="6"/>
      <c r="K452" s="7" t="s">
        <v>57</v>
      </c>
      <c r="L452" s="6"/>
      <c r="M452" s="7" t="s">
        <v>57</v>
      </c>
      <c r="N452" s="6" t="s">
        <v>383</v>
      </c>
      <c r="O452" s="7" t="s">
        <v>1247</v>
      </c>
      <c r="P452" s="6"/>
      <c r="Q452" s="7" t="s">
        <v>57</v>
      </c>
      <c r="R452" s="6" t="s">
        <v>383</v>
      </c>
      <c r="S452" s="7" t="s">
        <v>1247</v>
      </c>
      <c r="T452" s="6"/>
      <c r="U452" s="7" t="s">
        <v>57</v>
      </c>
      <c r="V452" s="8" t="str">
        <f>"－"</f>
        <v>－</v>
      </c>
      <c r="W452" s="9" t="n">
        <f>81</f>
        <v>81.0</v>
      </c>
      <c r="X452" s="9" t="n">
        <v>81.0</v>
      </c>
      <c r="Y452" s="9" t="n">
        <f>591300</f>
        <v>591300.0</v>
      </c>
      <c r="Z452" s="9" t="n">
        <v>591300.0</v>
      </c>
      <c r="AA452" s="9" t="n">
        <f>81</f>
        <v>81.0</v>
      </c>
      <c r="AB452" s="6" t="s">
        <v>58</v>
      </c>
      <c r="AC452" s="10" t="str">
        <f>"－"</f>
        <v>－</v>
      </c>
      <c r="AD452" s="9" t="str">
        <f>"－"</f>
        <v>－</v>
      </c>
    </row>
    <row r="453">
      <c r="A453" s="3" t="s">
        <v>50</v>
      </c>
      <c r="B453" s="3" t="s">
        <v>1231</v>
      </c>
      <c r="C453" s="43" t="s">
        <v>1232</v>
      </c>
      <c r="D453" s="43" t="s">
        <v>1233</v>
      </c>
      <c r="E453" s="3" t="s">
        <v>54</v>
      </c>
      <c r="F453" s="3"/>
      <c r="G453" s="3" t="s">
        <v>100</v>
      </c>
      <c r="H453" s="4" t="s">
        <v>101</v>
      </c>
      <c r="I453" s="5" t="n">
        <v>3800.0</v>
      </c>
      <c r="J453" s="6"/>
      <c r="K453" s="7" t="s">
        <v>57</v>
      </c>
      <c r="L453" s="6"/>
      <c r="M453" s="7" t="s">
        <v>57</v>
      </c>
      <c r="N453" s="6" t="s">
        <v>417</v>
      </c>
      <c r="O453" s="7" t="s">
        <v>1248</v>
      </c>
      <c r="P453" s="6"/>
      <c r="Q453" s="7" t="s">
        <v>57</v>
      </c>
      <c r="R453" s="6" t="s">
        <v>417</v>
      </c>
      <c r="S453" s="7" t="s">
        <v>1249</v>
      </c>
      <c r="T453" s="6"/>
      <c r="U453" s="7" t="s">
        <v>57</v>
      </c>
      <c r="V453" s="8" t="str">
        <f>"－"</f>
        <v>－</v>
      </c>
      <c r="W453" s="9" t="n">
        <f>1243</f>
        <v>1243.0</v>
      </c>
      <c r="X453" s="9" t="n">
        <v>1243.0</v>
      </c>
      <c r="Y453" s="9" t="n">
        <f>8264520</f>
        <v>8264520.0</v>
      </c>
      <c r="Z453" s="9" t="n">
        <v>8264520.0</v>
      </c>
      <c r="AA453" s="9" t="str">
        <f>"－"</f>
        <v>－</v>
      </c>
      <c r="AB453" s="6"/>
      <c r="AC453" s="10" t="n">
        <f>1243</f>
        <v>1243.0</v>
      </c>
      <c r="AD453" s="9" t="str">
        <f>"－"</f>
        <v>－</v>
      </c>
    </row>
    <row r="454">
      <c r="A454" s="3" t="s">
        <v>50</v>
      </c>
      <c r="B454" s="3" t="s">
        <v>1231</v>
      </c>
      <c r="C454" s="43" t="s">
        <v>1232</v>
      </c>
      <c r="D454" s="43" t="s">
        <v>1233</v>
      </c>
      <c r="E454" s="3" t="s">
        <v>54</v>
      </c>
      <c r="F454" s="3"/>
      <c r="G454" s="3" t="s">
        <v>100</v>
      </c>
      <c r="H454" s="4" t="s">
        <v>101</v>
      </c>
      <c r="I454" s="5" t="n">
        <v>4000.0</v>
      </c>
      <c r="J454" s="6"/>
      <c r="K454" s="7" t="s">
        <v>57</v>
      </c>
      <c r="L454" s="6"/>
      <c r="M454" s="7" t="s">
        <v>57</v>
      </c>
      <c r="N454" s="6" t="s">
        <v>429</v>
      </c>
      <c r="O454" s="7" t="s">
        <v>1250</v>
      </c>
      <c r="P454" s="6"/>
      <c r="Q454" s="7" t="s">
        <v>57</v>
      </c>
      <c r="R454" s="6" t="s">
        <v>631</v>
      </c>
      <c r="S454" s="7" t="s">
        <v>1251</v>
      </c>
      <c r="T454" s="6"/>
      <c r="U454" s="7" t="s">
        <v>57</v>
      </c>
      <c r="V454" s="8" t="str">
        <f>"－"</f>
        <v>－</v>
      </c>
      <c r="W454" s="9" t="n">
        <f>3815</f>
        <v>3815.0</v>
      </c>
      <c r="X454" s="9" t="n">
        <v>3815.0</v>
      </c>
      <c r="Y454" s="9" t="n">
        <f>57494350</f>
        <v>5.749435E7</v>
      </c>
      <c r="Z454" s="9" t="n">
        <v>5.749435E7</v>
      </c>
      <c r="AA454" s="9" t="str">
        <f>"－"</f>
        <v>－</v>
      </c>
      <c r="AB454" s="6"/>
      <c r="AC454" s="10" t="n">
        <f>3815</f>
        <v>3815.0</v>
      </c>
      <c r="AD454" s="9" t="str">
        <f>"－"</f>
        <v>－</v>
      </c>
    </row>
    <row r="455">
      <c r="A455" s="3" t="s">
        <v>50</v>
      </c>
      <c r="B455" s="3" t="s">
        <v>1231</v>
      </c>
      <c r="C455" s="43" t="s">
        <v>1232</v>
      </c>
      <c r="D455" s="43" t="s">
        <v>1233</v>
      </c>
      <c r="E455" s="3" t="s">
        <v>54</v>
      </c>
      <c r="F455" s="3"/>
      <c r="G455" s="3" t="s">
        <v>457</v>
      </c>
      <c r="H455" s="4" t="s">
        <v>465</v>
      </c>
      <c r="I455" s="5" t="n">
        <v>3800.0</v>
      </c>
      <c r="J455" s="6"/>
      <c r="K455" s="7" t="s">
        <v>57</v>
      </c>
      <c r="L455" s="6"/>
      <c r="M455" s="7" t="s">
        <v>57</v>
      </c>
      <c r="N455" s="6" t="s">
        <v>651</v>
      </c>
      <c r="O455" s="7" t="s">
        <v>1252</v>
      </c>
      <c r="P455" s="6"/>
      <c r="Q455" s="7" t="s">
        <v>57</v>
      </c>
      <c r="R455" s="6" t="s">
        <v>651</v>
      </c>
      <c r="S455" s="7" t="s">
        <v>1252</v>
      </c>
      <c r="T455" s="6"/>
      <c r="U455" s="7" t="s">
        <v>57</v>
      </c>
      <c r="V455" s="8" t="str">
        <f>"－"</f>
        <v>－</v>
      </c>
      <c r="W455" s="9" t="n">
        <f>1625</f>
        <v>1625.0</v>
      </c>
      <c r="X455" s="9" t="n">
        <v>1625.0</v>
      </c>
      <c r="Y455" s="9" t="n">
        <f>20198750</f>
        <v>2.019875E7</v>
      </c>
      <c r="Z455" s="9" t="n">
        <v>2.019875E7</v>
      </c>
      <c r="AA455" s="9" t="str">
        <f>"－"</f>
        <v>－</v>
      </c>
      <c r="AB455" s="6"/>
      <c r="AC455" s="10" t="n">
        <f>1625</f>
        <v>1625.0</v>
      </c>
      <c r="AD455" s="9" t="str">
        <f>"－"</f>
        <v>－</v>
      </c>
    </row>
    <row r="456">
      <c r="A456" s="3" t="s">
        <v>50</v>
      </c>
      <c r="B456" s="3" t="s">
        <v>1253</v>
      </c>
      <c r="C456" s="43" t="s">
        <v>1254</v>
      </c>
      <c r="D456" s="43" t="s">
        <v>1255</v>
      </c>
      <c r="E456" s="3" t="s">
        <v>54</v>
      </c>
      <c r="F456" s="3"/>
      <c r="G456" s="3" t="s">
        <v>294</v>
      </c>
      <c r="H456" s="4" t="s">
        <v>295</v>
      </c>
      <c r="I456" s="5" t="n">
        <v>4400.0</v>
      </c>
      <c r="J456" s="6" t="s">
        <v>314</v>
      </c>
      <c r="K456" s="7" t="s">
        <v>1153</v>
      </c>
      <c r="L456" s="6" t="s">
        <v>314</v>
      </c>
      <c r="M456" s="7" t="s">
        <v>1153</v>
      </c>
      <c r="N456" s="6"/>
      <c r="O456" s="7"/>
      <c r="P456" s="6" t="s">
        <v>314</v>
      </c>
      <c r="Q456" s="7" t="s">
        <v>1153</v>
      </c>
      <c r="R456" s="6"/>
      <c r="S456" s="7"/>
      <c r="T456" s="6" t="s">
        <v>314</v>
      </c>
      <c r="U456" s="7" t="s">
        <v>1153</v>
      </c>
      <c r="V456" s="8" t="n">
        <f>59.5</f>
        <v>59.5</v>
      </c>
      <c r="W456" s="9" t="n">
        <f>1</f>
        <v>1.0</v>
      </c>
      <c r="X456" s="9"/>
      <c r="Y456" s="9" t="n">
        <f>5950</f>
        <v>5950.0</v>
      </c>
      <c r="Z456" s="9"/>
      <c r="AA456" s="9" t="n">
        <f>1</f>
        <v>1.0</v>
      </c>
      <c r="AB456" s="6" t="s">
        <v>58</v>
      </c>
      <c r="AC456" s="10" t="str">
        <f>"－"</f>
        <v>－</v>
      </c>
      <c r="AD456" s="9" t="n">
        <f>1</f>
        <v>1.0</v>
      </c>
    </row>
    <row r="457">
      <c r="A457" s="3" t="s">
        <v>50</v>
      </c>
      <c r="B457" s="3" t="s">
        <v>1253</v>
      </c>
      <c r="C457" s="43" t="s">
        <v>1254</v>
      </c>
      <c r="D457" s="43" t="s">
        <v>1255</v>
      </c>
      <c r="E457" s="3" t="s">
        <v>104</v>
      </c>
      <c r="F457" s="3"/>
      <c r="G457" s="3" t="s">
        <v>116</v>
      </c>
      <c r="H457" s="4" t="s">
        <v>264</v>
      </c>
      <c r="I457" s="5" t="n">
        <v>4600.0</v>
      </c>
      <c r="J457" s="6" t="s">
        <v>291</v>
      </c>
      <c r="K457" s="7" t="s">
        <v>1256</v>
      </c>
      <c r="L457" s="6" t="s">
        <v>291</v>
      </c>
      <c r="M457" s="7" t="s">
        <v>1256</v>
      </c>
      <c r="N457" s="6"/>
      <c r="O457" s="7"/>
      <c r="P457" s="6" t="s">
        <v>291</v>
      </c>
      <c r="Q457" s="7" t="s">
        <v>1256</v>
      </c>
      <c r="R457" s="6"/>
      <c r="S457" s="7"/>
      <c r="T457" s="6" t="s">
        <v>291</v>
      </c>
      <c r="U457" s="7" t="s">
        <v>1256</v>
      </c>
      <c r="V457" s="8" t="n">
        <f>14.4</f>
        <v>14.4</v>
      </c>
      <c r="W457" s="9" t="n">
        <f>10</f>
        <v>10.0</v>
      </c>
      <c r="X457" s="9"/>
      <c r="Y457" s="9" t="n">
        <f>14400</f>
        <v>14400.0</v>
      </c>
      <c r="Z457" s="9"/>
      <c r="AA457" s="9" t="str">
        <f>"－"</f>
        <v>－</v>
      </c>
      <c r="AB457" s="6" t="s">
        <v>58</v>
      </c>
      <c r="AC457" s="10" t="n">
        <f>10</f>
        <v>10.0</v>
      </c>
      <c r="AD457" s="9" t="n">
        <f>1</f>
        <v>1.0</v>
      </c>
    </row>
    <row r="458">
      <c r="A458" s="3" t="s">
        <v>50</v>
      </c>
      <c r="B458" s="3" t="s">
        <v>1253</v>
      </c>
      <c r="C458" s="43" t="s">
        <v>1254</v>
      </c>
      <c r="D458" s="43" t="s">
        <v>1255</v>
      </c>
      <c r="E458" s="3" t="s">
        <v>104</v>
      </c>
      <c r="F458" s="3"/>
      <c r="G458" s="3" t="s">
        <v>84</v>
      </c>
      <c r="H458" s="4" t="s">
        <v>1257</v>
      </c>
      <c r="I458" s="5" t="n">
        <v>4400.0</v>
      </c>
      <c r="J458" s="6" t="s">
        <v>361</v>
      </c>
      <c r="K458" s="7" t="s">
        <v>243</v>
      </c>
      <c r="L458" s="6" t="s">
        <v>361</v>
      </c>
      <c r="M458" s="7" t="s">
        <v>243</v>
      </c>
      <c r="N458" s="6"/>
      <c r="O458" s="7"/>
      <c r="P458" s="6" t="s">
        <v>361</v>
      </c>
      <c r="Q458" s="7" t="s">
        <v>243</v>
      </c>
      <c r="R458" s="6"/>
      <c r="S458" s="7"/>
      <c r="T458" s="6" t="s">
        <v>361</v>
      </c>
      <c r="U458" s="7" t="s">
        <v>243</v>
      </c>
      <c r="V458" s="8" t="n">
        <f>8</f>
        <v>8.0</v>
      </c>
      <c r="W458" s="9" t="n">
        <f>1</f>
        <v>1.0</v>
      </c>
      <c r="X458" s="9"/>
      <c r="Y458" s="9" t="n">
        <f>800</f>
        <v>800.0</v>
      </c>
      <c r="Z458" s="9"/>
      <c r="AA458" s="9" t="str">
        <f>"－"</f>
        <v>－</v>
      </c>
      <c r="AB458" s="6" t="s">
        <v>58</v>
      </c>
      <c r="AC458" s="10" t="n">
        <f>1</f>
        <v>1.0</v>
      </c>
      <c r="AD458" s="9" t="n">
        <f>1</f>
        <v>1.0</v>
      </c>
    </row>
    <row r="459">
      <c r="A459" s="3" t="s">
        <v>50</v>
      </c>
      <c r="B459" s="3" t="s">
        <v>1253</v>
      </c>
      <c r="C459" s="43" t="s">
        <v>1254</v>
      </c>
      <c r="D459" s="43" t="s">
        <v>1255</v>
      </c>
      <c r="E459" s="3" t="s">
        <v>104</v>
      </c>
      <c r="F459" s="3"/>
      <c r="G459" s="3" t="s">
        <v>88</v>
      </c>
      <c r="H459" s="4" t="s">
        <v>89</v>
      </c>
      <c r="I459" s="5" t="n">
        <v>4400.0</v>
      </c>
      <c r="J459" s="6" t="s">
        <v>396</v>
      </c>
      <c r="K459" s="7" t="s">
        <v>1258</v>
      </c>
      <c r="L459" s="6" t="s">
        <v>396</v>
      </c>
      <c r="M459" s="7" t="s">
        <v>1258</v>
      </c>
      <c r="N459" s="6"/>
      <c r="O459" s="7"/>
      <c r="P459" s="6" t="s">
        <v>396</v>
      </c>
      <c r="Q459" s="7" t="s">
        <v>1258</v>
      </c>
      <c r="R459" s="6"/>
      <c r="S459" s="7"/>
      <c r="T459" s="6" t="s">
        <v>396</v>
      </c>
      <c r="U459" s="7" t="s">
        <v>1258</v>
      </c>
      <c r="V459" s="8" t="n">
        <f>78.5</f>
        <v>78.5</v>
      </c>
      <c r="W459" s="9" t="n">
        <f>1</f>
        <v>1.0</v>
      </c>
      <c r="X459" s="9"/>
      <c r="Y459" s="9" t="n">
        <f>7850</f>
        <v>7850.0</v>
      </c>
      <c r="Z459" s="9"/>
      <c r="AA459" s="9" t="str">
        <f>"－"</f>
        <v>－</v>
      </c>
      <c r="AB459" s="6" t="s">
        <v>58</v>
      </c>
      <c r="AC459" s="10" t="n">
        <f>1</f>
        <v>1.0</v>
      </c>
      <c r="AD459" s="9" t="n">
        <f>1</f>
        <v>1.0</v>
      </c>
    </row>
    <row r="460">
      <c r="A460" s="3" t="s">
        <v>50</v>
      </c>
      <c r="B460" s="3" t="s">
        <v>1253</v>
      </c>
      <c r="C460" s="43" t="s">
        <v>1254</v>
      </c>
      <c r="D460" s="43" t="s">
        <v>1255</v>
      </c>
      <c r="E460" s="3" t="s">
        <v>104</v>
      </c>
      <c r="F460" s="3"/>
      <c r="G460" s="3" t="s">
        <v>96</v>
      </c>
      <c r="H460" s="4" t="s">
        <v>97</v>
      </c>
      <c r="I460" s="5" t="n">
        <v>4400.0</v>
      </c>
      <c r="J460" s="6" t="s">
        <v>399</v>
      </c>
      <c r="K460" s="7" t="s">
        <v>1259</v>
      </c>
      <c r="L460" s="6" t="s">
        <v>399</v>
      </c>
      <c r="M460" s="7" t="s">
        <v>1259</v>
      </c>
      <c r="N460" s="6"/>
      <c r="O460" s="7"/>
      <c r="P460" s="6" t="s">
        <v>399</v>
      </c>
      <c r="Q460" s="7" t="s">
        <v>1259</v>
      </c>
      <c r="R460" s="6"/>
      <c r="S460" s="7"/>
      <c r="T460" s="6" t="s">
        <v>399</v>
      </c>
      <c r="U460" s="7" t="s">
        <v>1259</v>
      </c>
      <c r="V460" s="8" t="n">
        <f>28.5</f>
        <v>28.5</v>
      </c>
      <c r="W460" s="9" t="n">
        <f>1</f>
        <v>1.0</v>
      </c>
      <c r="X460" s="9"/>
      <c r="Y460" s="9" t="n">
        <f>2850</f>
        <v>2850.0</v>
      </c>
      <c r="Z460" s="9"/>
      <c r="AA460" s="9" t="str">
        <f>"－"</f>
        <v>－</v>
      </c>
      <c r="AB460" s="6" t="s">
        <v>58</v>
      </c>
      <c r="AC460" s="10" t="n">
        <f>1</f>
        <v>1.0</v>
      </c>
      <c r="AD460" s="9" t="n">
        <f>1</f>
        <v>1.0</v>
      </c>
    </row>
    <row r="461">
      <c r="A461" s="3" t="s">
        <v>50</v>
      </c>
      <c r="B461" s="3" t="s">
        <v>1260</v>
      </c>
      <c r="C461" s="43" t="s">
        <v>1261</v>
      </c>
      <c r="D461" s="43" t="s">
        <v>1262</v>
      </c>
      <c r="E461" s="3" t="s">
        <v>54</v>
      </c>
      <c r="F461" s="3"/>
      <c r="G461" s="3" t="s">
        <v>88</v>
      </c>
      <c r="H461" s="4" t="s">
        <v>89</v>
      </c>
      <c r="I461" s="5" t="n">
        <v>800.0</v>
      </c>
      <c r="J461" s="6" t="s">
        <v>98</v>
      </c>
      <c r="K461" s="7" t="s">
        <v>1263</v>
      </c>
      <c r="L461" s="6" t="s">
        <v>98</v>
      </c>
      <c r="M461" s="7" t="s">
        <v>1263</v>
      </c>
      <c r="N461" s="6"/>
      <c r="O461" s="7"/>
      <c r="P461" s="6" t="s">
        <v>98</v>
      </c>
      <c r="Q461" s="7" t="s">
        <v>1263</v>
      </c>
      <c r="R461" s="6"/>
      <c r="S461" s="7"/>
      <c r="T461" s="6" t="s">
        <v>98</v>
      </c>
      <c r="U461" s="7" t="s">
        <v>1263</v>
      </c>
      <c r="V461" s="8" t="n">
        <f>25.2</f>
        <v>25.2</v>
      </c>
      <c r="W461" s="9" t="n">
        <f>6</f>
        <v>6.0</v>
      </c>
      <c r="X461" s="9"/>
      <c r="Y461" s="9" t="n">
        <f>15120</f>
        <v>15120.0</v>
      </c>
      <c r="Z461" s="9"/>
      <c r="AA461" s="9" t="n">
        <f>6</f>
        <v>6.0</v>
      </c>
      <c r="AB461" s="6" t="s">
        <v>58</v>
      </c>
      <c r="AC461" s="10" t="str">
        <f>"－"</f>
        <v>－</v>
      </c>
      <c r="AD461" s="9" t="n">
        <f>1</f>
        <v>1.0</v>
      </c>
    </row>
    <row r="462">
      <c r="A462" s="3" t="s">
        <v>50</v>
      </c>
      <c r="B462" s="3" t="s">
        <v>1264</v>
      </c>
      <c r="C462" s="43" t="s">
        <v>1265</v>
      </c>
      <c r="D462" s="43" t="s">
        <v>1266</v>
      </c>
      <c r="E462" s="3" t="s">
        <v>104</v>
      </c>
      <c r="F462" s="3"/>
      <c r="G462" s="3" t="s">
        <v>116</v>
      </c>
      <c r="H462" s="4" t="s">
        <v>1267</v>
      </c>
      <c r="I462" s="5" t="n">
        <v>2000.0</v>
      </c>
      <c r="J462" s="6" t="s">
        <v>291</v>
      </c>
      <c r="K462" s="7" t="s">
        <v>404</v>
      </c>
      <c r="L462" s="6" t="s">
        <v>291</v>
      </c>
      <c r="M462" s="7" t="s">
        <v>404</v>
      </c>
      <c r="N462" s="6"/>
      <c r="O462" s="7"/>
      <c r="P462" s="6" t="s">
        <v>291</v>
      </c>
      <c r="Q462" s="7" t="s">
        <v>404</v>
      </c>
      <c r="R462" s="6"/>
      <c r="S462" s="7"/>
      <c r="T462" s="6" t="s">
        <v>291</v>
      </c>
      <c r="U462" s="7" t="s">
        <v>404</v>
      </c>
      <c r="V462" s="8" t="n">
        <f>100</f>
        <v>100.0</v>
      </c>
      <c r="W462" s="9" t="n">
        <f>3</f>
        <v>3.0</v>
      </c>
      <c r="X462" s="9"/>
      <c r="Y462" s="9" t="n">
        <f>30000</f>
        <v>30000.0</v>
      </c>
      <c r="Z462" s="9"/>
      <c r="AA462" s="9" t="n">
        <f>3</f>
        <v>3.0</v>
      </c>
      <c r="AB462" s="6" t="s">
        <v>58</v>
      </c>
      <c r="AC462" s="10" t="str">
        <f>"－"</f>
        <v>－</v>
      </c>
      <c r="AD462" s="9" t="n">
        <f>1</f>
        <v>1.0</v>
      </c>
    </row>
    <row r="463">
      <c r="A463" s="3" t="s">
        <v>50</v>
      </c>
      <c r="B463" s="3" t="s">
        <v>1268</v>
      </c>
      <c r="C463" s="43" t="s">
        <v>1269</v>
      </c>
      <c r="D463" s="43" t="s">
        <v>1270</v>
      </c>
      <c r="E463" s="3" t="s">
        <v>54</v>
      </c>
      <c r="F463" s="3"/>
      <c r="G463" s="3" t="s">
        <v>116</v>
      </c>
      <c r="H463" s="4" t="s">
        <v>117</v>
      </c>
      <c r="I463" s="5" t="n">
        <v>8500.0</v>
      </c>
      <c r="J463" s="6"/>
      <c r="K463" s="7" t="s">
        <v>57</v>
      </c>
      <c r="L463" s="6"/>
      <c r="M463" s="7" t="s">
        <v>57</v>
      </c>
      <c r="N463" s="6" t="s">
        <v>274</v>
      </c>
      <c r="O463" s="7" t="s">
        <v>1216</v>
      </c>
      <c r="P463" s="6"/>
      <c r="Q463" s="7" t="s">
        <v>57</v>
      </c>
      <c r="R463" s="6" t="s">
        <v>274</v>
      </c>
      <c r="S463" s="7" t="s">
        <v>1216</v>
      </c>
      <c r="T463" s="6"/>
      <c r="U463" s="7" t="s">
        <v>57</v>
      </c>
      <c r="V463" s="8" t="str">
        <f>"－"</f>
        <v>－</v>
      </c>
      <c r="W463" s="9" t="n">
        <f>14</f>
        <v>14.0</v>
      </c>
      <c r="X463" s="9" t="n">
        <v>14.0</v>
      </c>
      <c r="Y463" s="9" t="n">
        <f>280000</f>
        <v>280000.0</v>
      </c>
      <c r="Z463" s="9" t="n">
        <v>280000.0</v>
      </c>
      <c r="AA463" s="9" t="str">
        <f>"－"</f>
        <v>－</v>
      </c>
      <c r="AB463" s="6" t="s">
        <v>58</v>
      </c>
      <c r="AC463" s="10" t="n">
        <f>14</f>
        <v>14.0</v>
      </c>
      <c r="AD463" s="9" t="str">
        <f>"－"</f>
        <v>－</v>
      </c>
    </row>
    <row r="464">
      <c r="A464" s="3" t="s">
        <v>50</v>
      </c>
      <c r="B464" s="3" t="s">
        <v>1268</v>
      </c>
      <c r="C464" s="43" t="s">
        <v>1269</v>
      </c>
      <c r="D464" s="43" t="s">
        <v>1270</v>
      </c>
      <c r="E464" s="3" t="s">
        <v>54</v>
      </c>
      <c r="F464" s="3"/>
      <c r="G464" s="3" t="s">
        <v>116</v>
      </c>
      <c r="H464" s="4" t="s">
        <v>117</v>
      </c>
      <c r="I464" s="5" t="n">
        <v>9000.0</v>
      </c>
      <c r="J464" s="6"/>
      <c r="K464" s="7" t="s">
        <v>57</v>
      </c>
      <c r="L464" s="6"/>
      <c r="M464" s="7" t="s">
        <v>57</v>
      </c>
      <c r="N464" s="6" t="s">
        <v>1271</v>
      </c>
      <c r="O464" s="7" t="s">
        <v>1272</v>
      </c>
      <c r="P464" s="6"/>
      <c r="Q464" s="7" t="s">
        <v>57</v>
      </c>
      <c r="R464" s="6" t="s">
        <v>250</v>
      </c>
      <c r="S464" s="7" t="s">
        <v>1273</v>
      </c>
      <c r="T464" s="6"/>
      <c r="U464" s="7" t="s">
        <v>57</v>
      </c>
      <c r="V464" s="8" t="str">
        <f>"－"</f>
        <v>－</v>
      </c>
      <c r="W464" s="9" t="n">
        <f>849</f>
        <v>849.0</v>
      </c>
      <c r="X464" s="9" t="n">
        <v>849.0</v>
      </c>
      <c r="Y464" s="9" t="n">
        <f>18169190</f>
        <v>1.816919E7</v>
      </c>
      <c r="Z464" s="9" t="n">
        <v>1.816919E7</v>
      </c>
      <c r="AA464" s="9" t="n">
        <f>849</f>
        <v>849.0</v>
      </c>
      <c r="AB464" s="6" t="s">
        <v>58</v>
      </c>
      <c r="AC464" s="10" t="str">
        <f>"－"</f>
        <v>－</v>
      </c>
      <c r="AD464" s="9" t="str">
        <f>"－"</f>
        <v>－</v>
      </c>
    </row>
    <row r="465">
      <c r="A465" s="3" t="s">
        <v>50</v>
      </c>
      <c r="B465" s="3" t="s">
        <v>1268</v>
      </c>
      <c r="C465" s="43" t="s">
        <v>1269</v>
      </c>
      <c r="D465" s="43" t="s">
        <v>1270</v>
      </c>
      <c r="E465" s="3" t="s">
        <v>54</v>
      </c>
      <c r="F465" s="3"/>
      <c r="G465" s="3" t="s">
        <v>294</v>
      </c>
      <c r="H465" s="4" t="s">
        <v>295</v>
      </c>
      <c r="I465" s="5" t="n">
        <v>8500.0</v>
      </c>
      <c r="J465" s="6"/>
      <c r="K465" s="7" t="s">
        <v>57</v>
      </c>
      <c r="L465" s="6"/>
      <c r="M465" s="7" t="s">
        <v>57</v>
      </c>
      <c r="N465" s="6" t="s">
        <v>547</v>
      </c>
      <c r="O465" s="7" t="s">
        <v>1274</v>
      </c>
      <c r="P465" s="6"/>
      <c r="Q465" s="7" t="s">
        <v>57</v>
      </c>
      <c r="R465" s="6" t="s">
        <v>547</v>
      </c>
      <c r="S465" s="7" t="s">
        <v>1275</v>
      </c>
      <c r="T465" s="6"/>
      <c r="U465" s="7" t="s">
        <v>57</v>
      </c>
      <c r="V465" s="8" t="str">
        <f>"－"</f>
        <v>－</v>
      </c>
      <c r="W465" s="9" t="n">
        <f>340</f>
        <v>340.0</v>
      </c>
      <c r="X465" s="9" t="n">
        <v>340.0</v>
      </c>
      <c r="Y465" s="9" t="n">
        <f>9343920</f>
        <v>9343920.0</v>
      </c>
      <c r="Z465" s="9" t="n">
        <v>9343920.0</v>
      </c>
      <c r="AA465" s="9" t="str">
        <f>"－"</f>
        <v>－</v>
      </c>
      <c r="AB465" s="6" t="s">
        <v>58</v>
      </c>
      <c r="AC465" s="10" t="n">
        <f>340</f>
        <v>340.0</v>
      </c>
      <c r="AD465" s="9" t="str">
        <f>"－"</f>
        <v>－</v>
      </c>
    </row>
    <row r="466">
      <c r="A466" s="3" t="s">
        <v>50</v>
      </c>
      <c r="B466" s="3" t="s">
        <v>1268</v>
      </c>
      <c r="C466" s="43" t="s">
        <v>1269</v>
      </c>
      <c r="D466" s="43" t="s">
        <v>1270</v>
      </c>
      <c r="E466" s="3" t="s">
        <v>54</v>
      </c>
      <c r="F466" s="3"/>
      <c r="G466" s="3" t="s">
        <v>80</v>
      </c>
      <c r="H466" s="4" t="s">
        <v>81</v>
      </c>
      <c r="I466" s="5" t="n">
        <v>8000.0</v>
      </c>
      <c r="J466" s="6"/>
      <c r="K466" s="7" t="s">
        <v>57</v>
      </c>
      <c r="L466" s="6"/>
      <c r="M466" s="7" t="s">
        <v>57</v>
      </c>
      <c r="N466" s="6" t="s">
        <v>1241</v>
      </c>
      <c r="O466" s="7" t="s">
        <v>1276</v>
      </c>
      <c r="P466" s="6"/>
      <c r="Q466" s="7" t="s">
        <v>57</v>
      </c>
      <c r="R466" s="6" t="s">
        <v>1241</v>
      </c>
      <c r="S466" s="7" t="s">
        <v>1277</v>
      </c>
      <c r="T466" s="6"/>
      <c r="U466" s="7" t="s">
        <v>57</v>
      </c>
      <c r="V466" s="8" t="str">
        <f>"－"</f>
        <v>－</v>
      </c>
      <c r="W466" s="9" t="n">
        <f>26</f>
        <v>26.0</v>
      </c>
      <c r="X466" s="9" t="n">
        <v>26.0</v>
      </c>
      <c r="Y466" s="9" t="n">
        <f>424160</f>
        <v>424160.0</v>
      </c>
      <c r="Z466" s="9" t="n">
        <v>424160.0</v>
      </c>
      <c r="AA466" s="9" t="str">
        <f>"－"</f>
        <v>－</v>
      </c>
      <c r="AB466" s="6" t="s">
        <v>58</v>
      </c>
      <c r="AC466" s="10" t="n">
        <f>26</f>
        <v>26.0</v>
      </c>
      <c r="AD466" s="9" t="str">
        <f>"－"</f>
        <v>－</v>
      </c>
    </row>
    <row r="467">
      <c r="A467" s="3" t="s">
        <v>50</v>
      </c>
      <c r="B467" s="3" t="s">
        <v>1268</v>
      </c>
      <c r="C467" s="43" t="s">
        <v>1269</v>
      </c>
      <c r="D467" s="43" t="s">
        <v>1270</v>
      </c>
      <c r="E467" s="3" t="s">
        <v>54</v>
      </c>
      <c r="F467" s="3"/>
      <c r="G467" s="3" t="s">
        <v>88</v>
      </c>
      <c r="H467" s="4" t="s">
        <v>89</v>
      </c>
      <c r="I467" s="5" t="n">
        <v>8500.0</v>
      </c>
      <c r="J467" s="6" t="s">
        <v>376</v>
      </c>
      <c r="K467" s="7" t="s">
        <v>1278</v>
      </c>
      <c r="L467" s="6" t="s">
        <v>376</v>
      </c>
      <c r="M467" s="7" t="s">
        <v>1278</v>
      </c>
      <c r="N467" s="6"/>
      <c r="O467" s="7"/>
      <c r="P467" s="6" t="s">
        <v>383</v>
      </c>
      <c r="Q467" s="7" t="s">
        <v>115</v>
      </c>
      <c r="R467" s="6"/>
      <c r="S467" s="7"/>
      <c r="T467" s="6" t="s">
        <v>383</v>
      </c>
      <c r="U467" s="7" t="s">
        <v>115</v>
      </c>
      <c r="V467" s="8" t="n">
        <f>163.33</f>
        <v>163.33</v>
      </c>
      <c r="W467" s="9" t="n">
        <f>3</f>
        <v>3.0</v>
      </c>
      <c r="X467" s="9"/>
      <c r="Y467" s="9" t="n">
        <f>49000</f>
        <v>49000.0</v>
      </c>
      <c r="Z467" s="9"/>
      <c r="AA467" s="9" t="str">
        <f>"－"</f>
        <v>－</v>
      </c>
      <c r="AB467" s="6" t="s">
        <v>58</v>
      </c>
      <c r="AC467" s="10" t="str">
        <f>"－"</f>
        <v>－</v>
      </c>
      <c r="AD467" s="9" t="n">
        <f>3</f>
        <v>3.0</v>
      </c>
    </row>
    <row r="468">
      <c r="A468" s="3" t="s">
        <v>50</v>
      </c>
      <c r="B468" s="3" t="s">
        <v>1268</v>
      </c>
      <c r="C468" s="43" t="s">
        <v>1269</v>
      </c>
      <c r="D468" s="43" t="s">
        <v>1270</v>
      </c>
      <c r="E468" s="3" t="s">
        <v>54</v>
      </c>
      <c r="F468" s="3"/>
      <c r="G468" s="3" t="s">
        <v>127</v>
      </c>
      <c r="H468" s="4" t="s">
        <v>128</v>
      </c>
      <c r="I468" s="5" t="n">
        <v>8500.0</v>
      </c>
      <c r="J468" s="6"/>
      <c r="K468" s="7" t="s">
        <v>57</v>
      </c>
      <c r="L468" s="6"/>
      <c r="M468" s="7" t="s">
        <v>57</v>
      </c>
      <c r="N468" s="6" t="s">
        <v>388</v>
      </c>
      <c r="O468" s="7" t="s">
        <v>1279</v>
      </c>
      <c r="P468" s="6"/>
      <c r="Q468" s="7" t="s">
        <v>57</v>
      </c>
      <c r="R468" s="6" t="s">
        <v>399</v>
      </c>
      <c r="S468" s="7" t="s">
        <v>1280</v>
      </c>
      <c r="T468" s="6"/>
      <c r="U468" s="7" t="s">
        <v>57</v>
      </c>
      <c r="V468" s="8" t="str">
        <f>"－"</f>
        <v>－</v>
      </c>
      <c r="W468" s="9" t="n">
        <f>1926</f>
        <v>1926.0</v>
      </c>
      <c r="X468" s="9" t="n">
        <v>1926.0</v>
      </c>
      <c r="Y468" s="9" t="n">
        <f>37406060</f>
        <v>3.740606E7</v>
      </c>
      <c r="Z468" s="9" t="n">
        <v>3.740606E7</v>
      </c>
      <c r="AA468" s="9" t="n">
        <f>1926</f>
        <v>1926.0</v>
      </c>
      <c r="AB468" s="6" t="s">
        <v>58</v>
      </c>
      <c r="AC468" s="10" t="str">
        <f>"－"</f>
        <v>－</v>
      </c>
      <c r="AD468" s="9" t="str">
        <f>"－"</f>
        <v>－</v>
      </c>
    </row>
    <row r="469">
      <c r="A469" s="3" t="s">
        <v>50</v>
      </c>
      <c r="B469" s="3" t="s">
        <v>1268</v>
      </c>
      <c r="C469" s="43" t="s">
        <v>1269</v>
      </c>
      <c r="D469" s="43" t="s">
        <v>1270</v>
      </c>
      <c r="E469" s="3" t="s">
        <v>54</v>
      </c>
      <c r="F469" s="3"/>
      <c r="G469" s="3" t="s">
        <v>100</v>
      </c>
      <c r="H469" s="4" t="s">
        <v>101</v>
      </c>
      <c r="I469" s="5" t="n">
        <v>8500.0</v>
      </c>
      <c r="J469" s="6"/>
      <c r="K469" s="7" t="s">
        <v>57</v>
      </c>
      <c r="L469" s="6"/>
      <c r="M469" s="7" t="s">
        <v>57</v>
      </c>
      <c r="N469" s="6" t="s">
        <v>631</v>
      </c>
      <c r="O469" s="7" t="s">
        <v>1281</v>
      </c>
      <c r="P469" s="6"/>
      <c r="Q469" s="7" t="s">
        <v>57</v>
      </c>
      <c r="R469" s="6" t="s">
        <v>426</v>
      </c>
      <c r="S469" s="7" t="s">
        <v>1282</v>
      </c>
      <c r="T469" s="6"/>
      <c r="U469" s="7" t="s">
        <v>57</v>
      </c>
      <c r="V469" s="8" t="str">
        <f>"－"</f>
        <v>－</v>
      </c>
      <c r="W469" s="9" t="n">
        <f>782</f>
        <v>782.0</v>
      </c>
      <c r="X469" s="9" t="n">
        <v>782.0</v>
      </c>
      <c r="Y469" s="9" t="n">
        <f>14860270</f>
        <v>1.486027E7</v>
      </c>
      <c r="Z469" s="9" t="n">
        <v>1.486027E7</v>
      </c>
      <c r="AA469" s="9" t="str">
        <f>"－"</f>
        <v>－</v>
      </c>
      <c r="AB469" s="6"/>
      <c r="AC469" s="10" t="n">
        <f>782</f>
        <v>782.0</v>
      </c>
      <c r="AD469" s="9" t="str">
        <f>"－"</f>
        <v>－</v>
      </c>
    </row>
    <row r="470">
      <c r="A470" s="3" t="s">
        <v>50</v>
      </c>
      <c r="B470" s="3" t="s">
        <v>1268</v>
      </c>
      <c r="C470" s="43" t="s">
        <v>1269</v>
      </c>
      <c r="D470" s="43" t="s">
        <v>1270</v>
      </c>
      <c r="E470" s="3" t="s">
        <v>54</v>
      </c>
      <c r="F470" s="3"/>
      <c r="G470" s="3" t="s">
        <v>457</v>
      </c>
      <c r="H470" s="4" t="s">
        <v>465</v>
      </c>
      <c r="I470" s="5" t="n">
        <v>7500.0</v>
      </c>
      <c r="J470" s="6"/>
      <c r="K470" s="7" t="s">
        <v>57</v>
      </c>
      <c r="L470" s="6"/>
      <c r="M470" s="7" t="s">
        <v>57</v>
      </c>
      <c r="N470" s="6" t="s">
        <v>444</v>
      </c>
      <c r="O470" s="7" t="s">
        <v>1283</v>
      </c>
      <c r="P470" s="6"/>
      <c r="Q470" s="7" t="s">
        <v>57</v>
      </c>
      <c r="R470" s="6" t="s">
        <v>444</v>
      </c>
      <c r="S470" s="7" t="s">
        <v>1283</v>
      </c>
      <c r="T470" s="6"/>
      <c r="U470" s="7" t="s">
        <v>57</v>
      </c>
      <c r="V470" s="8" t="str">
        <f>"－"</f>
        <v>－</v>
      </c>
      <c r="W470" s="9" t="n">
        <f>454</f>
        <v>454.0</v>
      </c>
      <c r="X470" s="9" t="n">
        <v>454.0</v>
      </c>
      <c r="Y470" s="9" t="n">
        <f>5007620</f>
        <v>5007620.0</v>
      </c>
      <c r="Z470" s="9" t="n">
        <v>5007620.0</v>
      </c>
      <c r="AA470" s="9" t="str">
        <f>"－"</f>
        <v>－</v>
      </c>
      <c r="AB470" s="6"/>
      <c r="AC470" s="10" t="n">
        <f>454</f>
        <v>454.0</v>
      </c>
      <c r="AD470" s="9" t="str">
        <f>"－"</f>
        <v>－</v>
      </c>
    </row>
    <row r="471">
      <c r="A471" s="3" t="s">
        <v>50</v>
      </c>
      <c r="B471" s="3" t="s">
        <v>1268</v>
      </c>
      <c r="C471" s="43" t="s">
        <v>1269</v>
      </c>
      <c r="D471" s="43" t="s">
        <v>1270</v>
      </c>
      <c r="E471" s="3" t="s">
        <v>104</v>
      </c>
      <c r="F471" s="3"/>
      <c r="G471" s="3" t="s">
        <v>84</v>
      </c>
      <c r="H471" s="4" t="s">
        <v>85</v>
      </c>
      <c r="I471" s="5" t="n">
        <v>8500.0</v>
      </c>
      <c r="J471" s="6"/>
      <c r="K471" s="7" t="s">
        <v>57</v>
      </c>
      <c r="L471" s="6"/>
      <c r="M471" s="7" t="s">
        <v>57</v>
      </c>
      <c r="N471" s="6" t="s">
        <v>347</v>
      </c>
      <c r="O471" s="7" t="s">
        <v>1284</v>
      </c>
      <c r="P471" s="6"/>
      <c r="Q471" s="7" t="s">
        <v>57</v>
      </c>
      <c r="R471" s="6" t="s">
        <v>359</v>
      </c>
      <c r="S471" s="7" t="s">
        <v>1285</v>
      </c>
      <c r="T471" s="6"/>
      <c r="U471" s="7" t="s">
        <v>57</v>
      </c>
      <c r="V471" s="8" t="str">
        <f>"－"</f>
        <v>－</v>
      </c>
      <c r="W471" s="9" t="n">
        <f>1647</f>
        <v>1647.0</v>
      </c>
      <c r="X471" s="9" t="n">
        <v>1647.0</v>
      </c>
      <c r="Y471" s="9" t="n">
        <f>60374160</f>
        <v>6.037416E7</v>
      </c>
      <c r="Z471" s="9" t="n">
        <v>6.037416E7</v>
      </c>
      <c r="AA471" s="9" t="n">
        <f>1647</f>
        <v>1647.0</v>
      </c>
      <c r="AB471" s="6" t="s">
        <v>58</v>
      </c>
      <c r="AC471" s="10" t="str">
        <f>"－"</f>
        <v>－</v>
      </c>
      <c r="AD471" s="9" t="str">
        <f>"－"</f>
        <v>－</v>
      </c>
    </row>
    <row r="472">
      <c r="A472" s="3" t="s">
        <v>50</v>
      </c>
      <c r="B472" s="3" t="s">
        <v>1286</v>
      </c>
      <c r="C472" s="43" t="s">
        <v>1287</v>
      </c>
      <c r="D472" s="43" t="s">
        <v>1288</v>
      </c>
      <c r="E472" s="3" t="s">
        <v>54</v>
      </c>
      <c r="F472" s="3"/>
      <c r="G472" s="3" t="s">
        <v>294</v>
      </c>
      <c r="H472" s="4" t="s">
        <v>295</v>
      </c>
      <c r="I472" s="5" t="n">
        <v>4400.0</v>
      </c>
      <c r="J472" s="6" t="s">
        <v>544</v>
      </c>
      <c r="K472" s="7" t="s">
        <v>99</v>
      </c>
      <c r="L472" s="6" t="s">
        <v>544</v>
      </c>
      <c r="M472" s="7" t="s">
        <v>99</v>
      </c>
      <c r="N472" s="6"/>
      <c r="O472" s="7"/>
      <c r="P472" s="6" t="s">
        <v>544</v>
      </c>
      <c r="Q472" s="7" t="s">
        <v>99</v>
      </c>
      <c r="R472" s="6"/>
      <c r="S472" s="7"/>
      <c r="T472" s="6" t="s">
        <v>544</v>
      </c>
      <c r="U472" s="7" t="s">
        <v>99</v>
      </c>
      <c r="V472" s="8" t="n">
        <f>45</f>
        <v>45.0</v>
      </c>
      <c r="W472" s="9" t="n">
        <f>5</f>
        <v>5.0</v>
      </c>
      <c r="X472" s="9"/>
      <c r="Y472" s="9" t="n">
        <f>22500</f>
        <v>22500.0</v>
      </c>
      <c r="Z472" s="9"/>
      <c r="AA472" s="9" t="str">
        <f>"－"</f>
        <v>－</v>
      </c>
      <c r="AB472" s="6" t="s">
        <v>58</v>
      </c>
      <c r="AC472" s="10" t="n">
        <f>5</f>
        <v>5.0</v>
      </c>
      <c r="AD472" s="9" t="n">
        <f>1</f>
        <v>1.0</v>
      </c>
    </row>
    <row r="473">
      <c r="A473" s="3" t="s">
        <v>50</v>
      </c>
      <c r="B473" s="3" t="s">
        <v>1286</v>
      </c>
      <c r="C473" s="43" t="s">
        <v>1287</v>
      </c>
      <c r="D473" s="43" t="s">
        <v>1288</v>
      </c>
      <c r="E473" s="3" t="s">
        <v>54</v>
      </c>
      <c r="F473" s="3"/>
      <c r="G473" s="3" t="s">
        <v>96</v>
      </c>
      <c r="H473" s="4" t="s">
        <v>97</v>
      </c>
      <c r="I473" s="5" t="n">
        <v>5000.0</v>
      </c>
      <c r="J473" s="6" t="s">
        <v>381</v>
      </c>
      <c r="K473" s="7" t="s">
        <v>1289</v>
      </c>
      <c r="L473" s="6" t="s">
        <v>381</v>
      </c>
      <c r="M473" s="7" t="s">
        <v>1289</v>
      </c>
      <c r="N473" s="6"/>
      <c r="O473" s="7"/>
      <c r="P473" s="6" t="s">
        <v>381</v>
      </c>
      <c r="Q473" s="7" t="s">
        <v>765</v>
      </c>
      <c r="R473" s="6"/>
      <c r="S473" s="7"/>
      <c r="T473" s="6" t="s">
        <v>381</v>
      </c>
      <c r="U473" s="7" t="s">
        <v>765</v>
      </c>
      <c r="V473" s="8" t="n">
        <f>150</f>
        <v>150.0</v>
      </c>
      <c r="W473" s="9" t="n">
        <f>10</f>
        <v>10.0</v>
      </c>
      <c r="X473" s="9"/>
      <c r="Y473" s="9" t="n">
        <f>168000</f>
        <v>168000.0</v>
      </c>
      <c r="Z473" s="9"/>
      <c r="AA473" s="9" t="str">
        <f>"－"</f>
        <v>－</v>
      </c>
      <c r="AB473" s="6" t="s">
        <v>58</v>
      </c>
      <c r="AC473" s="10" t="n">
        <f>10</f>
        <v>10.0</v>
      </c>
      <c r="AD473" s="9" t="n">
        <f>1</f>
        <v>1.0</v>
      </c>
    </row>
    <row r="474">
      <c r="A474" s="3" t="s">
        <v>50</v>
      </c>
      <c r="B474" s="3" t="s">
        <v>1286</v>
      </c>
      <c r="C474" s="43" t="s">
        <v>1287</v>
      </c>
      <c r="D474" s="43" t="s">
        <v>1288</v>
      </c>
      <c r="E474" s="3" t="s">
        <v>54</v>
      </c>
      <c r="F474" s="3"/>
      <c r="G474" s="3" t="s">
        <v>127</v>
      </c>
      <c r="H474" s="4" t="s">
        <v>428</v>
      </c>
      <c r="I474" s="5" t="n">
        <v>7000.0</v>
      </c>
      <c r="J474" s="6" t="s">
        <v>429</v>
      </c>
      <c r="K474" s="7" t="s">
        <v>173</v>
      </c>
      <c r="L474" s="6" t="s">
        <v>422</v>
      </c>
      <c r="M474" s="7" t="s">
        <v>1290</v>
      </c>
      <c r="N474" s="6"/>
      <c r="O474" s="7"/>
      <c r="P474" s="6" t="s">
        <v>429</v>
      </c>
      <c r="Q474" s="7" t="s">
        <v>173</v>
      </c>
      <c r="R474" s="6"/>
      <c r="S474" s="7"/>
      <c r="T474" s="6" t="s">
        <v>422</v>
      </c>
      <c r="U474" s="7" t="s">
        <v>1290</v>
      </c>
      <c r="V474" s="8" t="n">
        <f>565.25</f>
        <v>565.25</v>
      </c>
      <c r="W474" s="9" t="n">
        <f>6</f>
        <v>6.0</v>
      </c>
      <c r="X474" s="9"/>
      <c r="Y474" s="9" t="n">
        <f>339150</f>
        <v>339150.0</v>
      </c>
      <c r="Z474" s="9"/>
      <c r="AA474" s="9" t="n">
        <f>3</f>
        <v>3.0</v>
      </c>
      <c r="AB474" s="6" t="s">
        <v>58</v>
      </c>
      <c r="AC474" s="10" t="str">
        <f>"－"</f>
        <v>－</v>
      </c>
      <c r="AD474" s="9" t="n">
        <f>2</f>
        <v>2.0</v>
      </c>
    </row>
    <row r="475">
      <c r="A475" s="3" t="s">
        <v>50</v>
      </c>
      <c r="B475" s="3" t="s">
        <v>1286</v>
      </c>
      <c r="C475" s="43" t="s">
        <v>1287</v>
      </c>
      <c r="D475" s="43" t="s">
        <v>1288</v>
      </c>
      <c r="E475" s="3" t="s">
        <v>104</v>
      </c>
      <c r="F475" s="3"/>
      <c r="G475" s="3" t="s">
        <v>55</v>
      </c>
      <c r="H475" s="4" t="s">
        <v>56</v>
      </c>
      <c r="I475" s="5" t="n">
        <v>5500.0</v>
      </c>
      <c r="J475" s="6" t="s">
        <v>473</v>
      </c>
      <c r="K475" s="7" t="s">
        <v>404</v>
      </c>
      <c r="L475" s="6" t="s">
        <v>473</v>
      </c>
      <c r="M475" s="7" t="s">
        <v>404</v>
      </c>
      <c r="N475" s="6"/>
      <c r="O475" s="7"/>
      <c r="P475" s="6" t="s">
        <v>473</v>
      </c>
      <c r="Q475" s="7" t="s">
        <v>404</v>
      </c>
      <c r="R475" s="6"/>
      <c r="S475" s="7"/>
      <c r="T475" s="6" t="s">
        <v>473</v>
      </c>
      <c r="U475" s="7" t="s">
        <v>404</v>
      </c>
      <c r="V475" s="8" t="n">
        <f>100</f>
        <v>100.0</v>
      </c>
      <c r="W475" s="9" t="n">
        <f>2</f>
        <v>2.0</v>
      </c>
      <c r="X475" s="9"/>
      <c r="Y475" s="9" t="n">
        <f>20000</f>
        <v>20000.0</v>
      </c>
      <c r="Z475" s="9"/>
      <c r="AA475" s="9" t="n">
        <f>4</f>
        <v>4.0</v>
      </c>
      <c r="AB475" s="6" t="s">
        <v>58</v>
      </c>
      <c r="AC475" s="10" t="str">
        <f>"－"</f>
        <v>－</v>
      </c>
      <c r="AD475" s="9" t="n">
        <f>1</f>
        <v>1.0</v>
      </c>
    </row>
    <row r="476">
      <c r="A476" s="3" t="s">
        <v>50</v>
      </c>
      <c r="B476" s="3" t="s">
        <v>1286</v>
      </c>
      <c r="C476" s="43" t="s">
        <v>1287</v>
      </c>
      <c r="D476" s="43" t="s">
        <v>1288</v>
      </c>
      <c r="E476" s="3" t="s">
        <v>104</v>
      </c>
      <c r="F476" s="3"/>
      <c r="G476" s="3" t="s">
        <v>63</v>
      </c>
      <c r="H476" s="4" t="s">
        <v>174</v>
      </c>
      <c r="I476" s="5" t="n">
        <v>5000.0</v>
      </c>
      <c r="J476" s="6"/>
      <c r="K476" s="7" t="s">
        <v>57</v>
      </c>
      <c r="L476" s="6"/>
      <c r="M476" s="7" t="s">
        <v>57</v>
      </c>
      <c r="N476" s="6"/>
      <c r="O476" s="7"/>
      <c r="P476" s="6"/>
      <c r="Q476" s="7" t="s">
        <v>57</v>
      </c>
      <c r="R476" s="6"/>
      <c r="S476" s="7"/>
      <c r="T476" s="6"/>
      <c r="U476" s="7" t="s">
        <v>57</v>
      </c>
      <c r="V476" s="8" t="str">
        <f>"－"</f>
        <v>－</v>
      </c>
      <c r="W476" s="9" t="str">
        <f>"－"</f>
        <v>－</v>
      </c>
      <c r="X476" s="9"/>
      <c r="Y476" s="9" t="str">
        <f>"－"</f>
        <v>－</v>
      </c>
      <c r="Z476" s="9"/>
      <c r="AA476" s="9" t="str">
        <f>"－"</f>
        <v>－</v>
      </c>
      <c r="AB476" s="6" t="s">
        <v>58</v>
      </c>
      <c r="AC476" s="10" t="n">
        <f>1</f>
        <v>1.0</v>
      </c>
      <c r="AD476" s="9" t="str">
        <f>"－"</f>
        <v>－</v>
      </c>
    </row>
    <row r="477">
      <c r="A477" s="3" t="s">
        <v>50</v>
      </c>
      <c r="B477" s="3" t="s">
        <v>1286</v>
      </c>
      <c r="C477" s="43" t="s">
        <v>1287</v>
      </c>
      <c r="D477" s="43" t="s">
        <v>1288</v>
      </c>
      <c r="E477" s="3" t="s">
        <v>104</v>
      </c>
      <c r="F477" s="3"/>
      <c r="G477" s="3" t="s">
        <v>67</v>
      </c>
      <c r="H477" s="4" t="s">
        <v>72</v>
      </c>
      <c r="I477" s="5" t="n">
        <v>6000.0</v>
      </c>
      <c r="J477" s="6" t="s">
        <v>1291</v>
      </c>
      <c r="K477" s="7" t="s">
        <v>103</v>
      </c>
      <c r="L477" s="6" t="s">
        <v>1291</v>
      </c>
      <c r="M477" s="7" t="s">
        <v>103</v>
      </c>
      <c r="N477" s="6"/>
      <c r="O477" s="7"/>
      <c r="P477" s="6" t="s">
        <v>1291</v>
      </c>
      <c r="Q477" s="7" t="s">
        <v>103</v>
      </c>
      <c r="R477" s="6"/>
      <c r="S477" s="7"/>
      <c r="T477" s="6" t="s">
        <v>1291</v>
      </c>
      <c r="U477" s="7" t="s">
        <v>103</v>
      </c>
      <c r="V477" s="8" t="n">
        <f>35</f>
        <v>35.0</v>
      </c>
      <c r="W477" s="9" t="n">
        <f>1</f>
        <v>1.0</v>
      </c>
      <c r="X477" s="9"/>
      <c r="Y477" s="9" t="n">
        <f>3500</f>
        <v>3500.0</v>
      </c>
      <c r="Z477" s="9"/>
      <c r="AA477" s="9" t="str">
        <f>"－"</f>
        <v>－</v>
      </c>
      <c r="AB477" s="6" t="s">
        <v>58</v>
      </c>
      <c r="AC477" s="10" t="n">
        <f>1</f>
        <v>1.0</v>
      </c>
      <c r="AD477" s="9" t="n">
        <f>1</f>
        <v>1.0</v>
      </c>
    </row>
    <row r="478">
      <c r="A478" s="3" t="s">
        <v>50</v>
      </c>
      <c r="B478" s="3" t="s">
        <v>1286</v>
      </c>
      <c r="C478" s="43" t="s">
        <v>1287</v>
      </c>
      <c r="D478" s="43" t="s">
        <v>1288</v>
      </c>
      <c r="E478" s="3" t="s">
        <v>104</v>
      </c>
      <c r="F478" s="3"/>
      <c r="G478" s="3" t="s">
        <v>96</v>
      </c>
      <c r="H478" s="4" t="s">
        <v>97</v>
      </c>
      <c r="I478" s="5" t="n">
        <v>6000.0</v>
      </c>
      <c r="J478" s="6" t="s">
        <v>409</v>
      </c>
      <c r="K478" s="7" t="s">
        <v>479</v>
      </c>
      <c r="L478" s="6" t="s">
        <v>409</v>
      </c>
      <c r="M478" s="7" t="s">
        <v>479</v>
      </c>
      <c r="N478" s="6"/>
      <c r="O478" s="7"/>
      <c r="P478" s="6" t="s">
        <v>409</v>
      </c>
      <c r="Q478" s="7" t="s">
        <v>479</v>
      </c>
      <c r="R478" s="6"/>
      <c r="S478" s="7"/>
      <c r="T478" s="6" t="s">
        <v>409</v>
      </c>
      <c r="U478" s="7" t="s">
        <v>479</v>
      </c>
      <c r="V478" s="8" t="n">
        <f>70</f>
        <v>70.0</v>
      </c>
      <c r="W478" s="9" t="n">
        <f>1</f>
        <v>1.0</v>
      </c>
      <c r="X478" s="9"/>
      <c r="Y478" s="9" t="n">
        <f>7000</f>
        <v>7000.0</v>
      </c>
      <c r="Z478" s="9"/>
      <c r="AA478" s="9" t="n">
        <f>1</f>
        <v>1.0</v>
      </c>
      <c r="AB478" s="6" t="s">
        <v>58</v>
      </c>
      <c r="AC478" s="10" t="str">
        <f>"－"</f>
        <v>－</v>
      </c>
      <c r="AD478" s="9" t="n">
        <f>1</f>
        <v>1.0</v>
      </c>
    </row>
    <row r="479">
      <c r="A479" s="3" t="s">
        <v>50</v>
      </c>
      <c r="B479" s="3" t="s">
        <v>1286</v>
      </c>
      <c r="C479" s="43" t="s">
        <v>1287</v>
      </c>
      <c r="D479" s="43" t="s">
        <v>1288</v>
      </c>
      <c r="E479" s="3" t="s">
        <v>104</v>
      </c>
      <c r="F479" s="3"/>
      <c r="G479" s="3" t="s">
        <v>127</v>
      </c>
      <c r="H479" s="4" t="s">
        <v>128</v>
      </c>
      <c r="I479" s="5" t="n">
        <v>5500.0</v>
      </c>
      <c r="J479" s="6" t="s">
        <v>681</v>
      </c>
      <c r="K479" s="7" t="s">
        <v>1292</v>
      </c>
      <c r="L479" s="6" t="s">
        <v>681</v>
      </c>
      <c r="M479" s="7" t="s">
        <v>1292</v>
      </c>
      <c r="N479" s="6"/>
      <c r="O479" s="7"/>
      <c r="P479" s="6" t="s">
        <v>681</v>
      </c>
      <c r="Q479" s="7" t="s">
        <v>1292</v>
      </c>
      <c r="R479" s="6"/>
      <c r="S479" s="7"/>
      <c r="T479" s="6" t="s">
        <v>681</v>
      </c>
      <c r="U479" s="7" t="s">
        <v>1292</v>
      </c>
      <c r="V479" s="8" t="n">
        <f>332</f>
        <v>332.0</v>
      </c>
      <c r="W479" s="9" t="n">
        <f>10</f>
        <v>10.0</v>
      </c>
      <c r="X479" s="9"/>
      <c r="Y479" s="9" t="n">
        <f>332000</f>
        <v>332000.0</v>
      </c>
      <c r="Z479" s="9"/>
      <c r="AA479" s="9" t="n">
        <f>10</f>
        <v>10.0</v>
      </c>
      <c r="AB479" s="6" t="s">
        <v>58</v>
      </c>
      <c r="AC479" s="10" t="str">
        <f>"－"</f>
        <v>－</v>
      </c>
      <c r="AD479" s="9" t="n">
        <f>1</f>
        <v>1.0</v>
      </c>
    </row>
    <row r="480">
      <c r="A480" s="3" t="s">
        <v>50</v>
      </c>
      <c r="B480" s="3" t="s">
        <v>1286</v>
      </c>
      <c r="C480" s="43" t="s">
        <v>1287</v>
      </c>
      <c r="D480" s="43" t="s">
        <v>1288</v>
      </c>
      <c r="E480" s="3" t="s">
        <v>104</v>
      </c>
      <c r="F480" s="3"/>
      <c r="G480" s="3" t="s">
        <v>127</v>
      </c>
      <c r="H480" s="4" t="s">
        <v>128</v>
      </c>
      <c r="I480" s="5" t="n">
        <v>6000.0</v>
      </c>
      <c r="J480" s="6" t="s">
        <v>415</v>
      </c>
      <c r="K480" s="7" t="s">
        <v>508</v>
      </c>
      <c r="L480" s="6" t="s">
        <v>415</v>
      </c>
      <c r="M480" s="7" t="s">
        <v>508</v>
      </c>
      <c r="N480" s="6"/>
      <c r="O480" s="7"/>
      <c r="P480" s="6" t="s">
        <v>415</v>
      </c>
      <c r="Q480" s="7" t="s">
        <v>508</v>
      </c>
      <c r="R480" s="6"/>
      <c r="S480" s="7"/>
      <c r="T480" s="6" t="s">
        <v>415</v>
      </c>
      <c r="U480" s="7" t="s">
        <v>508</v>
      </c>
      <c r="V480" s="8" t="n">
        <f>210</f>
        <v>210.0</v>
      </c>
      <c r="W480" s="9" t="n">
        <f>5</f>
        <v>5.0</v>
      </c>
      <c r="X480" s="9"/>
      <c r="Y480" s="9" t="n">
        <f>105000</f>
        <v>105000.0</v>
      </c>
      <c r="Z480" s="9"/>
      <c r="AA480" s="9" t="n">
        <f>5</f>
        <v>5.0</v>
      </c>
      <c r="AB480" s="6" t="s">
        <v>58</v>
      </c>
      <c r="AC480" s="10" t="str">
        <f>"－"</f>
        <v>－</v>
      </c>
      <c r="AD480" s="9" t="n">
        <f>1</f>
        <v>1.0</v>
      </c>
    </row>
  </sheetData>
  <mergeCells count="33">
    <mergeCell ref="A1:M1"/>
    <mergeCell ref="A2:M2"/>
    <mergeCell ref="F3:F5"/>
    <mergeCell ref="C3:C6"/>
    <mergeCell ref="T4:T5"/>
    <mergeCell ref="A3:A5"/>
    <mergeCell ref="B3:B5"/>
    <mergeCell ref="AD3:AD5"/>
    <mergeCell ref="W4:W5"/>
    <mergeCell ref="J3:U3"/>
    <mergeCell ref="V3:V5"/>
    <mergeCell ref="W3:X3"/>
    <mergeCell ref="Y3:Z3"/>
    <mergeCell ref="K4:K5"/>
    <mergeCell ref="M4:M5"/>
    <mergeCell ref="P4:P5"/>
    <mergeCell ref="L4:L5"/>
    <mergeCell ref="AB6:AC6"/>
    <mergeCell ref="D3:D6"/>
    <mergeCell ref="I3:I5"/>
    <mergeCell ref="AA3:AA5"/>
    <mergeCell ref="E3:E5"/>
    <mergeCell ref="AB3:AC5"/>
    <mergeCell ref="G3:G5"/>
    <mergeCell ref="Z4:Z5"/>
    <mergeCell ref="X4:X5"/>
    <mergeCell ref="Q4:Q5"/>
    <mergeCell ref="H3:H5"/>
    <mergeCell ref="N4:O4"/>
    <mergeCell ref="R4:S4"/>
    <mergeCell ref="Y4:Y5"/>
    <mergeCell ref="U4:U5"/>
    <mergeCell ref="J4:J5"/>
  </mergeCells>
  <phoneticPr fontId="5"/>
  <printOptions horizontalCentered="1"/>
  <pageMargins bottom="0.98425196850393704" footer="0.51181102362204722" header="0.51181102362204722" left="0.39370078740157483" right="0.39370078740157483" top="0.59055118110236227"/>
  <pageSetup fitToHeight="0" orientation="landscape" paperSize="9" r:id="rId1" scale="34" useFirstPageNumber="1"/>
  <headerFooter>
    <oddFooter>&amp;C&amp;P/&amp;N&amp;RCopyright (c) Japan Exchange Group, Inc. All Rights Reserved.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BO_DY0003</vt:lpstr>
      <vt:lpstr>BO_DY0003!Print_Titles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2017-12-14T02:19:15Z</dcterms:created>
  <cp:lastPrinted>2020-11-11T02:07:02Z</cp:lastPrinted>
  <dcterms:modified xsi:type="dcterms:W3CDTF">2021-06-28T02:00:23Z</dcterms:modified>
</cp:coreProperties>
</file>