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60" windowWidth="27900" xWindow="-15" yWindow="-15"/>
  </bookViews>
  <sheets>
    <sheet name="BO_DY0000" r:id="rId1" sheetId="8"/>
  </sheets>
  <definedNames>
    <definedName localSheetId="0" name="_xlnm.Print_Titles">BO_DY0000!$1:$6</definedName>
  </definedNames>
  <calcPr calcId="145621"/>
</workbook>
</file>

<file path=xl/sharedStrings.xml><?xml version="1.0" encoding="utf-8"?>
<sst xmlns="http://schemas.openxmlformats.org/spreadsheetml/2006/main" count="2952" uniqueCount="1020">
  <si>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</si>
  <si>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</si>
  <si>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</si>
  <si>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</si>
  <si>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</si>
  <si>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</si>
  <si>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</si>
  <si>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</si>
  <si>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</si>
  <si>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</si>
  <si>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</si>
  <si>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</si>
  <si>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</si>
  <si>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</si>
  <si>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</si>
  <si>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</si>
  <si>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</si>
  <si>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</si>
  <si>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</si>
  <si>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年</t>
    <phoneticPr fontId="6"/>
  </si>
  <si>
    <t>Year</t>
    <phoneticPr fontId="6"/>
  </si>
  <si>
    <t>平均清算数値
（円/ポイント）</t>
    <rPh eb="6" sb="4">
      <t>スウチ</t>
    </rPh>
    <phoneticPr fontId="6"/>
  </si>
  <si>
    <t>うちJ-NET取引
（円/ポイント）</t>
    <phoneticPr fontId="6"/>
  </si>
  <si>
    <t>J-NET(￥/point)</t>
    <phoneticPr fontId="6"/>
  </si>
  <si>
    <t>Average
Settlement
Price(￥/point)</t>
    <phoneticPr fontId="6"/>
  </si>
  <si>
    <t>日</t>
    <rPh eb="1" sb="0">
      <t>ヒ</t>
    </rPh>
    <phoneticPr fontId="6"/>
  </si>
  <si>
    <t>始　値
（円/ポイント）</t>
    <phoneticPr fontId="6"/>
  </si>
  <si>
    <t>Open(￥/point)</t>
    <phoneticPr fontId="6"/>
  </si>
  <si>
    <t>高　値
（円/ポイント）</t>
    <phoneticPr fontId="6"/>
  </si>
  <si>
    <t>High(￥/point)</t>
    <phoneticPr fontId="6"/>
  </si>
  <si>
    <t>日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</si>
  <si>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</si>
  <si>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</si>
  <si>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</si>
  <si>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</si>
  <si>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</si>
  <si>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Days 
Traded</t>
    <phoneticPr fontId="6"/>
  </si>
  <si>
    <t>商品等</t>
    <phoneticPr fontId="6"/>
  </si>
  <si>
    <t>Products</t>
    <phoneticPr fontId="6"/>
  </si>
  <si>
    <t>値  段  Price</t>
    <phoneticPr fontId="6"/>
  </si>
  <si>
    <t>Date</t>
    <phoneticPr fontId="6"/>
  </si>
  <si>
    <t>Date</t>
    <phoneticPr fontId="6"/>
  </si>
  <si>
    <t>2020</t>
  </si>
  <si>
    <t>日経225先物</t>
  </si>
  <si>
    <t>Nikkei 225 Futures</t>
  </si>
  <si>
    <t>2020/03</t>
  </si>
  <si>
    <t>2018/09/14</t>
  </si>
  <si>
    <t>2020/03/12</t>
  </si>
  <si>
    <t>1/6</t>
  </si>
  <si>
    <t>23,640</t>
  </si>
  <si>
    <t>1/17</t>
  </si>
  <si>
    <t>24,110</t>
  </si>
  <si>
    <t>1/28</t>
  </si>
  <si>
    <t>24,450.0000</t>
  </si>
  <si>
    <t>3/12</t>
  </si>
  <si>
    <t>18,330</t>
  </si>
  <si>
    <t>18,350.0000</t>
  </si>
  <si>
    <t>18,360</t>
  </si>
  <si>
    <t>*</t>
  </si>
  <si>
    <t>2020/06</t>
  </si>
  <si>
    <t>2015/06/12</t>
  </si>
  <si>
    <t>2020/06/11</t>
  </si>
  <si>
    <t>23,450</t>
  </si>
  <si>
    <t>23,920</t>
  </si>
  <si>
    <t>23,920.0000</t>
  </si>
  <si>
    <t>3/17</t>
  </si>
  <si>
    <t>15,860</t>
  </si>
  <si>
    <t>15,870.0000</t>
  </si>
  <si>
    <t>6/11</t>
  </si>
  <si>
    <t>22,550</t>
  </si>
  <si>
    <t>2020/09</t>
  </si>
  <si>
    <t>2019/03/08</t>
  </si>
  <si>
    <t>2020/09/10</t>
  </si>
  <si>
    <t>23,300</t>
  </si>
  <si>
    <t>23,790</t>
  </si>
  <si>
    <t>9/3</t>
  </si>
  <si>
    <t>23,609.0000</t>
  </si>
  <si>
    <t>15,850</t>
  </si>
  <si>
    <t>15,920.0000</t>
  </si>
  <si>
    <t>9/10</t>
  </si>
  <si>
    <t>23,250</t>
  </si>
  <si>
    <t>2020/12</t>
  </si>
  <si>
    <t>2015/12/11</t>
  </si>
  <si>
    <t>2020/12/10</t>
  </si>
  <si>
    <t>22,110</t>
  </si>
  <si>
    <t>12/2</t>
  </si>
  <si>
    <t>26,980</t>
  </si>
  <si>
    <t>26,960.0000</t>
  </si>
  <si>
    <t>15,730</t>
  </si>
  <si>
    <t>3/19</t>
  </si>
  <si>
    <t>16,115.0000</t>
  </si>
  <si>
    <t>12/10</t>
  </si>
  <si>
    <t>26,710</t>
  </si>
  <si>
    <t>2021/03</t>
  </si>
  <si>
    <t>2019/09/13</t>
  </si>
  <si>
    <t>2021/03/11</t>
  </si>
  <si>
    <t>23,140</t>
  </si>
  <si>
    <t>12/30</t>
  </si>
  <si>
    <t>27,690</t>
  </si>
  <si>
    <t>28,100.0000</t>
  </si>
  <si>
    <t>4/3</t>
  </si>
  <si>
    <t>17,492.0000</t>
  </si>
  <si>
    <t>27,470</t>
  </si>
  <si>
    <t>2021/06</t>
  </si>
  <si>
    <t>2016/06/10</t>
  </si>
  <si>
    <t>2021/06/10</t>
  </si>
  <si>
    <t>22,810</t>
  </si>
  <si>
    <t>27,500</t>
  </si>
  <si>
    <t>27,450.0000</t>
  </si>
  <si>
    <t>15,830</t>
  </si>
  <si>
    <t>16,005.0000</t>
  </si>
  <si>
    <t>27,280</t>
  </si>
  <si>
    <t>2021/09</t>
  </si>
  <si>
    <t>2020/03/13</t>
  </si>
  <si>
    <t>2021/09/09</t>
  </si>
  <si>
    <t>5/26</t>
  </si>
  <si>
    <t>20,730</t>
  </si>
  <si>
    <t>27,180</t>
  </si>
  <si>
    <t>12/1</t>
  </si>
  <si>
    <t>26,476.0000</t>
  </si>
  <si>
    <t>10/9</t>
  </si>
  <si>
    <t>23,265.0000</t>
  </si>
  <si>
    <t>2021/12</t>
  </si>
  <si>
    <t>2016/12/09</t>
  </si>
  <si>
    <t>2021/12/09</t>
  </si>
  <si>
    <t>1/7</t>
  </si>
  <si>
    <t>22,190</t>
  </si>
  <si>
    <t>26,420</t>
  </si>
  <si>
    <t>26,986.0000</t>
  </si>
  <si>
    <t>3/13</t>
  </si>
  <si>
    <t>15,930</t>
  </si>
  <si>
    <t>15,790.0000</t>
  </si>
  <si>
    <t>12/25</t>
  </si>
  <si>
    <t>26,230</t>
  </si>
  <si>
    <t>2022/03</t>
  </si>
  <si>
    <t>2020/09/11</t>
  </si>
  <si>
    <t>2022/03/10</t>
  </si>
  <si>
    <t>9/18</t>
  </si>
  <si>
    <t>22,610</t>
  </si>
  <si>
    <t>27,060</t>
  </si>
  <si>
    <t>9/25</t>
  </si>
  <si>
    <t>22,430</t>
  </si>
  <si>
    <t>2022/06</t>
  </si>
  <si>
    <t>2017/06/09</t>
  </si>
  <si>
    <t>2022/06/09</t>
  </si>
  <si>
    <t>1/14</t>
  </si>
  <si>
    <t>12/18</t>
  </si>
  <si>
    <t>26,090</t>
  </si>
  <si>
    <t>11/17</t>
  </si>
  <si>
    <t>25,313.0000</t>
  </si>
  <si>
    <t>15,890</t>
  </si>
  <si>
    <t>3/23</t>
  </si>
  <si>
    <t>16,060.0000</t>
  </si>
  <si>
    <t>12/28</t>
  </si>
  <si>
    <t>25,950</t>
  </si>
  <si>
    <t>2022/12</t>
  </si>
  <si>
    <t>2017/12/08</t>
  </si>
  <si>
    <t>2022/12/08</t>
  </si>
  <si>
    <t>3/4</t>
  </si>
  <si>
    <t>19,670</t>
  </si>
  <si>
    <t>12/21</t>
  </si>
  <si>
    <t>25,820</t>
  </si>
  <si>
    <t>26,451.0000</t>
  </si>
  <si>
    <t>5/14</t>
  </si>
  <si>
    <t>19,300</t>
  </si>
  <si>
    <t>15,981.0000</t>
  </si>
  <si>
    <t>12/23</t>
  </si>
  <si>
    <t>25,510</t>
  </si>
  <si>
    <t>2023/06</t>
  </si>
  <si>
    <t>2018/06/08</t>
  </si>
  <si>
    <t>2023/06/08</t>
  </si>
  <si>
    <t>1/15</t>
  </si>
  <si>
    <t>22,390</t>
  </si>
  <si>
    <t>25,440</t>
  </si>
  <si>
    <t>11/26</t>
  </si>
  <si>
    <t>25,250.0000</t>
  </si>
  <si>
    <t>4/9</t>
  </si>
  <si>
    <t>18,110</t>
  </si>
  <si>
    <t>8/27</t>
  </si>
  <si>
    <t>21,983.0000</t>
  </si>
  <si>
    <t>2023/12</t>
  </si>
  <si>
    <t>2018/07/17</t>
  </si>
  <si>
    <t>2023/12/07</t>
  </si>
  <si>
    <t>22,100</t>
  </si>
  <si>
    <t>25,298.0000</t>
  </si>
  <si>
    <t>4/8</t>
  </si>
  <si>
    <t>18,500</t>
  </si>
  <si>
    <t>15,165.0000</t>
  </si>
  <si>
    <t>12/29</t>
  </si>
  <si>
    <t>2024/06</t>
  </si>
  <si>
    <t>2024/06/13</t>
  </si>
  <si>
    <t>4/2</t>
  </si>
  <si>
    <t>16,630</t>
  </si>
  <si>
    <t>11/19</t>
  </si>
  <si>
    <t>22,270</t>
  </si>
  <si>
    <t>2024/12</t>
  </si>
  <si>
    <t>2024/12/12</t>
  </si>
  <si>
    <t>2/28</t>
  </si>
  <si>
    <t>18,890</t>
  </si>
  <si>
    <t>8/13</t>
  </si>
  <si>
    <t>21,070</t>
  </si>
  <si>
    <t>10/16</t>
  </si>
  <si>
    <t>21,700.0000</t>
  </si>
  <si>
    <t>16,000.0000</t>
  </si>
  <si>
    <t>8/20</t>
  </si>
  <si>
    <t>20,970</t>
  </si>
  <si>
    <t>2025/06</t>
  </si>
  <si>
    <t>2025/06/12</t>
  </si>
  <si>
    <t>－</t>
  </si>
  <si>
    <t>2025/12</t>
  </si>
  <si>
    <t>2025/12/11</t>
  </si>
  <si>
    <t>16,710.0000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</si>
  <si>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</si>
  <si>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</si>
  <si>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</si>
  <si>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</si>
  <si>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</si>
  <si>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</si>
  <si>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</si>
  <si>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</si>
  <si>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4/30</t>
  </si>
  <si>
    <t>18,520</t>
  </si>
  <si>
    <t>5/28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</si>
  <si>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</si>
  <si>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</si>
  <si>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</si>
  <si>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</si>
  <si>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</si>
  <si>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</si>
  <si>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</si>
  <si>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</si>
  <si>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</si>
  <si>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日経225mini</t>
  </si>
  <si>
    <t>Nikkei 225 mini</t>
  </si>
  <si>
    <t>2020/01</t>
  </si>
  <si>
    <t>2019/08/09</t>
  </si>
  <si>
    <t>2020/01/09</t>
  </si>
  <si>
    <t>23,675</t>
  </si>
  <si>
    <t>1/9</t>
  </si>
  <si>
    <t>23,775</t>
  </si>
  <si>
    <t>23,775.0000</t>
  </si>
  <si>
    <t>1/8</t>
  </si>
  <si>
    <t>22,940</t>
  </si>
  <si>
    <t>22,940.0000</t>
  </si>
  <si>
    <t>23,730</t>
  </si>
  <si>
    <t>2020/02</t>
  </si>
  <si>
    <t>2019/10/11</t>
  </si>
  <si>
    <t>2020/02/13</t>
  </si>
  <si>
    <t>23,670</t>
  </si>
  <si>
    <t>24,130</t>
  </si>
  <si>
    <t>24,125.0000</t>
  </si>
  <si>
    <t>2/3</t>
  </si>
  <si>
    <t>22,665</t>
  </si>
  <si>
    <t>22,680.0000</t>
  </si>
  <si>
    <t>2/13</t>
  </si>
  <si>
    <t>23,820</t>
  </si>
  <si>
    <t>24,105</t>
  </si>
  <si>
    <t>24,105.0000</t>
  </si>
  <si>
    <t>18,172.1400</t>
  </si>
  <si>
    <t>18,355</t>
  </si>
  <si>
    <t>2020/04</t>
  </si>
  <si>
    <t>2019/11/08</t>
  </si>
  <si>
    <t>2020/04/09</t>
  </si>
  <si>
    <t>23,460</t>
  </si>
  <si>
    <t>23,930</t>
  </si>
  <si>
    <t>23,925.0000</t>
  </si>
  <si>
    <t>15,875</t>
  </si>
  <si>
    <t>15,875.0000</t>
  </si>
  <si>
    <t>19,515</t>
  </si>
  <si>
    <t>2020/05</t>
  </si>
  <si>
    <t>2020/01/10</t>
  </si>
  <si>
    <t>2020/05/07</t>
  </si>
  <si>
    <t>23,585</t>
  </si>
  <si>
    <t>23,935</t>
  </si>
  <si>
    <t>2/20</t>
  </si>
  <si>
    <t>23,560.0000</t>
  </si>
  <si>
    <t>15,870</t>
  </si>
  <si>
    <t>15,880.0000</t>
  </si>
  <si>
    <t>5/7</t>
  </si>
  <si>
    <t>19,710</t>
  </si>
  <si>
    <t>23,925</t>
  </si>
  <si>
    <t>23,605.0000</t>
  </si>
  <si>
    <t>15,860.0000</t>
  </si>
  <si>
    <t>22,525</t>
  </si>
  <si>
    <t>2020/07</t>
  </si>
  <si>
    <t>2020/02/14</t>
  </si>
  <si>
    <t>2020/07/09</t>
  </si>
  <si>
    <t>2/14</t>
  </si>
  <si>
    <t>23,445</t>
  </si>
  <si>
    <t>6/8</t>
  </si>
  <si>
    <t>15,880</t>
  </si>
  <si>
    <t>3/16</t>
  </si>
  <si>
    <t>16,898.0000</t>
  </si>
  <si>
    <t>7/9</t>
  </si>
  <si>
    <t>22,530</t>
  </si>
  <si>
    <t>2020/08</t>
  </si>
  <si>
    <t>2020/04/10</t>
  </si>
  <si>
    <t>2020/08/13</t>
  </si>
  <si>
    <t>4/13</t>
  </si>
  <si>
    <t>19,290</t>
  </si>
  <si>
    <t>23,320</t>
  </si>
  <si>
    <t>23,320.0000</t>
  </si>
  <si>
    <t>4/14</t>
  </si>
  <si>
    <t>18,000</t>
  </si>
  <si>
    <t>5/15</t>
  </si>
  <si>
    <t>19,575.0000</t>
  </si>
  <si>
    <t>23,235</t>
  </si>
  <si>
    <t>23,395</t>
  </si>
  <si>
    <t>23,850</t>
  </si>
  <si>
    <t>23,610.0000</t>
  </si>
  <si>
    <t>15,815</t>
  </si>
  <si>
    <t>3/31</t>
  </si>
  <si>
    <t>18,760.0000</t>
  </si>
  <si>
    <t>23,240</t>
  </si>
  <si>
    <t>2020/10</t>
  </si>
  <si>
    <t>2020/05/08</t>
  </si>
  <si>
    <t>2020/10/08</t>
  </si>
  <si>
    <t>5/11</t>
  </si>
  <si>
    <t>19,970</t>
  </si>
  <si>
    <t>10/8</t>
  </si>
  <si>
    <t>23,705</t>
  </si>
  <si>
    <t>23,705.0000</t>
  </si>
  <si>
    <t>19,465</t>
  </si>
  <si>
    <t>7/31</t>
  </si>
  <si>
    <t>21,546.0000</t>
  </si>
  <si>
    <t>23,655</t>
  </si>
  <si>
    <t>2020/11</t>
  </si>
  <si>
    <t>2020/07/10</t>
  </si>
  <si>
    <t>2020/11/12</t>
  </si>
  <si>
    <t>7/13</t>
  </si>
  <si>
    <t>22,510</t>
  </si>
  <si>
    <t>11/10</t>
  </si>
  <si>
    <t>25,905</t>
  </si>
  <si>
    <t>25,905.0000</t>
  </si>
  <si>
    <t>21,555</t>
  </si>
  <si>
    <t>8/24</t>
  </si>
  <si>
    <t>22,600.0000</t>
  </si>
  <si>
    <t>11/12</t>
  </si>
  <si>
    <t>25,360</t>
  </si>
  <si>
    <t>23,220</t>
  </si>
  <si>
    <t>26,975</t>
  </si>
  <si>
    <t>26,975.0000</t>
  </si>
  <si>
    <t>15,675</t>
  </si>
  <si>
    <t>17,800.0000</t>
  </si>
  <si>
    <t>2021/01</t>
  </si>
  <si>
    <t>2020/08/14</t>
  </si>
  <si>
    <t>2021/01/07</t>
  </si>
  <si>
    <t>8/17</t>
  </si>
  <si>
    <t>22,915</t>
  </si>
  <si>
    <t>27,710</t>
  </si>
  <si>
    <t>27,710.0000</t>
  </si>
  <si>
    <t>22,545</t>
  </si>
  <si>
    <t>10/30</t>
  </si>
  <si>
    <t>22,895.0000</t>
  </si>
  <si>
    <t>27,495</t>
  </si>
  <si>
    <t>2021/02</t>
  </si>
  <si>
    <t>2020/10/09</t>
  </si>
  <si>
    <t>2021/02/10</t>
  </si>
  <si>
    <t>23,620</t>
  </si>
  <si>
    <t>27,705</t>
  </si>
  <si>
    <t>27,705.0000</t>
  </si>
  <si>
    <t>11/2</t>
  </si>
  <si>
    <t>22,890</t>
  </si>
  <si>
    <t>10/29</t>
  </si>
  <si>
    <t>23,135</t>
  </si>
  <si>
    <t>27,685</t>
  </si>
  <si>
    <t>27,685.0000</t>
  </si>
  <si>
    <t>15,660</t>
  </si>
  <si>
    <t>4/10</t>
  </si>
  <si>
    <t>19,310.0000</t>
  </si>
  <si>
    <t>2021/04</t>
  </si>
  <si>
    <t>2020/11/13</t>
  </si>
  <si>
    <t>2021/04/08</t>
  </si>
  <si>
    <t>11/13</t>
  </si>
  <si>
    <t>25,200</t>
  </si>
  <si>
    <t>27,515</t>
  </si>
  <si>
    <t>12/4</t>
  </si>
  <si>
    <t>26,529.0000</t>
  </si>
  <si>
    <t>24,995</t>
  </si>
  <si>
    <t>25,276.5000</t>
  </si>
  <si>
    <t>27,235</t>
  </si>
  <si>
    <t>22,790</t>
  </si>
  <si>
    <t>19,210.0000</t>
  </si>
  <si>
    <t>15,500</t>
  </si>
  <si>
    <t>27,290</t>
  </si>
  <si>
    <t>17,000</t>
  </si>
  <si>
    <t>27,435</t>
  </si>
  <si>
    <t>19,150.0000</t>
  </si>
  <si>
    <t>15,775</t>
  </si>
  <si>
    <t>27,345</t>
  </si>
  <si>
    <t>22,720</t>
  </si>
  <si>
    <t>27,240</t>
  </si>
  <si>
    <t>19,040.0000</t>
  </si>
  <si>
    <t>15,255</t>
  </si>
  <si>
    <t>26,950</t>
  </si>
  <si>
    <t>9/14</t>
  </si>
  <si>
    <t>22,875</t>
  </si>
  <si>
    <t>27,150</t>
  </si>
  <si>
    <t>22,400</t>
  </si>
  <si>
    <t>26,910</t>
  </si>
  <si>
    <t>15,150</t>
  </si>
  <si>
    <t>26,845</t>
  </si>
  <si>
    <t>26,715</t>
  </si>
  <si>
    <t>15,020</t>
  </si>
  <si>
    <t>26,570</t>
  </si>
  <si>
    <t>21,570</t>
  </si>
  <si>
    <t>26,330</t>
  </si>
  <si>
    <t>15,130</t>
  </si>
  <si>
    <t>26,250</t>
  </si>
  <si>
    <t>21,700</t>
  </si>
  <si>
    <t>26,245</t>
  </si>
  <si>
    <t>3/18</t>
  </si>
  <si>
    <t>15,010</t>
  </si>
  <si>
    <t>26,000</t>
  </si>
  <si>
    <t>20,995</t>
  </si>
  <si>
    <t>25,330</t>
  </si>
  <si>
    <t>14,890</t>
  </si>
  <si>
    <t>21,200</t>
  </si>
  <si>
    <t>25,760</t>
  </si>
  <si>
    <t>14,050</t>
  </si>
  <si>
    <t>25,580</t>
  </si>
  <si>
    <t>6/15</t>
  </si>
  <si>
    <t>20,265</t>
  </si>
  <si>
    <t>25,680</t>
  </si>
  <si>
    <t>8/3</t>
  </si>
  <si>
    <t>19,750</t>
  </si>
  <si>
    <t>25,260</t>
  </si>
  <si>
    <t>12/15</t>
  </si>
  <si>
    <t>24,485</t>
  </si>
  <si>
    <t>24,900</t>
  </si>
  <si>
    <t>12/22</t>
  </si>
  <si>
    <t>23,900</t>
  </si>
  <si>
    <t>TOPIX先物</t>
  </si>
  <si>
    <t>TOPIX Futures</t>
  </si>
  <si>
    <t>1,718.0</t>
  </si>
  <si>
    <t>1/20</t>
  </si>
  <si>
    <t>1,746.0</t>
  </si>
  <si>
    <t>1/23</t>
  </si>
  <si>
    <t>1,789.4400</t>
  </si>
  <si>
    <t>1,308.0</t>
  </si>
  <si>
    <t>1,308.0000</t>
  </si>
  <si>
    <t>1,687.5</t>
  </si>
  <si>
    <t>1/10</t>
  </si>
  <si>
    <t>1,726.5</t>
  </si>
  <si>
    <t>2/6</t>
  </si>
  <si>
    <t>1,717.0800</t>
  </si>
  <si>
    <t>1,144.0</t>
  </si>
  <si>
    <t>1,153.0000</t>
  </si>
  <si>
    <t>1,591.0</t>
  </si>
  <si>
    <t>3/3</t>
  </si>
  <si>
    <t>1,503.0</t>
  </si>
  <si>
    <t>1,644.5</t>
  </si>
  <si>
    <t>6/29</t>
  </si>
  <si>
    <t>1,648.0986</t>
  </si>
  <si>
    <t>1,179.0</t>
  </si>
  <si>
    <t>1,246.5000</t>
  </si>
  <si>
    <t>1,624.0</t>
  </si>
  <si>
    <t>6/17</t>
  </si>
  <si>
    <t>1,572.0</t>
  </si>
  <si>
    <t>11/30</t>
  </si>
  <si>
    <t>1,794.0</t>
  </si>
  <si>
    <t>11/27</t>
  </si>
  <si>
    <t>1,793.5000</t>
  </si>
  <si>
    <t>9/8</t>
  </si>
  <si>
    <t>1,543.0</t>
  </si>
  <si>
    <t>1,388.5000</t>
  </si>
  <si>
    <t>1,769.0</t>
  </si>
  <si>
    <t>9/17</t>
  </si>
  <si>
    <t>1,619.0</t>
  </si>
  <si>
    <t>1,823.0</t>
  </si>
  <si>
    <t>1,822.5000</t>
  </si>
  <si>
    <t>10/28</t>
  </si>
  <si>
    <t>1,599.0</t>
  </si>
  <si>
    <t>5/18</t>
  </si>
  <si>
    <t>1,437.8000</t>
  </si>
  <si>
    <t>1,804.5</t>
  </si>
  <si>
    <t>1,749.0</t>
  </si>
  <si>
    <t>1,752.5</t>
  </si>
  <si>
    <t>1,745.5</t>
  </si>
  <si>
    <t>ミニTOPIX先物</t>
  </si>
  <si>
    <t>mini-TOPIX Futures</t>
  </si>
  <si>
    <t>1,718.25</t>
  </si>
  <si>
    <t>1/22</t>
  </si>
  <si>
    <t>1,746.00</t>
  </si>
  <si>
    <t>1,746.0000</t>
  </si>
  <si>
    <t>3/10</t>
  </si>
  <si>
    <t>1,309.25</t>
  </si>
  <si>
    <t>1,320.00</t>
  </si>
  <si>
    <t>1,676.00</t>
  </si>
  <si>
    <t>1,727.25</t>
  </si>
  <si>
    <t>1,643.0000</t>
  </si>
  <si>
    <t>1,144.25</t>
  </si>
  <si>
    <t>1,145.2500</t>
  </si>
  <si>
    <t>1,584.75</t>
  </si>
  <si>
    <t>1/30</t>
  </si>
  <si>
    <t>1,650.00</t>
  </si>
  <si>
    <t>2/12</t>
  </si>
  <si>
    <t>1,705.00</t>
  </si>
  <si>
    <t>1,644.7500</t>
  </si>
  <si>
    <t>1,150.00</t>
  </si>
  <si>
    <t>1,491.5000</t>
  </si>
  <si>
    <t>1,622.25</t>
  </si>
  <si>
    <t>1,262.25</t>
  </si>
  <si>
    <t>1,794.00</t>
  </si>
  <si>
    <t>3/24</t>
  </si>
  <si>
    <t>1,258.50</t>
  </si>
  <si>
    <t>1,574.2500</t>
  </si>
  <si>
    <t>1,769.00</t>
  </si>
  <si>
    <t>9/16</t>
  </si>
  <si>
    <t>1,626.25</t>
  </si>
  <si>
    <t>1,822.75</t>
  </si>
  <si>
    <t>1,821.8000</t>
  </si>
  <si>
    <t>1,568.25</t>
  </si>
  <si>
    <t>12/8</t>
  </si>
  <si>
    <t>1,804.75</t>
  </si>
  <si>
    <t>10/2</t>
  </si>
  <si>
    <t>1,589.75</t>
  </si>
  <si>
    <t>1,810.00</t>
  </si>
  <si>
    <t>1,786.00</t>
  </si>
  <si>
    <t>JPX日経インデックス400先物</t>
  </si>
  <si>
    <t>JPX-Nikkei Index 400 Futures</t>
  </si>
  <si>
    <t>15,340</t>
  </si>
  <si>
    <t>15,640</t>
  </si>
  <si>
    <t>15,630.0000</t>
  </si>
  <si>
    <t>11,795</t>
  </si>
  <si>
    <t>11,820.0000</t>
  </si>
  <si>
    <t>11,855</t>
  </si>
  <si>
    <t>15,350</t>
  </si>
  <si>
    <t>15,490</t>
  </si>
  <si>
    <t>14,800.0000</t>
  </si>
  <si>
    <t>10,300</t>
  </si>
  <si>
    <t>10,330.0000</t>
  </si>
  <si>
    <t>14,305</t>
  </si>
  <si>
    <t>3/30</t>
  </si>
  <si>
    <t>13,695</t>
  </si>
  <si>
    <t>14,855</t>
  </si>
  <si>
    <t>14,830.0000</t>
  </si>
  <si>
    <t>4/24</t>
  </si>
  <si>
    <t>12,735</t>
  </si>
  <si>
    <t>13,475.0000</t>
  </si>
  <si>
    <t>14,725</t>
  </si>
  <si>
    <t>9/2</t>
  </si>
  <si>
    <t>14,524</t>
  </si>
  <si>
    <t>16,300</t>
  </si>
  <si>
    <t>16,295.0000</t>
  </si>
  <si>
    <t>14,155</t>
  </si>
  <si>
    <t>14,155.0000</t>
  </si>
  <si>
    <t>16,055</t>
  </si>
  <si>
    <t>11/25</t>
  </si>
  <si>
    <t>17,090</t>
  </si>
  <si>
    <t>16,510.0000</t>
  </si>
  <si>
    <t>15,800</t>
  </si>
  <si>
    <t>15,815.0000</t>
  </si>
  <si>
    <t>16,350</t>
  </si>
  <si>
    <t>12/14</t>
  </si>
  <si>
    <t>16,150</t>
  </si>
  <si>
    <t>TOPIX Core30先物</t>
  </si>
  <si>
    <t>TOPIX Core30 Futures</t>
  </si>
  <si>
    <t>781.0</t>
  </si>
  <si>
    <t>2/7</t>
  </si>
  <si>
    <t>809.0</t>
  </si>
  <si>
    <t>664.1000</t>
  </si>
  <si>
    <t>3/11</t>
  </si>
  <si>
    <t>673.5</t>
  </si>
  <si>
    <t>645.0000</t>
  </si>
  <si>
    <t>619.0</t>
  </si>
  <si>
    <t>6/9</t>
  </si>
  <si>
    <t>757.0</t>
  </si>
  <si>
    <t>757.0000</t>
  </si>
  <si>
    <t>573.0</t>
  </si>
  <si>
    <t>634.0000</t>
  </si>
  <si>
    <t>6/16</t>
  </si>
  <si>
    <t>678.0</t>
  </si>
  <si>
    <t>7/15</t>
  </si>
  <si>
    <t>743.5</t>
  </si>
  <si>
    <t>756.3000</t>
  </si>
  <si>
    <t>722.7400</t>
  </si>
  <si>
    <t>7/30</t>
  </si>
  <si>
    <t>722.5</t>
  </si>
  <si>
    <t>9/15</t>
  </si>
  <si>
    <t>747.5</t>
  </si>
  <si>
    <t>819.0</t>
  </si>
  <si>
    <t>825.0000</t>
  </si>
  <si>
    <t>735.3100</t>
  </si>
  <si>
    <t>812.5</t>
  </si>
  <si>
    <t>810.0000</t>
  </si>
  <si>
    <t>807.4000</t>
  </si>
  <si>
    <t>東証銀行業株価指数先物</t>
  </si>
  <si>
    <t>TOPIX Banks Index Futures</t>
  </si>
  <si>
    <t>144.1</t>
  </si>
  <si>
    <t>148.8300</t>
  </si>
  <si>
    <t>3/9</t>
  </si>
  <si>
    <t>111.8</t>
  </si>
  <si>
    <t>107.0000</t>
  </si>
  <si>
    <t>96.9</t>
  </si>
  <si>
    <t>129.7800</t>
  </si>
  <si>
    <t>95.6</t>
  </si>
  <si>
    <t>104.0500</t>
  </si>
  <si>
    <t>7/27</t>
  </si>
  <si>
    <t>114.7</t>
  </si>
  <si>
    <t>8/25</t>
  </si>
  <si>
    <t>120.2</t>
  </si>
  <si>
    <t>129.8800</t>
  </si>
  <si>
    <t>9/9</t>
  </si>
  <si>
    <t>118.0000</t>
  </si>
  <si>
    <t>120.0</t>
  </si>
  <si>
    <t>121.4</t>
  </si>
  <si>
    <t>126.2545</t>
  </si>
  <si>
    <t>115.1000</t>
  </si>
  <si>
    <t>121.3</t>
  </si>
  <si>
    <t>119.9000</t>
  </si>
  <si>
    <t>12/9</t>
  </si>
  <si>
    <t>117.9100</t>
  </si>
  <si>
    <t>東証REIT指数先物</t>
  </si>
  <si>
    <t>TSE REIT Index Futures</t>
  </si>
  <si>
    <t>2,101.0</t>
  </si>
  <si>
    <t>2/19</t>
  </si>
  <si>
    <t>2,247.5</t>
  </si>
  <si>
    <t>2/21</t>
  </si>
  <si>
    <t>2,243.5000</t>
  </si>
  <si>
    <t>1,786.3</t>
  </si>
  <si>
    <t>1,783.5000</t>
  </si>
  <si>
    <t>1,797.0</t>
  </si>
  <si>
    <t>2,117.0</t>
  </si>
  <si>
    <t>3/6</t>
  </si>
  <si>
    <t>2,100.0000</t>
  </si>
  <si>
    <t>1,135.0</t>
  </si>
  <si>
    <t>1,058.1000</t>
  </si>
  <si>
    <t>1,712.9</t>
  </si>
  <si>
    <t>1,660.0</t>
  </si>
  <si>
    <t>8/31</t>
  </si>
  <si>
    <t>1,815.0</t>
  </si>
  <si>
    <t>9/4</t>
  </si>
  <si>
    <t>1,751.8000</t>
  </si>
  <si>
    <t>1,560.5</t>
  </si>
  <si>
    <t>1,612.4300</t>
  </si>
  <si>
    <t>1,708.5</t>
  </si>
  <si>
    <t>9/7</t>
  </si>
  <si>
    <t>1,711.0</t>
  </si>
  <si>
    <t>10/1</t>
  </si>
  <si>
    <t>1,754.5</t>
  </si>
  <si>
    <t>10/7</t>
  </si>
  <si>
    <t>1,746.5000</t>
  </si>
  <si>
    <t>1,616.0</t>
  </si>
  <si>
    <t>1,627.1300</t>
  </si>
  <si>
    <t>1,697.4</t>
  </si>
  <si>
    <t>12/7</t>
  </si>
  <si>
    <t>1,662.7</t>
  </si>
  <si>
    <t>1,765.0</t>
  </si>
  <si>
    <t>1,767.7700</t>
  </si>
  <si>
    <t>1,650.8</t>
  </si>
  <si>
    <t>1,654.1900</t>
  </si>
  <si>
    <t>1,762.5</t>
  </si>
  <si>
    <t>RNプライム指数先物</t>
  </si>
  <si>
    <t>RN Prime Index Futures</t>
  </si>
  <si>
    <t>東証マザーズ指数先物</t>
  </si>
  <si>
    <t>TSE Mothers Index Futures</t>
  </si>
  <si>
    <t>883.0</t>
  </si>
  <si>
    <t>885.0</t>
  </si>
  <si>
    <t>894.3400</t>
  </si>
  <si>
    <t>594.0</t>
  </si>
  <si>
    <t>594.0000</t>
  </si>
  <si>
    <t>603.0</t>
  </si>
  <si>
    <t>863.0</t>
  </si>
  <si>
    <t>1,047.0</t>
  </si>
  <si>
    <t>1,047.0000</t>
  </si>
  <si>
    <t>503.0</t>
  </si>
  <si>
    <t>506.0000</t>
  </si>
  <si>
    <t>1,016.0</t>
  </si>
  <si>
    <t>2/18</t>
  </si>
  <si>
    <t>788.0</t>
  </si>
  <si>
    <t>1,177.0</t>
  </si>
  <si>
    <t>1,175.0000</t>
  </si>
  <si>
    <t>506.0</t>
  </si>
  <si>
    <t>7/2</t>
  </si>
  <si>
    <t>897.0000</t>
  </si>
  <si>
    <t>1,124.0</t>
  </si>
  <si>
    <t>4/15</t>
  </si>
  <si>
    <t>676.0</t>
  </si>
  <si>
    <t>10/15</t>
  </si>
  <si>
    <t>1,340.0</t>
  </si>
  <si>
    <t>10/14</t>
  </si>
  <si>
    <t>1,368.0500</t>
  </si>
  <si>
    <t>9/11</t>
  </si>
  <si>
    <t>1,045.0000</t>
  </si>
  <si>
    <t>1,155.0</t>
  </si>
  <si>
    <t>827.0</t>
  </si>
  <si>
    <t>1,306.0</t>
  </si>
  <si>
    <t>1,199.0000</t>
  </si>
  <si>
    <t>567.0</t>
  </si>
  <si>
    <t>1,105.0000</t>
  </si>
  <si>
    <t>1,178.0</t>
  </si>
  <si>
    <t>784.0</t>
  </si>
  <si>
    <t>11/6</t>
  </si>
  <si>
    <t>1,240.0</t>
  </si>
  <si>
    <t>1,157.0</t>
  </si>
  <si>
    <t>12/11</t>
  </si>
  <si>
    <t>1,158.0</t>
  </si>
  <si>
    <t>NYダウ先物</t>
  </si>
  <si>
    <t>DJIA Futures</t>
  </si>
  <si>
    <t>2019/03/18</t>
  </si>
  <si>
    <t>2020/03/19</t>
  </si>
  <si>
    <t>28,590</t>
  </si>
  <si>
    <t>29,530</t>
  </si>
  <si>
    <t>29,528.0000</t>
  </si>
  <si>
    <t>18,900</t>
  </si>
  <si>
    <t>18,965.0000</t>
  </si>
  <si>
    <t>19,584</t>
  </si>
  <si>
    <t>2019/06/24</t>
  </si>
  <si>
    <t>2020/06/19</t>
  </si>
  <si>
    <t>28,300</t>
  </si>
  <si>
    <t>29,400</t>
  </si>
  <si>
    <t>27,588.0000</t>
  </si>
  <si>
    <t>17,700</t>
  </si>
  <si>
    <t>17,781.0000</t>
  </si>
  <si>
    <t>6/19</t>
  </si>
  <si>
    <t>26,020</t>
  </si>
  <si>
    <t>2019/09/24</t>
  </si>
  <si>
    <t>2020/09/18</t>
  </si>
  <si>
    <t>28,750</t>
  </si>
  <si>
    <t>29,165</t>
  </si>
  <si>
    <t>29,159.0000</t>
  </si>
  <si>
    <t>17,799</t>
  </si>
  <si>
    <t>6/12</t>
  </si>
  <si>
    <t>24,800.0000</t>
  </si>
  <si>
    <t>28,112</t>
  </si>
  <si>
    <t>2019/12/23</t>
  </si>
  <si>
    <t>2020/12/18</t>
  </si>
  <si>
    <t>28,500</t>
  </si>
  <si>
    <t>30,325</t>
  </si>
  <si>
    <t>30,300.0000</t>
  </si>
  <si>
    <t>19,010</t>
  </si>
  <si>
    <t>26,030.0000</t>
  </si>
  <si>
    <t>30,249</t>
  </si>
  <si>
    <t>2020/03/23</t>
  </si>
  <si>
    <t>2021/03/19</t>
  </si>
  <si>
    <t>4/1</t>
  </si>
  <si>
    <t>20,500</t>
  </si>
  <si>
    <t>30,489</t>
  </si>
  <si>
    <t>30,462.0000</t>
  </si>
  <si>
    <t>29,323.0000</t>
  </si>
  <si>
    <t>30,315</t>
  </si>
  <si>
    <t>2020/06/22</t>
  </si>
  <si>
    <t>2021/06/18</t>
  </si>
  <si>
    <t>30,000</t>
  </si>
  <si>
    <t>2020/09/23</t>
  </si>
  <si>
    <t>2021/09/17</t>
  </si>
  <si>
    <t>9/23</t>
  </si>
  <si>
    <t>26,158</t>
  </si>
  <si>
    <t>9/28</t>
  </si>
  <si>
    <t>27,442</t>
  </si>
  <si>
    <t>2020/12/21</t>
  </si>
  <si>
    <t>2021/12/17</t>
  </si>
  <si>
    <t>台湾加権指数先物</t>
  </si>
  <si>
    <t>TAIEX Futures</t>
  </si>
  <si>
    <t>2019/11/20</t>
  </si>
  <si>
    <t>2020/01/14</t>
  </si>
  <si>
    <t>12,003</t>
  </si>
  <si>
    <t>12,019</t>
  </si>
  <si>
    <t>2019/12/18</t>
  </si>
  <si>
    <t>2020/02/18</t>
  </si>
  <si>
    <t>11,782</t>
  </si>
  <si>
    <t>11,786</t>
  </si>
  <si>
    <t>11,689</t>
  </si>
  <si>
    <t>2019/04/17</t>
  </si>
  <si>
    <t>2020/03/17</t>
  </si>
  <si>
    <t>2/26</t>
  </si>
  <si>
    <t>11,446</t>
  </si>
  <si>
    <t>3/5</t>
  </si>
  <si>
    <t>11,495</t>
  </si>
  <si>
    <t>9,377</t>
  </si>
  <si>
    <t>9,466</t>
  </si>
  <si>
    <t>2020/02/19</t>
  </si>
  <si>
    <t>2020/04/14</t>
  </si>
  <si>
    <t>9,123</t>
  </si>
  <si>
    <t>4/7</t>
  </si>
  <si>
    <t>9,953</t>
  </si>
  <si>
    <t>8,426</t>
  </si>
  <si>
    <t>2020/03/18</t>
  </si>
  <si>
    <t>2020/05/19</t>
  </si>
  <si>
    <t>2019/07/17</t>
  </si>
  <si>
    <t>2020/06/16</t>
  </si>
  <si>
    <t>5/22</t>
  </si>
  <si>
    <t>10,740</t>
  </si>
  <si>
    <t>6/1</t>
  </si>
  <si>
    <t>11,777</t>
  </si>
  <si>
    <t>10,739</t>
  </si>
  <si>
    <t>11,458</t>
  </si>
  <si>
    <t>2020/05/20</t>
  </si>
  <si>
    <t>2020/07/14</t>
  </si>
  <si>
    <t>11,416</t>
  </si>
  <si>
    <t>12,204</t>
  </si>
  <si>
    <t>6/23</t>
  </si>
  <si>
    <t>11,353</t>
  </si>
  <si>
    <t>7/14</t>
  </si>
  <si>
    <t>12,134</t>
  </si>
  <si>
    <t>2020/06/17</t>
  </si>
  <si>
    <t>2020/08/18</t>
  </si>
  <si>
    <t>7/28</t>
  </si>
  <si>
    <t>12,786</t>
  </si>
  <si>
    <t>12,464</t>
  </si>
  <si>
    <t>2019/10/16</t>
  </si>
  <si>
    <t>2020/09/15</t>
  </si>
  <si>
    <t>12,565</t>
  </si>
  <si>
    <t>12,752</t>
  </si>
  <si>
    <t>12,187</t>
  </si>
  <si>
    <t>12,717</t>
  </si>
  <si>
    <t>2020/08/19</t>
  </si>
  <si>
    <t>2020/10/20</t>
  </si>
  <si>
    <t>9/24</t>
  </si>
  <si>
    <t>12,323</t>
  </si>
  <si>
    <t>10/12</t>
  </si>
  <si>
    <t>12,919</t>
  </si>
  <si>
    <t>12,200</t>
  </si>
  <si>
    <t>12,833</t>
  </si>
  <si>
    <t>2020/09/16</t>
  </si>
  <si>
    <t>2020/11/17</t>
  </si>
  <si>
    <t>12,956</t>
  </si>
  <si>
    <t>13,034</t>
  </si>
  <si>
    <t>12,955</t>
  </si>
  <si>
    <t>13,022</t>
  </si>
  <si>
    <t>2020/01/15</t>
  </si>
  <si>
    <t>2020/12/15</t>
  </si>
  <si>
    <t>13,750</t>
  </si>
  <si>
    <t>14,230</t>
  </si>
  <si>
    <t>13,748</t>
  </si>
  <si>
    <t>14,225</t>
  </si>
  <si>
    <t>2020/11/18</t>
  </si>
  <si>
    <t>2021/01/19</t>
  </si>
  <si>
    <t>12/17</t>
  </si>
  <si>
    <t>14,198</t>
  </si>
  <si>
    <t>14,329</t>
  </si>
  <si>
    <t>14,059</t>
  </si>
  <si>
    <t>2020/12/16</t>
  </si>
  <si>
    <t>2021/02/16</t>
  </si>
  <si>
    <t>2020/04/15</t>
  </si>
  <si>
    <t>2021/03/16</t>
  </si>
  <si>
    <t>2020/07/15</t>
  </si>
  <si>
    <t>2021/06/15</t>
  </si>
  <si>
    <t>2020/10/21</t>
  </si>
  <si>
    <t>2021/09/14</t>
  </si>
  <si>
    <t>FTSE中国50指数先物</t>
  </si>
  <si>
    <t>FTSE China Index 50 Futures</t>
  </si>
  <si>
    <t>2019/11/29</t>
  </si>
  <si>
    <t>2020/01/30</t>
  </si>
  <si>
    <t>2020/01/06</t>
  </si>
  <si>
    <t>2020/02/27</t>
  </si>
  <si>
    <t>2019/07/31</t>
  </si>
  <si>
    <t>2020/03/30</t>
  </si>
  <si>
    <t>2020/02/28</t>
  </si>
  <si>
    <t>2020/04/28</t>
  </si>
  <si>
    <t>2020/03/31</t>
  </si>
  <si>
    <t>2020/05/28</t>
  </si>
  <si>
    <t>2019/10/31</t>
  </si>
  <si>
    <t>2020/06/29</t>
  </si>
  <si>
    <t>2020/05/29</t>
  </si>
  <si>
    <t>2020/07/30</t>
  </si>
  <si>
    <t>17,775</t>
  </si>
  <si>
    <t>20,005</t>
  </si>
  <si>
    <t>2020/06/30</t>
  </si>
  <si>
    <t>2020/08/28</t>
  </si>
  <si>
    <t>2020/01/31</t>
  </si>
  <si>
    <t>2020/09/29</t>
  </si>
  <si>
    <t>19,040</t>
  </si>
  <si>
    <t>2020/08/31</t>
  </si>
  <si>
    <t>2020/10/29</t>
  </si>
  <si>
    <t>2020/09/30</t>
  </si>
  <si>
    <t>2020/11/27</t>
  </si>
  <si>
    <t>2020/04/30</t>
  </si>
  <si>
    <t>2020/12/30</t>
  </si>
  <si>
    <t>20,285</t>
  </si>
  <si>
    <t>20,560</t>
  </si>
  <si>
    <t>20,080</t>
  </si>
  <si>
    <t>2020/11/30</t>
  </si>
  <si>
    <t>2021/01/28</t>
  </si>
  <si>
    <t>2020/07/31</t>
  </si>
  <si>
    <t>2021/03/30</t>
  </si>
  <si>
    <t>2020/10/30</t>
  </si>
  <si>
    <t>2021/06/29</t>
  </si>
  <si>
    <t>日経平均・配当指数先物</t>
  </si>
  <si>
    <t>Nikkei 225 Dividend Index Futures</t>
  </si>
  <si>
    <t>2019/12</t>
  </si>
  <si>
    <t>2012/01/04</t>
  </si>
  <si>
    <t>1/27</t>
  </si>
  <si>
    <t>463.0</t>
  </si>
  <si>
    <t>2/5</t>
  </si>
  <si>
    <t>455.0</t>
  </si>
  <si>
    <t>2013/01/04</t>
  </si>
  <si>
    <t>2021/03/31</t>
  </si>
  <si>
    <t>470.0</t>
  </si>
  <si>
    <t>305.0</t>
  </si>
  <si>
    <t>4/16</t>
  </si>
  <si>
    <t>346.0</t>
  </si>
  <si>
    <t>2014/01/06</t>
  </si>
  <si>
    <t>2022/03/31</t>
  </si>
  <si>
    <t>320.0</t>
  </si>
  <si>
    <t>400.0</t>
  </si>
  <si>
    <t>479.0000</t>
  </si>
  <si>
    <t>3/27</t>
  </si>
  <si>
    <t>290.0000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</si>
  <si>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</si>
  <si>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</si>
  <si>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</si>
  <si>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</si>
  <si>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</si>
  <si>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</si>
  <si>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</si>
  <si>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</si>
  <si>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</si>
  <si>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</si>
  <si>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</si>
  <si>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</si>
  <si>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</si>
  <si>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</si>
  <si>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</si>
  <si>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</si>
  <si>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</si>
  <si>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2019/05/15</t>
  </si>
  <si>
    <t>14.75</t>
  </si>
  <si>
    <t>17.10</t>
  </si>
  <si>
    <t>14.10</t>
  </si>
  <si>
    <t>14.40</t>
  </si>
  <si>
    <t>2019/06/12</t>
  </si>
  <si>
    <t>2020/02/10</t>
  </si>
  <si>
    <t>17.00</t>
  </si>
  <si>
    <t>18.95</t>
  </si>
  <si>
    <t>14.60</t>
  </si>
  <si>
    <t>2/10</t>
  </si>
  <si>
    <t>17.80</t>
  </si>
  <si>
    <t>2019/07/10</t>
  </si>
  <si>
    <t>2020/03/10</t>
  </si>
  <si>
    <t>16.70</t>
  </si>
  <si>
    <t>48.95</t>
  </si>
  <si>
    <t>15.60</t>
  </si>
  <si>
    <t>41.65</t>
  </si>
  <si>
    <t>2019/08/14</t>
  </si>
  <si>
    <t>2020/04/07</t>
  </si>
  <si>
    <t>16.00</t>
  </si>
  <si>
    <t>95.00</t>
  </si>
  <si>
    <t>15.80</t>
  </si>
  <si>
    <t>40.50</t>
  </si>
  <si>
    <t>2019/09/11</t>
  </si>
  <si>
    <t>2020/05/12</t>
  </si>
  <si>
    <t>3/2</t>
  </si>
  <si>
    <t>23.00</t>
  </si>
  <si>
    <t>81.50</t>
  </si>
  <si>
    <t>5/12</t>
  </si>
  <si>
    <t>29.15</t>
  </si>
  <si>
    <t>2019/10/09</t>
  </si>
  <si>
    <t>2020/06/09</t>
  </si>
  <si>
    <t>25.00</t>
  </si>
  <si>
    <t>59.50</t>
  </si>
  <si>
    <t>26.15</t>
  </si>
  <si>
    <t>2019/11/13</t>
  </si>
  <si>
    <t>5/13</t>
  </si>
  <si>
    <t>32.60</t>
  </si>
  <si>
    <t>36.90</t>
  </si>
  <si>
    <t>7/10</t>
  </si>
  <si>
    <t>22.20</t>
  </si>
  <si>
    <t>23.50</t>
  </si>
  <si>
    <t>2019/12/11</t>
  </si>
  <si>
    <t>2020/08/11</t>
  </si>
  <si>
    <t>6/10</t>
  </si>
  <si>
    <t>26.60</t>
  </si>
  <si>
    <t>38.00</t>
  </si>
  <si>
    <t>8/11</t>
  </si>
  <si>
    <t>21.00</t>
  </si>
  <si>
    <t>21.10</t>
  </si>
  <si>
    <t>2020/09/08</t>
  </si>
  <si>
    <t>7/16</t>
  </si>
  <si>
    <t>27.30</t>
  </si>
  <si>
    <t>28.00</t>
  </si>
  <si>
    <t>8/21</t>
  </si>
  <si>
    <t>20.05</t>
  </si>
  <si>
    <t>22.40</t>
  </si>
  <si>
    <t>2020/02/12</t>
  </si>
  <si>
    <t>2020/10/13</t>
  </si>
  <si>
    <t>8/12</t>
  </si>
  <si>
    <t>25.75</t>
  </si>
  <si>
    <t>8/28</t>
  </si>
  <si>
    <t>31.00</t>
  </si>
  <si>
    <t>10/13</t>
  </si>
  <si>
    <t>18.55</t>
  </si>
  <si>
    <t>18.90</t>
  </si>
  <si>
    <t>2020/03/11</t>
  </si>
  <si>
    <t>2020/11/10</t>
  </si>
  <si>
    <t>30.00</t>
  </si>
  <si>
    <t>11/5</t>
  </si>
  <si>
    <t>20.10</t>
  </si>
  <si>
    <t>22.00</t>
  </si>
  <si>
    <t>2020/04/08</t>
  </si>
  <si>
    <t>2020/12/08</t>
  </si>
  <si>
    <t>16.25</t>
  </si>
  <si>
    <t>26.00</t>
  </si>
  <si>
    <t>2020/05/13</t>
  </si>
  <si>
    <t>2021/01/12</t>
  </si>
  <si>
    <t>19.60</t>
  </si>
  <si>
    <t>9/29</t>
  </si>
  <si>
    <t>25.80</t>
  </si>
  <si>
    <t>18.75</t>
  </si>
  <si>
    <t>19.90</t>
  </si>
  <si>
    <t>2020/06/10</t>
  </si>
  <si>
    <t>2021/02/09</t>
  </si>
  <si>
    <t>18.50</t>
  </si>
  <si>
    <t>23.80</t>
  </si>
  <si>
    <t>2021/03/09</t>
  </si>
  <si>
    <t>2020/08/12</t>
  </si>
  <si>
    <t>2021/04/13</t>
  </si>
  <si>
    <t>2021/05</t>
  </si>
  <si>
    <t>2020/09/09</t>
  </si>
  <si>
    <t>2021/05/11</t>
  </si>
  <si>
    <t>24.20</t>
  </si>
  <si>
    <t>2020/10/14</t>
  </si>
  <si>
    <t>2021/06/08</t>
  </si>
  <si>
    <t>2021/07</t>
  </si>
  <si>
    <t>2020/11/11</t>
  </si>
  <si>
    <t>2021/07/13</t>
  </si>
  <si>
    <t>2021/08</t>
  </si>
  <si>
    <t>2020/12/09</t>
  </si>
  <si>
    <t>2021/08/10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</si>
</sst>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2">
    <xf borderId="0" fillId="0" fontId="0" numFmtId="0" xfId="0"/>
    <xf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438150</xdr:colOff>
      <xdr:row>0</xdr:row>
      <xdr:rowOff>57150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BB4FB2-B0F2-44DA-AEBA-3D94622CC4C2}"/>
            </a:ext>
          </a:extLst>
        </xdr:cNvPr>
        <xdr:cNvSpPr/>
      </xdr:nvSpPr>
      <xdr:spPr>
        <a:xfrm>
          <a:off x="21469350" y="5715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08"/>
  <sheetViews>
    <sheetView showGridLines="0" tabSelected="1" workbookViewId="0" zoomScaleNormal="100" zoomScaleSheetLayoutView="8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25.75" collapsed="false"/>
    <col min="3" max="3" bestFit="true" customWidth="true" style="1" width="34.5" collapsed="false"/>
    <col min="4" max="4" bestFit="true" customWidth="true" style="1" width="10.25" collapsed="false"/>
    <col min="5" max="6" bestFit="true" customWidth="true" style="1" width="10.75" collapsed="false"/>
    <col min="7" max="7" bestFit="true" customWidth="true" style="1" width="6.125" collapsed="false"/>
    <col min="8" max="8" customWidth="true" style="1" width="15.25" collapsed="false"/>
    <col min="9" max="9" bestFit="true" customWidth="true" style="1" width="6.125" collapsed="false"/>
    <col min="10" max="10" customWidth="true" style="1" width="15.25" collapsed="false"/>
    <col min="11" max="11" bestFit="true" customWidth="true" style="1" width="6.125" collapsed="false"/>
    <col min="12" max="12" customWidth="true" style="1" width="15.25" collapsed="false"/>
    <col min="13" max="13" bestFit="true" customWidth="true" style="1" width="6.125" collapsed="false"/>
    <col min="14" max="14" customWidth="true" style="1" width="15.25" collapsed="false"/>
    <col min="15" max="15" bestFit="true" customWidth="true" style="1" width="6.125" collapsed="false"/>
    <col min="16" max="16" customWidth="true" style="1" width="15.25" collapsed="false"/>
    <col min="17" max="17" bestFit="true" customWidth="true" style="1" width="6.125" collapsed="false"/>
    <col min="18" max="18" customWidth="true" style="1" width="15.25" collapsed="false"/>
    <col min="19" max="19" bestFit="true" customWidth="true" style="1" width="15.125" collapsed="false"/>
    <col min="20" max="21" customWidth="true" style="1" width="15.0" collapsed="false"/>
    <col min="22" max="23" customWidth="true" style="1" width="21.25" collapsed="false"/>
    <col min="24" max="24" bestFit="true" customWidth="true" style="1" width="2.375" collapsed="false"/>
    <col min="25" max="25" customWidth="true" style="1" width="15.25" collapsed="false"/>
    <col min="26" max="26" bestFit="true" customWidth="true" style="1" width="6.7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42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1"/>
      <c r="W1" s="21"/>
      <c r="X1" s="21"/>
      <c r="Y1" s="21"/>
      <c r="Z1" s="22"/>
    </row>
    <row customHeight="1" ht="30" r="2" spans="1:26">
      <c r="A2" s="40" t="s">
        <v>17</v>
      </c>
      <c r="B2" s="41"/>
      <c r="C2" s="41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44" t="s">
        <v>19</v>
      </c>
      <c r="B3" s="50" t="s">
        <v>37</v>
      </c>
      <c r="C3" s="50" t="s">
        <v>38</v>
      </c>
      <c r="D3" s="23" t="s">
        <v>0</v>
      </c>
      <c r="E3" s="25" t="s">
        <v>7</v>
      </c>
      <c r="F3" s="26"/>
      <c r="G3" s="46" t="s">
        <v>39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3" t="s">
        <v>21</v>
      </c>
      <c r="T3" s="34" t="s">
        <v>10</v>
      </c>
      <c r="U3" s="34"/>
      <c r="V3" s="34" t="s">
        <v>9</v>
      </c>
      <c r="W3" s="34"/>
      <c r="X3" s="27" t="s">
        <v>14</v>
      </c>
      <c r="Y3" s="28"/>
      <c r="Z3" s="32" t="s">
        <v>15</v>
      </c>
    </row>
    <row customHeight="1" ht="9" r="4" spans="1:26">
      <c r="A4" s="45"/>
      <c r="B4" s="51"/>
      <c r="C4" s="51"/>
      <c r="D4" s="24"/>
      <c r="E4" s="27"/>
      <c r="F4" s="28"/>
      <c r="G4" s="35" t="s">
        <v>25</v>
      </c>
      <c r="H4" s="37" t="s">
        <v>26</v>
      </c>
      <c r="I4" s="35" t="s">
        <v>25</v>
      </c>
      <c r="J4" s="48" t="s">
        <v>28</v>
      </c>
      <c r="K4" s="31" t="s">
        <v>1</v>
      </c>
      <c r="L4" s="31"/>
      <c r="M4" s="35" t="s">
        <v>25</v>
      </c>
      <c r="N4" s="48" t="s">
        <v>32</v>
      </c>
      <c r="O4" s="31" t="s">
        <v>1</v>
      </c>
      <c r="P4" s="31"/>
      <c r="Q4" s="35" t="s">
        <v>25</v>
      </c>
      <c r="R4" s="37" t="s">
        <v>34</v>
      </c>
      <c r="S4" s="24"/>
      <c r="T4" s="23" t="s">
        <v>2</v>
      </c>
      <c r="U4" s="24" t="s">
        <v>11</v>
      </c>
      <c r="V4" s="23" t="s">
        <v>2</v>
      </c>
      <c r="W4" s="24" t="s">
        <v>12</v>
      </c>
      <c r="X4" s="27"/>
      <c r="Y4" s="28"/>
      <c r="Z4" s="33"/>
    </row>
    <row customHeight="1" ht="27" r="5" spans="1:26">
      <c r="A5" s="45"/>
      <c r="B5" s="51"/>
      <c r="C5" s="51"/>
      <c r="D5" s="24"/>
      <c r="E5" s="29"/>
      <c r="F5" s="30"/>
      <c r="G5" s="36"/>
      <c r="H5" s="30"/>
      <c r="I5" s="36"/>
      <c r="J5" s="49"/>
      <c r="K5" s="6" t="s">
        <v>30</v>
      </c>
      <c r="L5" s="7" t="s">
        <v>22</v>
      </c>
      <c r="M5" s="36"/>
      <c r="N5" s="49"/>
      <c r="O5" s="6" t="s">
        <v>30</v>
      </c>
      <c r="P5" s="7" t="s">
        <v>22</v>
      </c>
      <c r="Q5" s="36"/>
      <c r="R5" s="30"/>
      <c r="S5" s="24"/>
      <c r="T5" s="23"/>
      <c r="U5" s="24"/>
      <c r="V5" s="23"/>
      <c r="W5" s="24"/>
      <c r="X5" s="27"/>
      <c r="Y5" s="30"/>
      <c r="Z5" s="33"/>
    </row>
    <row customHeight="1" ht="36" r="6" spans="1:26">
      <c r="A6" s="8" t="s">
        <v>20</v>
      </c>
      <c r="B6" s="23"/>
      <c r="C6" s="23"/>
      <c r="D6" s="9" t="s">
        <v>3</v>
      </c>
      <c r="E6" s="38" t="s">
        <v>8</v>
      </c>
      <c r="F6" s="39"/>
      <c r="G6" s="6" t="s">
        <v>40</v>
      </c>
      <c r="H6" s="10" t="s">
        <v>27</v>
      </c>
      <c r="I6" s="6" t="s">
        <v>41</v>
      </c>
      <c r="J6" s="7" t="s">
        <v>29</v>
      </c>
      <c r="K6" s="6" t="s">
        <v>41</v>
      </c>
      <c r="L6" s="7" t="s">
        <v>31</v>
      </c>
      <c r="M6" s="6" t="s">
        <v>41</v>
      </c>
      <c r="N6" s="7" t="s">
        <v>33</v>
      </c>
      <c r="O6" s="6" t="s">
        <v>41</v>
      </c>
      <c r="P6" s="7" t="s">
        <v>23</v>
      </c>
      <c r="Q6" s="6" t="s">
        <v>41</v>
      </c>
      <c r="R6" s="7" t="s">
        <v>35</v>
      </c>
      <c r="S6" s="9" t="s">
        <v>24</v>
      </c>
      <c r="T6" s="9" t="s">
        <v>4</v>
      </c>
      <c r="U6" s="9" t="s">
        <v>5</v>
      </c>
      <c r="V6" s="9" t="s">
        <v>18</v>
      </c>
      <c r="W6" s="9" t="s">
        <v>6</v>
      </c>
      <c r="X6" s="38" t="s">
        <v>13</v>
      </c>
      <c r="Y6" s="39"/>
      <c r="Z6" s="11" t="s">
        <v>36</v>
      </c>
    </row>
    <row customHeight="1" ht="13.5" r="7" spans="1:26">
      <c r="A7" s="12" t="s">
        <v>42</v>
      </c>
      <c r="B7" s="13" t="s">
        <v>43</v>
      </c>
      <c r="C7" s="13" t="s">
        <v>44</v>
      </c>
      <c r="D7" s="13" t="s">
        <v>45</v>
      </c>
      <c r="E7" s="14" t="s">
        <v>46</v>
      </c>
      <c r="F7" s="14" t="s">
        <v>47</v>
      </c>
      <c r="G7" s="15" t="s">
        <v>48</v>
      </c>
      <c r="H7" s="16" t="s">
        <v>49</v>
      </c>
      <c r="I7" s="15" t="s">
        <v>50</v>
      </c>
      <c r="J7" s="16" t="s">
        <v>51</v>
      </c>
      <c r="K7" s="15" t="s">
        <v>52</v>
      </c>
      <c r="L7" s="16" t="s">
        <v>53</v>
      </c>
      <c r="M7" s="15" t="s">
        <v>54</v>
      </c>
      <c r="N7" s="16" t="s">
        <v>55</v>
      </c>
      <c r="O7" s="15" t="s">
        <v>54</v>
      </c>
      <c r="P7" s="16" t="s">
        <v>56</v>
      </c>
      <c r="Q7" s="15" t="s">
        <v>54</v>
      </c>
      <c r="R7" s="16" t="s">
        <v>57</v>
      </c>
      <c r="S7" s="17" t="n">
        <f>22777.17</f>
        <v>22777.17</v>
      </c>
      <c r="T7" s="18" t="n">
        <f>6323081</f>
        <v>6323081.0</v>
      </c>
      <c r="U7" s="18" t="n">
        <v>1068564.0</v>
      </c>
      <c r="V7" s="18" t="n">
        <f>139732820147546</f>
        <v>1.39732820147546E14</v>
      </c>
      <c r="W7" s="18" t="n">
        <v>2.3198039293546E13</v>
      </c>
      <c r="X7" s="15" t="s">
        <v>58</v>
      </c>
      <c r="Y7" s="19" t="n">
        <f>150806</f>
        <v>150806.0</v>
      </c>
      <c r="Z7" s="20" t="n">
        <f>46</f>
        <v>46.0</v>
      </c>
    </row>
    <row r="8">
      <c r="A8" s="12" t="s">
        <v>42</v>
      </c>
      <c r="B8" s="13" t="s">
        <v>43</v>
      </c>
      <c r="C8" s="13" t="s">
        <v>44</v>
      </c>
      <c r="D8" s="13" t="s">
        <v>59</v>
      </c>
      <c r="E8" s="14" t="s">
        <v>60</v>
      </c>
      <c r="F8" s="14" t="s">
        <v>61</v>
      </c>
      <c r="G8" s="15" t="s">
        <v>48</v>
      </c>
      <c r="H8" s="16" t="s">
        <v>62</v>
      </c>
      <c r="I8" s="15" t="s">
        <v>50</v>
      </c>
      <c r="J8" s="16" t="s">
        <v>63</v>
      </c>
      <c r="K8" s="15" t="s">
        <v>50</v>
      </c>
      <c r="L8" s="16" t="s">
        <v>64</v>
      </c>
      <c r="M8" s="15" t="s">
        <v>65</v>
      </c>
      <c r="N8" s="16" t="s">
        <v>66</v>
      </c>
      <c r="O8" s="15" t="s">
        <v>65</v>
      </c>
      <c r="P8" s="16" t="s">
        <v>67</v>
      </c>
      <c r="Q8" s="15" t="s">
        <v>68</v>
      </c>
      <c r="R8" s="16" t="s">
        <v>69</v>
      </c>
      <c r="S8" s="17" t="n">
        <f>21027.45</f>
        <v>21027.45</v>
      </c>
      <c r="T8" s="18" t="n">
        <f>8164831</f>
        <v>8164831.0</v>
      </c>
      <c r="U8" s="18" t="n">
        <v>1855503.0</v>
      </c>
      <c r="V8" s="18" t="n">
        <f>159638032302740</f>
        <v>1.5963803230274E14</v>
      </c>
      <c r="W8" s="18" t="n">
        <v>3.683875996074E13</v>
      </c>
      <c r="X8" s="15" t="s">
        <v>58</v>
      </c>
      <c r="Y8" s="19" t="n">
        <f>151145</f>
        <v>151145.0</v>
      </c>
      <c r="Z8" s="20" t="n">
        <f>106</f>
        <v>106.0</v>
      </c>
    </row>
    <row r="9">
      <c r="A9" s="12" t="s">
        <v>42</v>
      </c>
      <c r="B9" s="13" t="s">
        <v>43</v>
      </c>
      <c r="C9" s="13" t="s">
        <v>44</v>
      </c>
      <c r="D9" s="13" t="s">
        <v>70</v>
      </c>
      <c r="E9" s="14" t="s">
        <v>71</v>
      </c>
      <c r="F9" s="14" t="s">
        <v>72</v>
      </c>
      <c r="G9" s="15" t="s">
        <v>48</v>
      </c>
      <c r="H9" s="16" t="s">
        <v>73</v>
      </c>
      <c r="I9" s="15" t="s">
        <v>50</v>
      </c>
      <c r="J9" s="16" t="s">
        <v>74</v>
      </c>
      <c r="K9" s="15" t="s">
        <v>75</v>
      </c>
      <c r="L9" s="16" t="s">
        <v>76</v>
      </c>
      <c r="M9" s="15" t="s">
        <v>65</v>
      </c>
      <c r="N9" s="16" t="s">
        <v>77</v>
      </c>
      <c r="O9" s="15" t="s">
        <v>65</v>
      </c>
      <c r="P9" s="16" t="s">
        <v>78</v>
      </c>
      <c r="Q9" s="15" t="s">
        <v>79</v>
      </c>
      <c r="R9" s="16" t="s">
        <v>80</v>
      </c>
      <c r="S9" s="17" t="n">
        <f>21596.96</f>
        <v>21596.96</v>
      </c>
      <c r="T9" s="18" t="n">
        <f>5564421</f>
        <v>5564421.0</v>
      </c>
      <c r="U9" s="18" t="n">
        <v>1150672.0</v>
      </c>
      <c r="V9" s="18" t="n">
        <f>125903796593146</f>
        <v>1.25903796593146E14</v>
      </c>
      <c r="W9" s="18" t="n">
        <v>2.6072015381146E13</v>
      </c>
      <c r="X9" s="15" t="s">
        <v>58</v>
      </c>
      <c r="Y9" s="19" t="n">
        <f>109068</f>
        <v>109068.0</v>
      </c>
      <c r="Z9" s="20" t="n">
        <f>160</f>
        <v>160.0</v>
      </c>
    </row>
    <row r="10">
      <c r="A10" s="12" t="s">
        <v>42</v>
      </c>
      <c r="B10" s="13" t="s">
        <v>43</v>
      </c>
      <c r="C10" s="13" t="s">
        <v>44</v>
      </c>
      <c r="D10" s="13" t="s">
        <v>81</v>
      </c>
      <c r="E10" s="14" t="s">
        <v>82</v>
      </c>
      <c r="F10" s="14" t="s">
        <v>83</v>
      </c>
      <c r="G10" s="15" t="s">
        <v>48</v>
      </c>
      <c r="H10" s="16" t="s">
        <v>84</v>
      </c>
      <c r="I10" s="15" t="s">
        <v>85</v>
      </c>
      <c r="J10" s="16" t="s">
        <v>86</v>
      </c>
      <c r="K10" s="15" t="s">
        <v>85</v>
      </c>
      <c r="L10" s="16" t="s">
        <v>87</v>
      </c>
      <c r="M10" s="15" t="s">
        <v>65</v>
      </c>
      <c r="N10" s="16" t="s">
        <v>88</v>
      </c>
      <c r="O10" s="15" t="s">
        <v>89</v>
      </c>
      <c r="P10" s="16" t="s">
        <v>90</v>
      </c>
      <c r="Q10" s="15" t="s">
        <v>91</v>
      </c>
      <c r="R10" s="16" t="s">
        <v>92</v>
      </c>
      <c r="S10" s="17" t="n">
        <f>22247.34</f>
        <v>22247.34</v>
      </c>
      <c r="T10" s="18" t="n">
        <f>5658932</f>
        <v>5658932.0</v>
      </c>
      <c r="U10" s="18" t="n">
        <v>1328018.0</v>
      </c>
      <c r="V10" s="18" t="n">
        <f>137840772052884</f>
        <v>1.37840772052884E14</v>
      </c>
      <c r="W10" s="18" t="n">
        <v>3.2039421599884E13</v>
      </c>
      <c r="X10" s="15" t="s">
        <v>58</v>
      </c>
      <c r="Y10" s="19" t="n">
        <f>130510</f>
        <v>130510.0</v>
      </c>
      <c r="Z10" s="20" t="n">
        <f>218</f>
        <v>218.0</v>
      </c>
    </row>
    <row r="11">
      <c r="A11" s="12" t="s">
        <v>42</v>
      </c>
      <c r="B11" s="13" t="s">
        <v>43</v>
      </c>
      <c r="C11" s="13" t="s">
        <v>44</v>
      </c>
      <c r="D11" s="13" t="s">
        <v>93</v>
      </c>
      <c r="E11" s="14" t="s">
        <v>94</v>
      </c>
      <c r="F11" s="14" t="s">
        <v>95</v>
      </c>
      <c r="G11" s="15" t="s">
        <v>48</v>
      </c>
      <c r="H11" s="16" t="s">
        <v>96</v>
      </c>
      <c r="I11" s="15" t="s">
        <v>97</v>
      </c>
      <c r="J11" s="16" t="s">
        <v>98</v>
      </c>
      <c r="K11" s="15" t="s">
        <v>91</v>
      </c>
      <c r="L11" s="16" t="s">
        <v>99</v>
      </c>
      <c r="M11" s="15" t="s">
        <v>65</v>
      </c>
      <c r="N11" s="16" t="s">
        <v>77</v>
      </c>
      <c r="O11" s="15" t="s">
        <v>100</v>
      </c>
      <c r="P11" s="16" t="s">
        <v>101</v>
      </c>
      <c r="Q11" s="15" t="s">
        <v>97</v>
      </c>
      <c r="R11" s="16" t="s">
        <v>102</v>
      </c>
      <c r="S11" s="17" t="n">
        <f>22451.89</f>
        <v>22451.89</v>
      </c>
      <c r="T11" s="18" t="n">
        <f>1231950</f>
        <v>1231950.0</v>
      </c>
      <c r="U11" s="18" t="n">
        <v>353243.0</v>
      </c>
      <c r="V11" s="18" t="n">
        <f>32645343294804</f>
        <v>3.2645343294804E13</v>
      </c>
      <c r="W11" s="18" t="n">
        <v>9.322762986804E12</v>
      </c>
      <c r="X11" s="15"/>
      <c r="Y11" s="19" t="n">
        <f>213573</f>
        <v>213573.0</v>
      </c>
      <c r="Z11" s="20" t="n">
        <f>216</f>
        <v>216.0</v>
      </c>
    </row>
    <row r="12">
      <c r="A12" s="12" t="s">
        <v>42</v>
      </c>
      <c r="B12" s="13" t="s">
        <v>43</v>
      </c>
      <c r="C12" s="13" t="s">
        <v>44</v>
      </c>
      <c r="D12" s="13" t="s">
        <v>103</v>
      </c>
      <c r="E12" s="14" t="s">
        <v>104</v>
      </c>
      <c r="F12" s="14" t="s">
        <v>105</v>
      </c>
      <c r="G12" s="15" t="s">
        <v>48</v>
      </c>
      <c r="H12" s="16" t="s">
        <v>106</v>
      </c>
      <c r="I12" s="15" t="s">
        <v>97</v>
      </c>
      <c r="J12" s="16" t="s">
        <v>107</v>
      </c>
      <c r="K12" s="15" t="s">
        <v>97</v>
      </c>
      <c r="L12" s="16" t="s">
        <v>108</v>
      </c>
      <c r="M12" s="15" t="s">
        <v>89</v>
      </c>
      <c r="N12" s="16" t="s">
        <v>109</v>
      </c>
      <c r="O12" s="15" t="s">
        <v>89</v>
      </c>
      <c r="P12" s="16" t="s">
        <v>110</v>
      </c>
      <c r="Q12" s="15" t="s">
        <v>97</v>
      </c>
      <c r="R12" s="16" t="s">
        <v>111</v>
      </c>
      <c r="S12" s="17" t="n">
        <f>22292.06</f>
        <v>22292.06</v>
      </c>
      <c r="T12" s="18" t="n">
        <f>61966</f>
        <v>61966.0</v>
      </c>
      <c r="U12" s="18" t="n">
        <v>56378.0</v>
      </c>
      <c r="V12" s="18" t="n">
        <f>1375516442000</f>
        <v>1.375516442E12</v>
      </c>
      <c r="W12" s="18" t="n">
        <v>1.243022165E12</v>
      </c>
      <c r="X12" s="15"/>
      <c r="Y12" s="19" t="n">
        <f>21400</f>
        <v>21400.0</v>
      </c>
      <c r="Z12" s="20" t="n">
        <f>185</f>
        <v>185.0</v>
      </c>
    </row>
    <row r="13">
      <c r="A13" s="12" t="s">
        <v>42</v>
      </c>
      <c r="B13" s="13" t="s">
        <v>43</v>
      </c>
      <c r="C13" s="13" t="s">
        <v>44</v>
      </c>
      <c r="D13" s="13" t="s">
        <v>112</v>
      </c>
      <c r="E13" s="14" t="s">
        <v>113</v>
      </c>
      <c r="F13" s="14" t="s">
        <v>114</v>
      </c>
      <c r="G13" s="15" t="s">
        <v>115</v>
      </c>
      <c r="H13" s="16" t="s">
        <v>116</v>
      </c>
      <c r="I13" s="15" t="s">
        <v>97</v>
      </c>
      <c r="J13" s="16" t="s">
        <v>117</v>
      </c>
      <c r="K13" s="15" t="s">
        <v>118</v>
      </c>
      <c r="L13" s="16" t="s">
        <v>119</v>
      </c>
      <c r="M13" s="15" t="s">
        <v>115</v>
      </c>
      <c r="N13" s="16" t="s">
        <v>116</v>
      </c>
      <c r="O13" s="15" t="s">
        <v>120</v>
      </c>
      <c r="P13" s="16" t="s">
        <v>121</v>
      </c>
      <c r="Q13" s="15" t="s">
        <v>97</v>
      </c>
      <c r="R13" s="16" t="s">
        <v>117</v>
      </c>
      <c r="S13" s="17" t="n">
        <f>22286.55</f>
        <v>22286.55</v>
      </c>
      <c r="T13" s="18" t="n">
        <f>1459</f>
        <v>1459.0</v>
      </c>
      <c r="U13" s="18" t="n">
        <v>1337.0</v>
      </c>
      <c r="V13" s="18" t="n">
        <f>37456328000</f>
        <v>3.7456328E10</v>
      </c>
      <c r="W13" s="18" t="n">
        <v>3.4435388E10</v>
      </c>
      <c r="X13" s="15"/>
      <c r="Y13" s="19" t="n">
        <f>1202</f>
        <v>1202.0</v>
      </c>
      <c r="Z13" s="20" t="n">
        <f>25</f>
        <v>25.0</v>
      </c>
    </row>
    <row r="14">
      <c r="A14" s="12" t="s">
        <v>42</v>
      </c>
      <c r="B14" s="13" t="s">
        <v>43</v>
      </c>
      <c r="C14" s="13" t="s">
        <v>44</v>
      </c>
      <c r="D14" s="13" t="s">
        <v>122</v>
      </c>
      <c r="E14" s="14" t="s">
        <v>123</v>
      </c>
      <c r="F14" s="14" t="s">
        <v>124</v>
      </c>
      <c r="G14" s="15" t="s">
        <v>125</v>
      </c>
      <c r="H14" s="16" t="s">
        <v>126</v>
      </c>
      <c r="I14" s="15" t="s">
        <v>85</v>
      </c>
      <c r="J14" s="16" t="s">
        <v>127</v>
      </c>
      <c r="K14" s="15" t="s">
        <v>97</v>
      </c>
      <c r="L14" s="16" t="s">
        <v>128</v>
      </c>
      <c r="M14" s="15" t="s">
        <v>129</v>
      </c>
      <c r="N14" s="16" t="s">
        <v>130</v>
      </c>
      <c r="O14" s="15" t="s">
        <v>89</v>
      </c>
      <c r="P14" s="16" t="s">
        <v>131</v>
      </c>
      <c r="Q14" s="15" t="s">
        <v>132</v>
      </c>
      <c r="R14" s="16" t="s">
        <v>133</v>
      </c>
      <c r="S14" s="17" t="n">
        <f>22078.07</f>
        <v>22078.07</v>
      </c>
      <c r="T14" s="18" t="n">
        <f>104127</f>
        <v>104127.0</v>
      </c>
      <c r="U14" s="18" t="n">
        <v>103785.0</v>
      </c>
      <c r="V14" s="18" t="n">
        <f>2240164616850</f>
        <v>2.24016461685E12</v>
      </c>
      <c r="W14" s="18" t="n">
        <v>2.23286919685E12</v>
      </c>
      <c r="X14" s="15"/>
      <c r="Y14" s="19" t="n">
        <f>42678</f>
        <v>42678.0</v>
      </c>
      <c r="Z14" s="20" t="n">
        <f>102</f>
        <v>102.0</v>
      </c>
    </row>
    <row r="15">
      <c r="A15" s="12" t="s">
        <v>42</v>
      </c>
      <c r="B15" s="13" t="s">
        <v>43</v>
      </c>
      <c r="C15" s="13" t="s">
        <v>44</v>
      </c>
      <c r="D15" s="13" t="s">
        <v>134</v>
      </c>
      <c r="E15" s="14" t="s">
        <v>135</v>
      </c>
      <c r="F15" s="14" t="s">
        <v>136</v>
      </c>
      <c r="G15" s="15" t="s">
        <v>137</v>
      </c>
      <c r="H15" s="16" t="s">
        <v>138</v>
      </c>
      <c r="I15" s="15" t="s">
        <v>97</v>
      </c>
      <c r="J15" s="16" t="s">
        <v>139</v>
      </c>
      <c r="K15" s="15"/>
      <c r="L15" s="16"/>
      <c r="M15" s="15" t="s">
        <v>140</v>
      </c>
      <c r="N15" s="16" t="s">
        <v>141</v>
      </c>
      <c r="O15" s="15"/>
      <c r="P15" s="16"/>
      <c r="Q15" s="15" t="s">
        <v>97</v>
      </c>
      <c r="R15" s="16" t="s">
        <v>139</v>
      </c>
      <c r="S15" s="17" t="n">
        <f>24354.4</f>
        <v>24354.4</v>
      </c>
      <c r="T15" s="18" t="n">
        <f>117</f>
        <v>117.0</v>
      </c>
      <c r="U15" s="18"/>
      <c r="V15" s="18" t="n">
        <f>2760010000</f>
        <v>2.76001E9</v>
      </c>
      <c r="W15" s="18"/>
      <c r="X15" s="15"/>
      <c r="Y15" s="19" t="n">
        <f>63</f>
        <v>63.0</v>
      </c>
      <c r="Z15" s="20" t="n">
        <f>31</f>
        <v>31.0</v>
      </c>
    </row>
    <row r="16">
      <c r="A16" s="12" t="s">
        <v>42</v>
      </c>
      <c r="B16" s="13" t="s">
        <v>43</v>
      </c>
      <c r="C16" s="13" t="s">
        <v>44</v>
      </c>
      <c r="D16" s="13" t="s">
        <v>142</v>
      </c>
      <c r="E16" s="14" t="s">
        <v>143</v>
      </c>
      <c r="F16" s="14" t="s">
        <v>144</v>
      </c>
      <c r="G16" s="15" t="s">
        <v>145</v>
      </c>
      <c r="H16" s="16" t="s">
        <v>138</v>
      </c>
      <c r="I16" s="15" t="s">
        <v>146</v>
      </c>
      <c r="J16" s="16" t="s">
        <v>147</v>
      </c>
      <c r="K16" s="15" t="s">
        <v>148</v>
      </c>
      <c r="L16" s="16" t="s">
        <v>149</v>
      </c>
      <c r="M16" s="15" t="s">
        <v>89</v>
      </c>
      <c r="N16" s="16" t="s">
        <v>150</v>
      </c>
      <c r="O16" s="15" t="s">
        <v>151</v>
      </c>
      <c r="P16" s="16" t="s">
        <v>152</v>
      </c>
      <c r="Q16" s="15" t="s">
        <v>153</v>
      </c>
      <c r="R16" s="16" t="s">
        <v>154</v>
      </c>
      <c r="S16" s="17" t="n">
        <f>21842.35</f>
        <v>21842.35</v>
      </c>
      <c r="T16" s="18" t="n">
        <f>3313</f>
        <v>3313.0</v>
      </c>
      <c r="U16" s="18" t="n">
        <v>3262.0</v>
      </c>
      <c r="V16" s="18" t="n">
        <f>64876230000</f>
        <v>6.487623E10</v>
      </c>
      <c r="W16" s="18" t="n">
        <v>6.375105E10</v>
      </c>
      <c r="X16" s="15"/>
      <c r="Y16" s="19" t="n">
        <f>1458</f>
        <v>1458.0</v>
      </c>
      <c r="Z16" s="20" t="n">
        <f>42</f>
        <v>42.0</v>
      </c>
    </row>
    <row r="17">
      <c r="A17" s="12" t="s">
        <v>42</v>
      </c>
      <c r="B17" s="13" t="s">
        <v>43</v>
      </c>
      <c r="C17" s="13" t="s">
        <v>44</v>
      </c>
      <c r="D17" s="13" t="s">
        <v>155</v>
      </c>
      <c r="E17" s="14" t="s">
        <v>156</v>
      </c>
      <c r="F17" s="14" t="s">
        <v>157</v>
      </c>
      <c r="G17" s="15" t="s">
        <v>158</v>
      </c>
      <c r="H17" s="16" t="s">
        <v>159</v>
      </c>
      <c r="I17" s="15" t="s">
        <v>160</v>
      </c>
      <c r="J17" s="16" t="s">
        <v>161</v>
      </c>
      <c r="K17" s="15" t="s">
        <v>97</v>
      </c>
      <c r="L17" s="16" t="s">
        <v>162</v>
      </c>
      <c r="M17" s="15" t="s">
        <v>163</v>
      </c>
      <c r="N17" s="16" t="s">
        <v>164</v>
      </c>
      <c r="O17" s="15" t="s">
        <v>129</v>
      </c>
      <c r="P17" s="16" t="s">
        <v>165</v>
      </c>
      <c r="Q17" s="15" t="s">
        <v>166</v>
      </c>
      <c r="R17" s="16" t="s">
        <v>167</v>
      </c>
      <c r="S17" s="17" t="n">
        <f>21625.1</f>
        <v>21625.1</v>
      </c>
      <c r="T17" s="18" t="n">
        <f>42019</f>
        <v>42019.0</v>
      </c>
      <c r="U17" s="18" t="n">
        <v>41960.0</v>
      </c>
      <c r="V17" s="18" t="n">
        <f>873390106000</f>
        <v>8.73390106E11</v>
      </c>
      <c r="W17" s="18" t="n">
        <v>8.72109696E11</v>
      </c>
      <c r="X17" s="15"/>
      <c r="Y17" s="19" t="n">
        <f>13694</f>
        <v>13694.0</v>
      </c>
      <c r="Z17" s="20" t="n">
        <f>8</f>
        <v>8.0</v>
      </c>
    </row>
    <row r="18">
      <c r="A18" s="12" t="s">
        <v>42</v>
      </c>
      <c r="B18" s="13" t="s">
        <v>43</v>
      </c>
      <c r="C18" s="13" t="s">
        <v>44</v>
      </c>
      <c r="D18" s="13" t="s">
        <v>168</v>
      </c>
      <c r="E18" s="14" t="s">
        <v>169</v>
      </c>
      <c r="F18" s="14" t="s">
        <v>170</v>
      </c>
      <c r="G18" s="15" t="s">
        <v>171</v>
      </c>
      <c r="H18" s="16" t="s">
        <v>172</v>
      </c>
      <c r="I18" s="15" t="s">
        <v>132</v>
      </c>
      <c r="J18" s="16" t="s">
        <v>173</v>
      </c>
      <c r="K18" s="15" t="s">
        <v>174</v>
      </c>
      <c r="L18" s="16" t="s">
        <v>175</v>
      </c>
      <c r="M18" s="15" t="s">
        <v>176</v>
      </c>
      <c r="N18" s="16" t="s">
        <v>177</v>
      </c>
      <c r="O18" s="15" t="s">
        <v>178</v>
      </c>
      <c r="P18" s="16" t="s">
        <v>179</v>
      </c>
      <c r="Q18" s="15" t="s">
        <v>132</v>
      </c>
      <c r="R18" s="16" t="s">
        <v>173</v>
      </c>
      <c r="S18" s="17" t="n">
        <f>21385.47</f>
        <v>21385.47</v>
      </c>
      <c r="T18" s="18" t="n">
        <f>612</f>
        <v>612.0</v>
      </c>
      <c r="U18" s="18" t="n">
        <v>573.0</v>
      </c>
      <c r="V18" s="18" t="n">
        <f>13928380000</f>
        <v>1.392838E10</v>
      </c>
      <c r="W18" s="18" t="n">
        <v>1.313645E10</v>
      </c>
      <c r="X18" s="15"/>
      <c r="Y18" s="19" t="n">
        <f>627</f>
        <v>627.0</v>
      </c>
      <c r="Z18" s="20" t="n">
        <f>19</f>
        <v>19.0</v>
      </c>
    </row>
    <row r="19">
      <c r="A19" s="12" t="s">
        <v>42</v>
      </c>
      <c r="B19" s="13" t="s">
        <v>43</v>
      </c>
      <c r="C19" s="13" t="s">
        <v>44</v>
      </c>
      <c r="D19" s="13" t="s">
        <v>180</v>
      </c>
      <c r="E19" s="14" t="s">
        <v>181</v>
      </c>
      <c r="F19" s="14" t="s">
        <v>182</v>
      </c>
      <c r="G19" s="15" t="s">
        <v>50</v>
      </c>
      <c r="H19" s="16" t="s">
        <v>183</v>
      </c>
      <c r="I19" s="15" t="s">
        <v>91</v>
      </c>
      <c r="J19" s="16" t="s">
        <v>173</v>
      </c>
      <c r="K19" s="15" t="s">
        <v>85</v>
      </c>
      <c r="L19" s="16" t="s">
        <v>184</v>
      </c>
      <c r="M19" s="15" t="s">
        <v>185</v>
      </c>
      <c r="N19" s="16" t="s">
        <v>186</v>
      </c>
      <c r="O19" s="15" t="s">
        <v>89</v>
      </c>
      <c r="P19" s="16" t="s">
        <v>187</v>
      </c>
      <c r="Q19" s="15" t="s">
        <v>188</v>
      </c>
      <c r="R19" s="16" t="s">
        <v>173</v>
      </c>
      <c r="S19" s="17" t="n">
        <f>21169.96</f>
        <v>21169.96</v>
      </c>
      <c r="T19" s="18" t="n">
        <f>10228</f>
        <v>10228.0</v>
      </c>
      <c r="U19" s="18" t="n">
        <v>10190.0</v>
      </c>
      <c r="V19" s="18" t="n">
        <f>209138038000</f>
        <v>2.09138038E11</v>
      </c>
      <c r="W19" s="18" t="n">
        <v>2.08312288E11</v>
      </c>
      <c r="X19" s="15"/>
      <c r="Y19" s="19" t="n">
        <f>6942</f>
        <v>6942.0</v>
      </c>
      <c r="Z19" s="20" t="n">
        <f>11</f>
        <v>11.0</v>
      </c>
    </row>
    <row r="20">
      <c r="A20" s="12" t="s">
        <v>42</v>
      </c>
      <c r="B20" s="13" t="s">
        <v>43</v>
      </c>
      <c r="C20" s="13" t="s">
        <v>44</v>
      </c>
      <c r="D20" s="13" t="s">
        <v>189</v>
      </c>
      <c r="E20" s="14" t="s">
        <v>181</v>
      </c>
      <c r="F20" s="14" t="s">
        <v>190</v>
      </c>
      <c r="G20" s="15" t="s">
        <v>191</v>
      </c>
      <c r="H20" s="16" t="s">
        <v>192</v>
      </c>
      <c r="I20" s="15" t="s">
        <v>193</v>
      </c>
      <c r="J20" s="16" t="s">
        <v>194</v>
      </c>
      <c r="K20" s="15"/>
      <c r="L20" s="16"/>
      <c r="M20" s="15" t="s">
        <v>191</v>
      </c>
      <c r="N20" s="16" t="s">
        <v>192</v>
      </c>
      <c r="O20" s="15"/>
      <c r="P20" s="16"/>
      <c r="Q20" s="15" t="s">
        <v>193</v>
      </c>
      <c r="R20" s="16" t="s">
        <v>194</v>
      </c>
      <c r="S20" s="17" t="n">
        <f>20926.75</f>
        <v>20926.75</v>
      </c>
      <c r="T20" s="18" t="n">
        <f>3</f>
        <v>3.0</v>
      </c>
      <c r="U20" s="18"/>
      <c r="V20" s="18" t="n">
        <f>55570000</f>
        <v>5.557E7</v>
      </c>
      <c r="W20" s="18"/>
      <c r="X20" s="15"/>
      <c r="Y20" s="19" t="n">
        <f>1</f>
        <v>1.0</v>
      </c>
      <c r="Z20" s="20" t="n">
        <f>2</f>
        <v>2.0</v>
      </c>
    </row>
    <row r="21">
      <c r="A21" s="12" t="s">
        <v>42</v>
      </c>
      <c r="B21" s="13" t="s">
        <v>43</v>
      </c>
      <c r="C21" s="13" t="s">
        <v>44</v>
      </c>
      <c r="D21" s="13" t="s">
        <v>195</v>
      </c>
      <c r="E21" s="14" t="s">
        <v>181</v>
      </c>
      <c r="F21" s="14" t="s">
        <v>196</v>
      </c>
      <c r="G21" s="15" t="s">
        <v>197</v>
      </c>
      <c r="H21" s="16" t="s">
        <v>198</v>
      </c>
      <c r="I21" s="15" t="s">
        <v>199</v>
      </c>
      <c r="J21" s="16" t="s">
        <v>200</v>
      </c>
      <c r="K21" s="15" t="s">
        <v>201</v>
      </c>
      <c r="L21" s="16" t="s">
        <v>202</v>
      </c>
      <c r="M21" s="15" t="s">
        <v>197</v>
      </c>
      <c r="N21" s="16" t="s">
        <v>198</v>
      </c>
      <c r="O21" s="15" t="s">
        <v>129</v>
      </c>
      <c r="P21" s="16" t="s">
        <v>203</v>
      </c>
      <c r="Q21" s="15" t="s">
        <v>204</v>
      </c>
      <c r="R21" s="16" t="s">
        <v>205</v>
      </c>
      <c r="S21" s="17" t="n">
        <f>20714.61</f>
        <v>20714.61</v>
      </c>
      <c r="T21" s="18" t="n">
        <f>2952</f>
        <v>2952.0</v>
      </c>
      <c r="U21" s="18" t="n">
        <v>2941.0</v>
      </c>
      <c r="V21" s="18" t="n">
        <f>58408380000</f>
        <v>5.840838E10</v>
      </c>
      <c r="W21" s="18" t="n">
        <v>5.81832E10</v>
      </c>
      <c r="X21" s="15"/>
      <c r="Y21" s="19" t="n">
        <f>2221</f>
        <v>2221.0</v>
      </c>
      <c r="Z21" s="20" t="n">
        <f>10</f>
        <v>10.0</v>
      </c>
    </row>
    <row r="22">
      <c r="A22" s="12" t="s">
        <v>42</v>
      </c>
      <c r="B22" s="13" t="s">
        <v>43</v>
      </c>
      <c r="C22" s="13" t="s">
        <v>44</v>
      </c>
      <c r="D22" s="13" t="s">
        <v>206</v>
      </c>
      <c r="E22" s="14" t="s">
        <v>181</v>
      </c>
      <c r="F22" s="14" t="s">
        <v>207</v>
      </c>
      <c r="G22" s="15"/>
      <c r="H22" s="16" t="s">
        <v>208</v>
      </c>
      <c r="I22" s="15"/>
      <c r="J22" s="16" t="s">
        <v>208</v>
      </c>
      <c r="K22" s="15"/>
      <c r="L22" s="16"/>
      <c r="M22" s="15"/>
      <c r="N22" s="16" t="s">
        <v>208</v>
      </c>
      <c r="O22" s="15"/>
      <c r="P22" s="16"/>
      <c r="Q22" s="15"/>
      <c r="R22" s="16" t="s">
        <v>208</v>
      </c>
      <c r="S22" s="17" t="n">
        <f>20915.6</f>
        <v>20915.6</v>
      </c>
      <c r="T22" s="18" t="str">
        <f>"－"</f>
        <v>－</v>
      </c>
      <c r="U22" s="18"/>
      <c r="V22" s="18" t="str">
        <f>"－"</f>
        <v>－</v>
      </c>
      <c r="W22" s="18"/>
      <c r="X22" s="15"/>
      <c r="Y22" s="19" t="str">
        <f>"－"</f>
        <v>－</v>
      </c>
      <c r="Z22" s="20" t="str">
        <f>"－"</f>
        <v>－</v>
      </c>
    </row>
    <row r="23">
      <c r="A23" s="12" t="s">
        <v>42</v>
      </c>
      <c r="B23" s="13" t="s">
        <v>43</v>
      </c>
      <c r="C23" s="13" t="s">
        <v>44</v>
      </c>
      <c r="D23" s="13" t="s">
        <v>209</v>
      </c>
      <c r="E23" s="14" t="s">
        <v>181</v>
      </c>
      <c r="F23" s="14" t="s">
        <v>210</v>
      </c>
      <c r="G23" s="15"/>
      <c r="H23" s="16" t="s">
        <v>208</v>
      </c>
      <c r="I23" s="15"/>
      <c r="J23" s="16" t="s">
        <v>208</v>
      </c>
      <c r="K23" s="15" t="s">
        <v>54</v>
      </c>
      <c r="L23" s="16" t="s">
        <v>211</v>
      </c>
      <c r="M23" s="15"/>
      <c r="N23" s="16" t="s">
        <v>208</v>
      </c>
      <c r="O23" s="15" t="s">
        <v>54</v>
      </c>
      <c r="P23" s="16" t="s">
        <v>211</v>
      </c>
      <c r="Q23" s="15"/>
      <c r="R23" s="16" t="s">
        <v>208</v>
      </c>
      <c r="S23" s="17" t="n">
        <f>20265.97</f>
        <v>20265.97</v>
      </c>
      <c r="T23" s="18" t="n">
        <f>1000</f>
        <v>1000.0</v>
      </c>
      <c r="U23" s="18" t="n">
        <v>1000.0</v>
      </c>
      <c r="V23" s="18" t="n">
        <f>16710000000</f>
        <v>1.671E10</v>
      </c>
      <c r="W23" s="18" t="n">
        <v>1.671E10</v>
      </c>
      <c r="X23" s="15"/>
      <c r="Y23" s="19" t="n">
        <f>1063</f>
        <v>1063.0</v>
      </c>
      <c r="Z23" s="20" t="str">
        <f>"－"</f>
        <v>－</v>
      </c>
    </row>
    <row r="24">
      <c r="A24" s="12" t="s">
        <v>42</v>
      </c>
      <c r="B24" s="13" t="s">
        <v>43</v>
      </c>
      <c r="C24" s="13" t="s">
        <v>44</v>
      </c>
      <c r="D24" s="13" t="s">
        <v>212</v>
      </c>
      <c r="E24" s="14" t="s">
        <v>181</v>
      </c>
      <c r="F24" s="14" t="s">
        <v>213</v>
      </c>
      <c r="G24" s="15"/>
      <c r="H24" s="16" t="s">
        <v>208</v>
      </c>
      <c r="I24" s="15"/>
      <c r="J24" s="16" t="s">
        <v>208</v>
      </c>
      <c r="K24" s="15"/>
      <c r="L24" s="16"/>
      <c r="M24" s="15"/>
      <c r="N24" s="16" t="s">
        <v>208</v>
      </c>
      <c r="O24" s="15"/>
      <c r="P24" s="16"/>
      <c r="Q24" s="15"/>
      <c r="R24" s="16" t="s">
        <v>208</v>
      </c>
      <c r="S24" s="17" t="n">
        <f>20027.08</f>
        <v>20027.08</v>
      </c>
      <c r="T24" s="18" t="str">
        <f>"－"</f>
        <v>－</v>
      </c>
      <c r="U24" s="18"/>
      <c r="V24" s="18" t="str">
        <f>"－"</f>
        <v>－</v>
      </c>
      <c r="W24" s="18"/>
      <c r="X24" s="15"/>
      <c r="Y24" s="19" t="str">
        <f>"－"</f>
        <v>－</v>
      </c>
      <c r="Z24" s="20" t="str">
        <f>"－"</f>
        <v>－</v>
      </c>
    </row>
    <row r="25">
      <c r="A25" s="12" t="s">
        <v>42</v>
      </c>
      <c r="B25" s="13" t="s">
        <v>43</v>
      </c>
      <c r="C25" s="13" t="s">
        <v>44</v>
      </c>
      <c r="D25" s="13" t="s">
        <v>214</v>
      </c>
      <c r="E25" s="14" t="s">
        <v>215</v>
      </c>
      <c r="F25" s="14" t="s">
        <v>216</v>
      </c>
      <c r="G25" s="15"/>
      <c r="H25" s="16" t="s">
        <v>208</v>
      </c>
      <c r="I25" s="15"/>
      <c r="J25" s="16" t="s">
        <v>208</v>
      </c>
      <c r="K25" s="15"/>
      <c r="L25" s="16"/>
      <c r="M25" s="15"/>
      <c r="N25" s="16" t="s">
        <v>208</v>
      </c>
      <c r="O25" s="15"/>
      <c r="P25" s="16"/>
      <c r="Q25" s="15"/>
      <c r="R25" s="16" t="s">
        <v>208</v>
      </c>
      <c r="S25" s="17" t="n">
        <f>20417</f>
        <v>20417.0</v>
      </c>
      <c r="T25" s="18" t="str">
        <f>"－"</f>
        <v>－</v>
      </c>
      <c r="U25" s="18"/>
      <c r="V25" s="18" t="str">
        <f>"－"</f>
        <v>－</v>
      </c>
      <c r="W25" s="18"/>
      <c r="X25" s="15"/>
      <c r="Y25" s="19" t="str">
        <f>"－"</f>
        <v>－</v>
      </c>
      <c r="Z25" s="20" t="str">
        <f>"－"</f>
        <v>－</v>
      </c>
    </row>
    <row r="26">
      <c r="A26" s="12" t="s">
        <v>42</v>
      </c>
      <c r="B26" s="13" t="s">
        <v>43</v>
      </c>
      <c r="C26" s="13" t="s">
        <v>44</v>
      </c>
      <c r="D26" s="13" t="s">
        <v>217</v>
      </c>
      <c r="E26" s="14" t="s">
        <v>218</v>
      </c>
      <c r="F26" s="14" t="s">
        <v>219</v>
      </c>
      <c r="G26" s="15" t="s">
        <v>220</v>
      </c>
      <c r="H26" s="16" t="s">
        <v>221</v>
      </c>
      <c r="I26" s="15" t="s">
        <v>220</v>
      </c>
      <c r="J26" s="16" t="s">
        <v>221</v>
      </c>
      <c r="K26" s="15"/>
      <c r="L26" s="16"/>
      <c r="M26" s="15" t="s">
        <v>220</v>
      </c>
      <c r="N26" s="16" t="s">
        <v>221</v>
      </c>
      <c r="O26" s="15"/>
      <c r="P26" s="16"/>
      <c r="Q26" s="15" t="s">
        <v>222</v>
      </c>
      <c r="R26" s="16" t="s">
        <v>221</v>
      </c>
      <c r="S26" s="17" t="n">
        <f>20238.44</f>
        <v>20238.44</v>
      </c>
      <c r="T26" s="18" t="n">
        <f>2</f>
        <v>2.0</v>
      </c>
      <c r="U26" s="18"/>
      <c r="V26" s="18" t="n">
        <f>37040000</f>
        <v>3.704E7</v>
      </c>
      <c r="W26" s="18"/>
      <c r="X26" s="15"/>
      <c r="Y26" s="19" t="str">
        <f>"－"</f>
        <v>－</v>
      </c>
      <c r="Z26" s="20" t="n">
        <f>2</f>
        <v>2.0</v>
      </c>
    </row>
    <row r="27">
      <c r="A27" s="12" t="s">
        <v>42</v>
      </c>
      <c r="B27" s="13" t="s">
        <v>43</v>
      </c>
      <c r="C27" s="13" t="s">
        <v>44</v>
      </c>
      <c r="D27" s="13" t="s">
        <v>223</v>
      </c>
      <c r="E27" s="14" t="s">
        <v>224</v>
      </c>
      <c r="F27" s="14" t="s">
        <v>225</v>
      </c>
      <c r="G27" s="15"/>
      <c r="H27" s="16" t="s">
        <v>208</v>
      </c>
      <c r="I27" s="15"/>
      <c r="J27" s="16" t="s">
        <v>208</v>
      </c>
      <c r="K27" s="15"/>
      <c r="L27" s="16"/>
      <c r="M27" s="15"/>
      <c r="N27" s="16" t="s">
        <v>208</v>
      </c>
      <c r="O27" s="15"/>
      <c r="P27" s="16"/>
      <c r="Q27" s="15"/>
      <c r="R27" s="16" t="s">
        <v>208</v>
      </c>
      <c r="S27" s="17" t="n">
        <f>20083.83</f>
        <v>20083.83</v>
      </c>
      <c r="T27" s="18" t="str">
        <f>"－"</f>
        <v>－</v>
      </c>
      <c r="U27" s="18"/>
      <c r="V27" s="18" t="str">
        <f>"－"</f>
        <v>－</v>
      </c>
      <c r="W27" s="18"/>
      <c r="X27" s="15"/>
      <c r="Y27" s="19" t="str">
        <f>"－"</f>
        <v>－</v>
      </c>
      <c r="Z27" s="20" t="str">
        <f>"－"</f>
        <v>－</v>
      </c>
    </row>
    <row r="28">
      <c r="A28" s="12" t="s">
        <v>42</v>
      </c>
      <c r="B28" s="13" t="s">
        <v>43</v>
      </c>
      <c r="C28" s="13" t="s">
        <v>44</v>
      </c>
      <c r="D28" s="13" t="s">
        <v>226</v>
      </c>
      <c r="E28" s="14" t="s">
        <v>227</v>
      </c>
      <c r="F28" s="14" t="s">
        <v>228</v>
      </c>
      <c r="G28" s="15"/>
      <c r="H28" s="16" t="s">
        <v>208</v>
      </c>
      <c r="I28" s="15"/>
      <c r="J28" s="16" t="s">
        <v>208</v>
      </c>
      <c r="K28" s="15"/>
      <c r="L28" s="16"/>
      <c r="M28" s="15"/>
      <c r="N28" s="16" t="s">
        <v>208</v>
      </c>
      <c r="O28" s="15"/>
      <c r="P28" s="16"/>
      <c r="Q28" s="15"/>
      <c r="R28" s="16" t="s">
        <v>208</v>
      </c>
      <c r="S28" s="17" t="n">
        <f>21225.69</f>
        <v>21225.69</v>
      </c>
      <c r="T28" s="18" t="str">
        <f>"－"</f>
        <v>－</v>
      </c>
      <c r="U28" s="18"/>
      <c r="V28" s="18" t="str">
        <f>"－"</f>
        <v>－</v>
      </c>
      <c r="W28" s="18"/>
      <c r="X28" s="15"/>
      <c r="Y28" s="19" t="str">
        <f>"－"</f>
        <v>－</v>
      </c>
      <c r="Z28" s="20" t="str">
        <f>"－"</f>
        <v>－</v>
      </c>
    </row>
    <row r="29">
      <c r="A29" s="12" t="s">
        <v>42</v>
      </c>
      <c r="B29" s="13" t="s">
        <v>43</v>
      </c>
      <c r="C29" s="13" t="s">
        <v>44</v>
      </c>
      <c r="D29" s="13" t="s">
        <v>229</v>
      </c>
      <c r="E29" s="14" t="s">
        <v>230</v>
      </c>
      <c r="F29" s="14" t="s">
        <v>231</v>
      </c>
      <c r="G29" s="15"/>
      <c r="H29" s="16" t="s">
        <v>208</v>
      </c>
      <c r="I29" s="15"/>
      <c r="J29" s="16" t="s">
        <v>208</v>
      </c>
      <c r="K29" s="15"/>
      <c r="L29" s="16"/>
      <c r="M29" s="15"/>
      <c r="N29" s="16" t="s">
        <v>208</v>
      </c>
      <c r="O29" s="15"/>
      <c r="P29" s="16"/>
      <c r="Q29" s="15"/>
      <c r="R29" s="16" t="s">
        <v>208</v>
      </c>
      <c r="S29" s="17" t="n">
        <f>24059.29</f>
        <v>24059.29</v>
      </c>
      <c r="T29" s="18" t="str">
        <f>"－"</f>
        <v>－</v>
      </c>
      <c r="U29" s="18"/>
      <c r="V29" s="18" t="str">
        <f>"－"</f>
        <v>－</v>
      </c>
      <c r="W29" s="18"/>
      <c r="X29" s="15"/>
      <c r="Y29" s="19" t="str">
        <f>"－"</f>
        <v>－</v>
      </c>
      <c r="Z29" s="20" t="str">
        <f>"－"</f>
        <v>－</v>
      </c>
    </row>
    <row r="30">
      <c r="A30" s="12" t="s">
        <v>42</v>
      </c>
      <c r="B30" s="13" t="s">
        <v>232</v>
      </c>
      <c r="C30" s="13" t="s">
        <v>233</v>
      </c>
      <c r="D30" s="13" t="s">
        <v>234</v>
      </c>
      <c r="E30" s="14" t="s">
        <v>235</v>
      </c>
      <c r="F30" s="14" t="s">
        <v>236</v>
      </c>
      <c r="G30" s="15" t="s">
        <v>48</v>
      </c>
      <c r="H30" s="16" t="s">
        <v>237</v>
      </c>
      <c r="I30" s="15" t="s">
        <v>238</v>
      </c>
      <c r="J30" s="16" t="s">
        <v>239</v>
      </c>
      <c r="K30" s="15" t="s">
        <v>238</v>
      </c>
      <c r="L30" s="16" t="s">
        <v>240</v>
      </c>
      <c r="M30" s="15" t="s">
        <v>241</v>
      </c>
      <c r="N30" s="16" t="s">
        <v>242</v>
      </c>
      <c r="O30" s="15" t="s">
        <v>241</v>
      </c>
      <c r="P30" s="16" t="s">
        <v>243</v>
      </c>
      <c r="Q30" s="15" t="s">
        <v>238</v>
      </c>
      <c r="R30" s="16" t="s">
        <v>244</v>
      </c>
      <c r="S30" s="17" t="n">
        <f>23383.75</f>
        <v>23383.75</v>
      </c>
      <c r="T30" s="18" t="n">
        <f>446255</f>
        <v>446255.0</v>
      </c>
      <c r="U30" s="18" t="n">
        <v>135922.0</v>
      </c>
      <c r="V30" s="18" t="n">
        <f>1041597103876</f>
        <v>1.041597103876E12</v>
      </c>
      <c r="W30" s="18" t="n">
        <v>3.17199400676E11</v>
      </c>
      <c r="X30" s="15" t="s">
        <v>58</v>
      </c>
      <c r="Y30" s="19" t="n">
        <f>127097</f>
        <v>127097.0</v>
      </c>
      <c r="Z30" s="20" t="n">
        <f>4</f>
        <v>4.0</v>
      </c>
    </row>
    <row r="31">
      <c r="A31" s="12" t="s">
        <v>42</v>
      </c>
      <c r="B31" s="13" t="s">
        <v>232</v>
      </c>
      <c r="C31" s="13" t="s">
        <v>233</v>
      </c>
      <c r="D31" s="13" t="s">
        <v>245</v>
      </c>
      <c r="E31" s="14" t="s">
        <v>246</v>
      </c>
      <c r="F31" s="14" t="s">
        <v>247</v>
      </c>
      <c r="G31" s="15" t="s">
        <v>48</v>
      </c>
      <c r="H31" s="16" t="s">
        <v>248</v>
      </c>
      <c r="I31" s="15" t="s">
        <v>50</v>
      </c>
      <c r="J31" s="16" t="s">
        <v>249</v>
      </c>
      <c r="K31" s="15" t="s">
        <v>50</v>
      </c>
      <c r="L31" s="16" t="s">
        <v>250</v>
      </c>
      <c r="M31" s="15" t="s">
        <v>251</v>
      </c>
      <c r="N31" s="16" t="s">
        <v>252</v>
      </c>
      <c r="O31" s="15" t="s">
        <v>251</v>
      </c>
      <c r="P31" s="16" t="s">
        <v>253</v>
      </c>
      <c r="Q31" s="15" t="s">
        <v>254</v>
      </c>
      <c r="R31" s="16" t="s">
        <v>255</v>
      </c>
      <c r="S31" s="17" t="n">
        <f>23610.74</f>
        <v>23610.74</v>
      </c>
      <c r="T31" s="18" t="n">
        <f>1548655</f>
        <v>1548655.0</v>
      </c>
      <c r="U31" s="18" t="n">
        <v>286176.0</v>
      </c>
      <c r="V31" s="18" t="n">
        <f>3638005626382</f>
        <v>3.638005626382E12</v>
      </c>
      <c r="W31" s="18" t="n">
        <v>6.72083513582E11</v>
      </c>
      <c r="X31" s="15" t="s">
        <v>58</v>
      </c>
      <c r="Y31" s="19" t="n">
        <f>65832</f>
        <v>65832.0</v>
      </c>
      <c r="Z31" s="20" t="n">
        <f>27</f>
        <v>27.0</v>
      </c>
    </row>
    <row r="32">
      <c r="A32" s="12" t="s">
        <v>42</v>
      </c>
      <c r="B32" s="13" t="s">
        <v>232</v>
      </c>
      <c r="C32" s="13" t="s">
        <v>233</v>
      </c>
      <c r="D32" s="13" t="s">
        <v>45</v>
      </c>
      <c r="E32" s="14" t="s">
        <v>46</v>
      </c>
      <c r="F32" s="14" t="s">
        <v>47</v>
      </c>
      <c r="G32" s="15" t="s">
        <v>48</v>
      </c>
      <c r="H32" s="16" t="s">
        <v>49</v>
      </c>
      <c r="I32" s="15" t="s">
        <v>50</v>
      </c>
      <c r="J32" s="16" t="s">
        <v>256</v>
      </c>
      <c r="K32" s="15" t="s">
        <v>50</v>
      </c>
      <c r="L32" s="16" t="s">
        <v>257</v>
      </c>
      <c r="M32" s="15" t="s">
        <v>54</v>
      </c>
      <c r="N32" s="16" t="s">
        <v>55</v>
      </c>
      <c r="O32" s="15" t="s">
        <v>54</v>
      </c>
      <c r="P32" s="16" t="s">
        <v>258</v>
      </c>
      <c r="Q32" s="15" t="s">
        <v>54</v>
      </c>
      <c r="R32" s="16" t="s">
        <v>259</v>
      </c>
      <c r="S32" s="17" t="n">
        <f>22777.17</f>
        <v>22777.17</v>
      </c>
      <c r="T32" s="18" t="n">
        <f>75108890</f>
        <v>7.510889E7</v>
      </c>
      <c r="U32" s="18" t="n">
        <v>4623744.0</v>
      </c>
      <c r="V32" s="18" t="n">
        <f>167429843033272</f>
        <v>1.67429843033272E14</v>
      </c>
      <c r="W32" s="18" t="n">
        <v>1.0372584524372E13</v>
      </c>
      <c r="X32" s="15" t="s">
        <v>58</v>
      </c>
      <c r="Y32" s="19" t="n">
        <f>445718</f>
        <v>445718.0</v>
      </c>
      <c r="Z32" s="20" t="n">
        <f>46</f>
        <v>46.0</v>
      </c>
    </row>
    <row r="33">
      <c r="A33" s="12" t="s">
        <v>42</v>
      </c>
      <c r="B33" s="13" t="s">
        <v>232</v>
      </c>
      <c r="C33" s="13" t="s">
        <v>233</v>
      </c>
      <c r="D33" s="13" t="s">
        <v>260</v>
      </c>
      <c r="E33" s="14" t="s">
        <v>261</v>
      </c>
      <c r="F33" s="14" t="s">
        <v>262</v>
      </c>
      <c r="G33" s="15" t="s">
        <v>48</v>
      </c>
      <c r="H33" s="16" t="s">
        <v>263</v>
      </c>
      <c r="I33" s="15" t="s">
        <v>50</v>
      </c>
      <c r="J33" s="16" t="s">
        <v>264</v>
      </c>
      <c r="K33" s="15" t="s">
        <v>50</v>
      </c>
      <c r="L33" s="16" t="s">
        <v>265</v>
      </c>
      <c r="M33" s="15" t="s">
        <v>65</v>
      </c>
      <c r="N33" s="16" t="s">
        <v>266</v>
      </c>
      <c r="O33" s="15" t="s">
        <v>65</v>
      </c>
      <c r="P33" s="16" t="s">
        <v>267</v>
      </c>
      <c r="Q33" s="15" t="s">
        <v>176</v>
      </c>
      <c r="R33" s="16" t="s">
        <v>268</v>
      </c>
      <c r="S33" s="17" t="n">
        <f>21265.77</f>
        <v>21265.77</v>
      </c>
      <c r="T33" s="18" t="n">
        <f>5894770</f>
        <v>5894770.0</v>
      </c>
      <c r="U33" s="18" t="n">
        <v>1320847.0</v>
      </c>
      <c r="V33" s="18" t="n">
        <f>10921318144914</f>
        <v>1.0921318144914E13</v>
      </c>
      <c r="W33" s="18" t="n">
        <v>2.452794680414E12</v>
      </c>
      <c r="X33" s="15" t="s">
        <v>58</v>
      </c>
      <c r="Y33" s="19" t="n">
        <f>203327</f>
        <v>203327.0</v>
      </c>
      <c r="Z33" s="20" t="n">
        <f>65</f>
        <v>65.0</v>
      </c>
    </row>
    <row r="34">
      <c r="A34" s="12" t="s">
        <v>42</v>
      </c>
      <c r="B34" s="13" t="s">
        <v>232</v>
      </c>
      <c r="C34" s="13" t="s">
        <v>233</v>
      </c>
      <c r="D34" s="13" t="s">
        <v>269</v>
      </c>
      <c r="E34" s="14" t="s">
        <v>270</v>
      </c>
      <c r="F34" s="14" t="s">
        <v>271</v>
      </c>
      <c r="G34" s="15" t="s">
        <v>145</v>
      </c>
      <c r="H34" s="16" t="s">
        <v>272</v>
      </c>
      <c r="I34" s="15" t="s">
        <v>50</v>
      </c>
      <c r="J34" s="16" t="s">
        <v>273</v>
      </c>
      <c r="K34" s="15" t="s">
        <v>274</v>
      </c>
      <c r="L34" s="16" t="s">
        <v>275</v>
      </c>
      <c r="M34" s="15" t="s">
        <v>65</v>
      </c>
      <c r="N34" s="16" t="s">
        <v>276</v>
      </c>
      <c r="O34" s="15" t="s">
        <v>65</v>
      </c>
      <c r="P34" s="16" t="s">
        <v>277</v>
      </c>
      <c r="Q34" s="15" t="s">
        <v>278</v>
      </c>
      <c r="R34" s="16" t="s">
        <v>279</v>
      </c>
      <c r="S34" s="17" t="n">
        <f>20804.35</f>
        <v>20804.35</v>
      </c>
      <c r="T34" s="18" t="n">
        <f>1906352</f>
        <v>1906352.0</v>
      </c>
      <c r="U34" s="18" t="n">
        <v>467507.0</v>
      </c>
      <c r="V34" s="18" t="n">
        <f>3713669998912</f>
        <v>3.713669998912E12</v>
      </c>
      <c r="W34" s="18" t="n">
        <v>9.10713887912E11</v>
      </c>
      <c r="X34" s="15" t="s">
        <v>58</v>
      </c>
      <c r="Y34" s="19" t="n">
        <f>117284</f>
        <v>117284.0</v>
      </c>
      <c r="Z34" s="20" t="n">
        <f>76</f>
        <v>76.0</v>
      </c>
    </row>
    <row r="35">
      <c r="A35" s="12" t="s">
        <v>42</v>
      </c>
      <c r="B35" s="13" t="s">
        <v>232</v>
      </c>
      <c r="C35" s="13" t="s">
        <v>233</v>
      </c>
      <c r="D35" s="13" t="s">
        <v>59</v>
      </c>
      <c r="E35" s="14" t="s">
        <v>60</v>
      </c>
      <c r="F35" s="14" t="s">
        <v>61</v>
      </c>
      <c r="G35" s="15" t="s">
        <v>48</v>
      </c>
      <c r="H35" s="16" t="s">
        <v>62</v>
      </c>
      <c r="I35" s="15" t="s">
        <v>50</v>
      </c>
      <c r="J35" s="16" t="s">
        <v>280</v>
      </c>
      <c r="K35" s="15" t="s">
        <v>274</v>
      </c>
      <c r="L35" s="16" t="s">
        <v>281</v>
      </c>
      <c r="M35" s="15" t="s">
        <v>65</v>
      </c>
      <c r="N35" s="16" t="s">
        <v>66</v>
      </c>
      <c r="O35" s="15" t="s">
        <v>65</v>
      </c>
      <c r="P35" s="16" t="s">
        <v>282</v>
      </c>
      <c r="Q35" s="15" t="s">
        <v>68</v>
      </c>
      <c r="R35" s="16" t="s">
        <v>283</v>
      </c>
      <c r="S35" s="17" t="n">
        <f>21027.45</f>
        <v>21027.45</v>
      </c>
      <c r="T35" s="18" t="n">
        <f>94470451</f>
        <v>9.4470451E7</v>
      </c>
      <c r="U35" s="18" t="n">
        <v>6635925.0</v>
      </c>
      <c r="V35" s="18" t="n">
        <f>184029166097788</f>
        <v>1.84029166097788E14</v>
      </c>
      <c r="W35" s="18" t="n">
        <v>1.3161894598188E13</v>
      </c>
      <c r="X35" s="15" t="s">
        <v>58</v>
      </c>
      <c r="Y35" s="19" t="n">
        <f>513808</f>
        <v>513808.0</v>
      </c>
      <c r="Z35" s="20" t="n">
        <f>106</f>
        <v>106.0</v>
      </c>
    </row>
    <row r="36">
      <c r="A36" s="12" t="s">
        <v>42</v>
      </c>
      <c r="B36" s="13" t="s">
        <v>232</v>
      </c>
      <c r="C36" s="13" t="s">
        <v>233</v>
      </c>
      <c r="D36" s="13" t="s">
        <v>284</v>
      </c>
      <c r="E36" s="14" t="s">
        <v>285</v>
      </c>
      <c r="F36" s="14" t="s">
        <v>286</v>
      </c>
      <c r="G36" s="15" t="s">
        <v>287</v>
      </c>
      <c r="H36" s="16" t="s">
        <v>288</v>
      </c>
      <c r="I36" s="15" t="s">
        <v>274</v>
      </c>
      <c r="J36" s="16" t="s">
        <v>62</v>
      </c>
      <c r="K36" s="15" t="s">
        <v>289</v>
      </c>
      <c r="L36" s="16" t="s">
        <v>121</v>
      </c>
      <c r="M36" s="15" t="s">
        <v>65</v>
      </c>
      <c r="N36" s="16" t="s">
        <v>290</v>
      </c>
      <c r="O36" s="15" t="s">
        <v>291</v>
      </c>
      <c r="P36" s="16" t="s">
        <v>292</v>
      </c>
      <c r="Q36" s="15" t="s">
        <v>293</v>
      </c>
      <c r="R36" s="16" t="s">
        <v>294</v>
      </c>
      <c r="S36" s="17" t="n">
        <f>20619.29</f>
        <v>20619.29</v>
      </c>
      <c r="T36" s="18" t="n">
        <f>3456386</f>
        <v>3456386.0</v>
      </c>
      <c r="U36" s="18" t="n">
        <v>601450.0</v>
      </c>
      <c r="V36" s="18" t="n">
        <f>7657070658776</f>
        <v>7.657070658776E12</v>
      </c>
      <c r="W36" s="18" t="n">
        <v>1.336156836376E12</v>
      </c>
      <c r="X36" s="15" t="s">
        <v>58</v>
      </c>
      <c r="Y36" s="19" t="n">
        <f>129231</f>
        <v>129231.0</v>
      </c>
      <c r="Z36" s="20" t="n">
        <f>99</f>
        <v>99.0</v>
      </c>
    </row>
    <row r="37">
      <c r="A37" s="12" t="s">
        <v>42</v>
      </c>
      <c r="B37" s="13" t="s">
        <v>232</v>
      </c>
      <c r="C37" s="13" t="s">
        <v>233</v>
      </c>
      <c r="D37" s="13" t="s">
        <v>295</v>
      </c>
      <c r="E37" s="14" t="s">
        <v>296</v>
      </c>
      <c r="F37" s="14" t="s">
        <v>297</v>
      </c>
      <c r="G37" s="15" t="s">
        <v>298</v>
      </c>
      <c r="H37" s="16" t="s">
        <v>299</v>
      </c>
      <c r="I37" s="15" t="s">
        <v>199</v>
      </c>
      <c r="J37" s="16" t="s">
        <v>300</v>
      </c>
      <c r="K37" s="15" t="s">
        <v>199</v>
      </c>
      <c r="L37" s="16" t="s">
        <v>301</v>
      </c>
      <c r="M37" s="15" t="s">
        <v>302</v>
      </c>
      <c r="N37" s="16" t="s">
        <v>303</v>
      </c>
      <c r="O37" s="15" t="s">
        <v>304</v>
      </c>
      <c r="P37" s="16" t="s">
        <v>305</v>
      </c>
      <c r="Q37" s="15" t="s">
        <v>199</v>
      </c>
      <c r="R37" s="16" t="s">
        <v>306</v>
      </c>
      <c r="S37" s="17" t="n">
        <f>21564.34</f>
        <v>21564.34</v>
      </c>
      <c r="T37" s="18" t="n">
        <f>2048646</f>
        <v>2048646.0</v>
      </c>
      <c r="U37" s="18" t="n">
        <v>389759.0</v>
      </c>
      <c r="V37" s="18" t="n">
        <f>4625297067053</f>
        <v>4.625297067053E12</v>
      </c>
      <c r="W37" s="18" t="n">
        <v>8.83642421253E11</v>
      </c>
      <c r="X37" s="15" t="s">
        <v>58</v>
      </c>
      <c r="Y37" s="19" t="n">
        <f>122952</f>
        <v>122952.0</v>
      </c>
      <c r="Z37" s="20" t="n">
        <f>82</f>
        <v>82.0</v>
      </c>
    </row>
    <row r="38">
      <c r="A38" s="12" t="s">
        <v>42</v>
      </c>
      <c r="B38" s="13" t="s">
        <v>232</v>
      </c>
      <c r="C38" s="13" t="s">
        <v>233</v>
      </c>
      <c r="D38" s="13" t="s">
        <v>70</v>
      </c>
      <c r="E38" s="14" t="s">
        <v>71</v>
      </c>
      <c r="F38" s="14" t="s">
        <v>72</v>
      </c>
      <c r="G38" s="15" t="s">
        <v>48</v>
      </c>
      <c r="H38" s="16" t="s">
        <v>307</v>
      </c>
      <c r="I38" s="15" t="s">
        <v>50</v>
      </c>
      <c r="J38" s="16" t="s">
        <v>308</v>
      </c>
      <c r="K38" s="15" t="s">
        <v>75</v>
      </c>
      <c r="L38" s="16" t="s">
        <v>309</v>
      </c>
      <c r="M38" s="15" t="s">
        <v>65</v>
      </c>
      <c r="N38" s="16" t="s">
        <v>310</v>
      </c>
      <c r="O38" s="15" t="s">
        <v>311</v>
      </c>
      <c r="P38" s="16" t="s">
        <v>312</v>
      </c>
      <c r="Q38" s="15" t="s">
        <v>79</v>
      </c>
      <c r="R38" s="16" t="s">
        <v>313</v>
      </c>
      <c r="S38" s="17" t="n">
        <f>21596.96</f>
        <v>21596.96</v>
      </c>
      <c r="T38" s="18" t="n">
        <f>67318004</f>
        <v>6.7318004E7</v>
      </c>
      <c r="U38" s="18" t="n">
        <v>4404168.0</v>
      </c>
      <c r="V38" s="18" t="n">
        <f>151685072470187</f>
        <v>1.51685072470187E14</v>
      </c>
      <c r="W38" s="18" t="n">
        <v>9.966038926487E12</v>
      </c>
      <c r="X38" s="15" t="s">
        <v>58</v>
      </c>
      <c r="Y38" s="19" t="n">
        <f>395890</f>
        <v>395890.0</v>
      </c>
      <c r="Z38" s="20" t="n">
        <f>168</f>
        <v>168.0</v>
      </c>
    </row>
    <row r="39">
      <c r="A39" s="12" t="s">
        <v>42</v>
      </c>
      <c r="B39" s="13" t="s">
        <v>232</v>
      </c>
      <c r="C39" s="13" t="s">
        <v>233</v>
      </c>
      <c r="D39" s="13" t="s">
        <v>314</v>
      </c>
      <c r="E39" s="14" t="s">
        <v>315</v>
      </c>
      <c r="F39" s="14" t="s">
        <v>316</v>
      </c>
      <c r="G39" s="15" t="s">
        <v>317</v>
      </c>
      <c r="H39" s="16" t="s">
        <v>318</v>
      </c>
      <c r="I39" s="15" t="s">
        <v>319</v>
      </c>
      <c r="J39" s="16" t="s">
        <v>320</v>
      </c>
      <c r="K39" s="15" t="s">
        <v>319</v>
      </c>
      <c r="L39" s="16" t="s">
        <v>321</v>
      </c>
      <c r="M39" s="15" t="s">
        <v>304</v>
      </c>
      <c r="N39" s="16" t="s">
        <v>322</v>
      </c>
      <c r="O39" s="15" t="s">
        <v>323</v>
      </c>
      <c r="P39" s="16" t="s">
        <v>324</v>
      </c>
      <c r="Q39" s="15" t="s">
        <v>319</v>
      </c>
      <c r="R39" s="16" t="s">
        <v>325</v>
      </c>
      <c r="S39" s="17" t="n">
        <f>22348.81</f>
        <v>22348.81</v>
      </c>
      <c r="T39" s="18" t="n">
        <f>1771812</f>
        <v>1771812.0</v>
      </c>
      <c r="U39" s="18" t="n">
        <v>513758.0</v>
      </c>
      <c r="V39" s="18" t="n">
        <f>4109771259623</f>
        <v>4.109771259623E12</v>
      </c>
      <c r="W39" s="18" t="n">
        <v>1.196984076823E12</v>
      </c>
      <c r="X39" s="15" t="s">
        <v>58</v>
      </c>
      <c r="Y39" s="19" t="n">
        <f>118421</f>
        <v>118421.0</v>
      </c>
      <c r="Z39" s="20" t="n">
        <f>104</f>
        <v>104.0</v>
      </c>
    </row>
    <row r="40">
      <c r="A40" s="12" t="s">
        <v>42</v>
      </c>
      <c r="B40" s="13" t="s">
        <v>232</v>
      </c>
      <c r="C40" s="13" t="s">
        <v>233</v>
      </c>
      <c r="D40" s="13" t="s">
        <v>326</v>
      </c>
      <c r="E40" s="14" t="s">
        <v>327</v>
      </c>
      <c r="F40" s="14" t="s">
        <v>328</v>
      </c>
      <c r="G40" s="15" t="s">
        <v>329</v>
      </c>
      <c r="H40" s="16" t="s">
        <v>330</v>
      </c>
      <c r="I40" s="15" t="s">
        <v>331</v>
      </c>
      <c r="J40" s="16" t="s">
        <v>332</v>
      </c>
      <c r="K40" s="15" t="s">
        <v>331</v>
      </c>
      <c r="L40" s="16" t="s">
        <v>333</v>
      </c>
      <c r="M40" s="15" t="s">
        <v>323</v>
      </c>
      <c r="N40" s="16" t="s">
        <v>334</v>
      </c>
      <c r="O40" s="15" t="s">
        <v>335</v>
      </c>
      <c r="P40" s="16" t="s">
        <v>336</v>
      </c>
      <c r="Q40" s="15" t="s">
        <v>337</v>
      </c>
      <c r="R40" s="16" t="s">
        <v>338</v>
      </c>
      <c r="S40" s="17" t="n">
        <f>23145.6</f>
        <v>23145.6</v>
      </c>
      <c r="T40" s="18" t="n">
        <f>1291649</f>
        <v>1291649.0</v>
      </c>
      <c r="U40" s="18" t="n">
        <v>326212.0</v>
      </c>
      <c r="V40" s="18" t="n">
        <f>3121783537276</f>
        <v>3.121783537276E12</v>
      </c>
      <c r="W40" s="18" t="n">
        <v>8.08615397676E11</v>
      </c>
      <c r="X40" s="15" t="s">
        <v>58</v>
      </c>
      <c r="Y40" s="19" t="n">
        <f>148510</f>
        <v>148510.0</v>
      </c>
      <c r="Z40" s="20" t="n">
        <f>83</f>
        <v>83.0</v>
      </c>
    </row>
    <row r="41">
      <c r="A41" s="12" t="s">
        <v>42</v>
      </c>
      <c r="B41" s="13" t="s">
        <v>232</v>
      </c>
      <c r="C41" s="13" t="s">
        <v>233</v>
      </c>
      <c r="D41" s="13" t="s">
        <v>81</v>
      </c>
      <c r="E41" s="14" t="s">
        <v>82</v>
      </c>
      <c r="F41" s="14" t="s">
        <v>83</v>
      </c>
      <c r="G41" s="15" t="s">
        <v>48</v>
      </c>
      <c r="H41" s="16" t="s">
        <v>339</v>
      </c>
      <c r="I41" s="15" t="s">
        <v>85</v>
      </c>
      <c r="J41" s="16" t="s">
        <v>340</v>
      </c>
      <c r="K41" s="15" t="s">
        <v>85</v>
      </c>
      <c r="L41" s="16" t="s">
        <v>341</v>
      </c>
      <c r="M41" s="15" t="s">
        <v>65</v>
      </c>
      <c r="N41" s="16" t="s">
        <v>342</v>
      </c>
      <c r="O41" s="15" t="s">
        <v>191</v>
      </c>
      <c r="P41" s="16" t="s">
        <v>343</v>
      </c>
      <c r="Q41" s="15" t="s">
        <v>91</v>
      </c>
      <c r="R41" s="16" t="s">
        <v>92</v>
      </c>
      <c r="S41" s="17" t="n">
        <f>22247.34</f>
        <v>22247.34</v>
      </c>
      <c r="T41" s="18" t="n">
        <f>54582809</f>
        <v>5.4582809E7</v>
      </c>
      <c r="U41" s="18" t="n">
        <v>3392972.0</v>
      </c>
      <c r="V41" s="18" t="n">
        <f>132946418435531</f>
        <v>1.32946418435531E14</v>
      </c>
      <c r="W41" s="18" t="n">
        <v>8.349617762231E12</v>
      </c>
      <c r="X41" s="15" t="s">
        <v>58</v>
      </c>
      <c r="Y41" s="19" t="n">
        <f>267847</f>
        <v>267847.0</v>
      </c>
      <c r="Z41" s="20" t="n">
        <f>229</f>
        <v>229.0</v>
      </c>
    </row>
    <row r="42">
      <c r="A42" s="12" t="s">
        <v>42</v>
      </c>
      <c r="B42" s="13" t="s">
        <v>232</v>
      </c>
      <c r="C42" s="13" t="s">
        <v>233</v>
      </c>
      <c r="D42" s="13" t="s">
        <v>344</v>
      </c>
      <c r="E42" s="14" t="s">
        <v>345</v>
      </c>
      <c r="F42" s="14" t="s">
        <v>346</v>
      </c>
      <c r="G42" s="15" t="s">
        <v>347</v>
      </c>
      <c r="H42" s="16" t="s">
        <v>348</v>
      </c>
      <c r="I42" s="15" t="s">
        <v>97</v>
      </c>
      <c r="J42" s="16" t="s">
        <v>349</v>
      </c>
      <c r="K42" s="15" t="s">
        <v>97</v>
      </c>
      <c r="L42" s="16" t="s">
        <v>350</v>
      </c>
      <c r="M42" s="15" t="s">
        <v>335</v>
      </c>
      <c r="N42" s="16" t="s">
        <v>351</v>
      </c>
      <c r="O42" s="15" t="s">
        <v>352</v>
      </c>
      <c r="P42" s="16" t="s">
        <v>353</v>
      </c>
      <c r="Q42" s="15" t="s">
        <v>97</v>
      </c>
      <c r="R42" s="16" t="s">
        <v>354</v>
      </c>
      <c r="S42" s="17" t="n">
        <f>24447.58</f>
        <v>24447.58</v>
      </c>
      <c r="T42" s="18" t="n">
        <f>930444</f>
        <v>930444.0</v>
      </c>
      <c r="U42" s="18" t="n">
        <v>178740.0</v>
      </c>
      <c r="V42" s="18" t="n">
        <f>2463869072450</f>
        <v>2.46386907245E12</v>
      </c>
      <c r="W42" s="18" t="n">
        <v>4.7613266385E11</v>
      </c>
      <c r="X42" s="15"/>
      <c r="Y42" s="19" t="n">
        <f>95890</f>
        <v>95890.0</v>
      </c>
      <c r="Z42" s="20" t="n">
        <f>94</f>
        <v>94.0</v>
      </c>
    </row>
    <row r="43">
      <c r="A43" s="12" t="s">
        <v>42</v>
      </c>
      <c r="B43" s="13" t="s">
        <v>232</v>
      </c>
      <c r="C43" s="13" t="s">
        <v>233</v>
      </c>
      <c r="D43" s="13" t="s">
        <v>355</v>
      </c>
      <c r="E43" s="14" t="s">
        <v>356</v>
      </c>
      <c r="F43" s="14" t="s">
        <v>357</v>
      </c>
      <c r="G43" s="15" t="s">
        <v>120</v>
      </c>
      <c r="H43" s="16" t="s">
        <v>358</v>
      </c>
      <c r="I43" s="15" t="s">
        <v>97</v>
      </c>
      <c r="J43" s="16" t="s">
        <v>359</v>
      </c>
      <c r="K43" s="15" t="s">
        <v>97</v>
      </c>
      <c r="L43" s="16" t="s">
        <v>360</v>
      </c>
      <c r="M43" s="15" t="s">
        <v>361</v>
      </c>
      <c r="N43" s="16" t="s">
        <v>362</v>
      </c>
      <c r="O43" s="15" t="s">
        <v>363</v>
      </c>
      <c r="P43" s="16" t="s">
        <v>121</v>
      </c>
      <c r="Q43" s="15" t="s">
        <v>97</v>
      </c>
      <c r="R43" s="16" t="s">
        <v>354</v>
      </c>
      <c r="S43" s="17" t="n">
        <f>25354.21</f>
        <v>25354.21</v>
      </c>
      <c r="T43" s="18" t="n">
        <f>52050</f>
        <v>52050.0</v>
      </c>
      <c r="U43" s="18" t="n">
        <v>6608.0</v>
      </c>
      <c r="V43" s="18" t="n">
        <f>137882199800</f>
        <v>1.378821998E11</v>
      </c>
      <c r="W43" s="18" t="n">
        <v>1.71363903E10</v>
      </c>
      <c r="X43" s="15"/>
      <c r="Y43" s="19" t="n">
        <f>4547</f>
        <v>4547.0</v>
      </c>
      <c r="Z43" s="20" t="n">
        <f>56</f>
        <v>56.0</v>
      </c>
    </row>
    <row r="44">
      <c r="A44" s="12" t="s">
        <v>42</v>
      </c>
      <c r="B44" s="13" t="s">
        <v>232</v>
      </c>
      <c r="C44" s="13" t="s">
        <v>233</v>
      </c>
      <c r="D44" s="13" t="s">
        <v>93</v>
      </c>
      <c r="E44" s="14" t="s">
        <v>94</v>
      </c>
      <c r="F44" s="14" t="s">
        <v>95</v>
      </c>
      <c r="G44" s="15" t="s">
        <v>48</v>
      </c>
      <c r="H44" s="16" t="s">
        <v>364</v>
      </c>
      <c r="I44" s="15" t="s">
        <v>97</v>
      </c>
      <c r="J44" s="16" t="s">
        <v>365</v>
      </c>
      <c r="K44" s="15" t="s">
        <v>97</v>
      </c>
      <c r="L44" s="16" t="s">
        <v>366</v>
      </c>
      <c r="M44" s="15" t="s">
        <v>65</v>
      </c>
      <c r="N44" s="16" t="s">
        <v>367</v>
      </c>
      <c r="O44" s="15" t="s">
        <v>368</v>
      </c>
      <c r="P44" s="16" t="s">
        <v>369</v>
      </c>
      <c r="Q44" s="15" t="s">
        <v>97</v>
      </c>
      <c r="R44" s="16" t="s">
        <v>102</v>
      </c>
      <c r="S44" s="17" t="n">
        <f>22451.89</f>
        <v>22451.89</v>
      </c>
      <c r="T44" s="18" t="n">
        <f>10694171</f>
        <v>1.0694171E7</v>
      </c>
      <c r="U44" s="18" t="n">
        <v>687204.0</v>
      </c>
      <c r="V44" s="18" t="n">
        <f>28304238936132</f>
        <v>2.8304238936132E13</v>
      </c>
      <c r="W44" s="18" t="n">
        <v>1.835317206232E12</v>
      </c>
      <c r="X44" s="15"/>
      <c r="Y44" s="19" t="n">
        <f>251951</f>
        <v>251951.0</v>
      </c>
      <c r="Z44" s="20" t="n">
        <f>243</f>
        <v>243.0</v>
      </c>
    </row>
    <row r="45">
      <c r="A45" s="12" t="s">
        <v>42</v>
      </c>
      <c r="B45" s="13" t="s">
        <v>232</v>
      </c>
      <c r="C45" s="13" t="s">
        <v>233</v>
      </c>
      <c r="D45" s="13" t="s">
        <v>370</v>
      </c>
      <c r="E45" s="14" t="s">
        <v>371</v>
      </c>
      <c r="F45" s="14" t="s">
        <v>372</v>
      </c>
      <c r="G45" s="15" t="s">
        <v>373</v>
      </c>
      <c r="H45" s="16" t="s">
        <v>374</v>
      </c>
      <c r="I45" s="15" t="s">
        <v>97</v>
      </c>
      <c r="J45" s="16" t="s">
        <v>375</v>
      </c>
      <c r="K45" s="15" t="s">
        <v>376</v>
      </c>
      <c r="L45" s="16" t="s">
        <v>377</v>
      </c>
      <c r="M45" s="15" t="s">
        <v>373</v>
      </c>
      <c r="N45" s="16" t="s">
        <v>378</v>
      </c>
      <c r="O45" s="15" t="s">
        <v>193</v>
      </c>
      <c r="P45" s="16" t="s">
        <v>379</v>
      </c>
      <c r="Q45" s="15" t="s">
        <v>97</v>
      </c>
      <c r="R45" s="16" t="s">
        <v>380</v>
      </c>
      <c r="S45" s="17" t="n">
        <f>26316.67</f>
        <v>26316.67</v>
      </c>
      <c r="T45" s="18" t="n">
        <f>4200</f>
        <v>4200.0</v>
      </c>
      <c r="U45" s="18" t="n">
        <v>3500.0</v>
      </c>
      <c r="V45" s="18" t="n">
        <f>11005298500</f>
        <v>1.10052985E10</v>
      </c>
      <c r="W45" s="18" t="n">
        <v>9.1599E9</v>
      </c>
      <c r="X45" s="15"/>
      <c r="Y45" s="19" t="n">
        <f>2572</f>
        <v>2572.0</v>
      </c>
      <c r="Z45" s="20" t="n">
        <f>33</f>
        <v>33.0</v>
      </c>
    </row>
    <row r="46">
      <c r="A46" s="12" t="s">
        <v>42</v>
      </c>
      <c r="B46" s="13" t="s">
        <v>232</v>
      </c>
      <c r="C46" s="13" t="s">
        <v>233</v>
      </c>
      <c r="D46" s="13" t="s">
        <v>103</v>
      </c>
      <c r="E46" s="14" t="s">
        <v>104</v>
      </c>
      <c r="F46" s="14" t="s">
        <v>105</v>
      </c>
      <c r="G46" s="15" t="s">
        <v>48</v>
      </c>
      <c r="H46" s="16" t="s">
        <v>381</v>
      </c>
      <c r="I46" s="15" t="s">
        <v>97</v>
      </c>
      <c r="J46" s="16" t="s">
        <v>107</v>
      </c>
      <c r="K46" s="15" t="s">
        <v>368</v>
      </c>
      <c r="L46" s="16" t="s">
        <v>382</v>
      </c>
      <c r="M46" s="15" t="s">
        <v>65</v>
      </c>
      <c r="N46" s="16" t="s">
        <v>383</v>
      </c>
      <c r="O46" s="15" t="s">
        <v>368</v>
      </c>
      <c r="P46" s="16" t="s">
        <v>382</v>
      </c>
      <c r="Q46" s="15" t="s">
        <v>97</v>
      </c>
      <c r="R46" s="16" t="s">
        <v>384</v>
      </c>
      <c r="S46" s="17" t="n">
        <f>22292.06</f>
        <v>22292.06</v>
      </c>
      <c r="T46" s="18" t="n">
        <f>131652</f>
        <v>131652.0</v>
      </c>
      <c r="U46" s="18" t="n">
        <v>82.0</v>
      </c>
      <c r="V46" s="18" t="n">
        <f>335679975400</f>
        <v>3.356799754E11</v>
      </c>
      <c r="W46" s="18" t="n">
        <v>1.57522E8</v>
      </c>
      <c r="X46" s="15"/>
      <c r="Y46" s="19" t="n">
        <f>5752</f>
        <v>5752.0</v>
      </c>
      <c r="Z46" s="20" t="n">
        <f>243</f>
        <v>243.0</v>
      </c>
    </row>
    <row r="47">
      <c r="A47" s="12" t="s">
        <v>42</v>
      </c>
      <c r="B47" s="13" t="s">
        <v>232</v>
      </c>
      <c r="C47" s="13" t="s">
        <v>233</v>
      </c>
      <c r="D47" s="13" t="s">
        <v>112</v>
      </c>
      <c r="E47" s="14" t="s">
        <v>113</v>
      </c>
      <c r="F47" s="14" t="s">
        <v>114</v>
      </c>
      <c r="G47" s="15" t="s">
        <v>291</v>
      </c>
      <c r="H47" s="16" t="s">
        <v>385</v>
      </c>
      <c r="I47" s="15" t="s">
        <v>97</v>
      </c>
      <c r="J47" s="16" t="s">
        <v>386</v>
      </c>
      <c r="K47" s="15" t="s">
        <v>368</v>
      </c>
      <c r="L47" s="16" t="s">
        <v>387</v>
      </c>
      <c r="M47" s="15" t="s">
        <v>89</v>
      </c>
      <c r="N47" s="16" t="s">
        <v>388</v>
      </c>
      <c r="O47" s="15" t="s">
        <v>368</v>
      </c>
      <c r="P47" s="16" t="s">
        <v>387</v>
      </c>
      <c r="Q47" s="15" t="s">
        <v>97</v>
      </c>
      <c r="R47" s="16" t="s">
        <v>389</v>
      </c>
      <c r="S47" s="17" t="n">
        <f>22286.55</f>
        <v>22286.55</v>
      </c>
      <c r="T47" s="18" t="n">
        <f>9316</f>
        <v>9316.0</v>
      </c>
      <c r="U47" s="18" t="n">
        <v>15.0</v>
      </c>
      <c r="V47" s="18" t="n">
        <f>21906231000</f>
        <v>2.1906231E10</v>
      </c>
      <c r="W47" s="18" t="n">
        <v>2.8725E7</v>
      </c>
      <c r="X47" s="15"/>
      <c r="Y47" s="19" t="n">
        <f>786</f>
        <v>786.0</v>
      </c>
      <c r="Z47" s="20" t="n">
        <f>196</f>
        <v>196.0</v>
      </c>
    </row>
    <row r="48">
      <c r="A48" s="12" t="s">
        <v>42</v>
      </c>
      <c r="B48" s="13" t="s">
        <v>232</v>
      </c>
      <c r="C48" s="13" t="s">
        <v>233</v>
      </c>
      <c r="D48" s="13" t="s">
        <v>122</v>
      </c>
      <c r="E48" s="14" t="s">
        <v>123</v>
      </c>
      <c r="F48" s="14" t="s">
        <v>124</v>
      </c>
      <c r="G48" s="15" t="s">
        <v>48</v>
      </c>
      <c r="H48" s="16" t="s">
        <v>390</v>
      </c>
      <c r="I48" s="15" t="s">
        <v>97</v>
      </c>
      <c r="J48" s="16" t="s">
        <v>391</v>
      </c>
      <c r="K48" s="15" t="s">
        <v>368</v>
      </c>
      <c r="L48" s="16" t="s">
        <v>392</v>
      </c>
      <c r="M48" s="15" t="s">
        <v>65</v>
      </c>
      <c r="N48" s="16" t="s">
        <v>393</v>
      </c>
      <c r="O48" s="15" t="s">
        <v>368</v>
      </c>
      <c r="P48" s="16" t="s">
        <v>392</v>
      </c>
      <c r="Q48" s="15" t="s">
        <v>97</v>
      </c>
      <c r="R48" s="16" t="s">
        <v>394</v>
      </c>
      <c r="S48" s="17" t="n">
        <f>22078.07</f>
        <v>22078.07</v>
      </c>
      <c r="T48" s="18" t="n">
        <f>38693</f>
        <v>38693.0</v>
      </c>
      <c r="U48" s="18" t="n">
        <v>34.0</v>
      </c>
      <c r="V48" s="18" t="n">
        <f>86474294500</f>
        <v>8.64742945E10</v>
      </c>
      <c r="W48" s="18" t="n">
        <v>6.4736E7</v>
      </c>
      <c r="X48" s="15"/>
      <c r="Y48" s="19" t="n">
        <f>1252</f>
        <v>1252.0</v>
      </c>
      <c r="Z48" s="20" t="n">
        <f>243</f>
        <v>243.0</v>
      </c>
    </row>
    <row r="49">
      <c r="A49" s="12" t="s">
        <v>42</v>
      </c>
      <c r="B49" s="13" t="s">
        <v>232</v>
      </c>
      <c r="C49" s="13" t="s">
        <v>233</v>
      </c>
      <c r="D49" s="13" t="s">
        <v>134</v>
      </c>
      <c r="E49" s="14" t="s">
        <v>135</v>
      </c>
      <c r="F49" s="14" t="s">
        <v>136</v>
      </c>
      <c r="G49" s="15" t="s">
        <v>395</v>
      </c>
      <c r="H49" s="16" t="s">
        <v>396</v>
      </c>
      <c r="I49" s="15" t="s">
        <v>97</v>
      </c>
      <c r="J49" s="16" t="s">
        <v>397</v>
      </c>
      <c r="K49" s="15"/>
      <c r="L49" s="16"/>
      <c r="M49" s="15" t="s">
        <v>352</v>
      </c>
      <c r="N49" s="16" t="s">
        <v>398</v>
      </c>
      <c r="O49" s="15"/>
      <c r="P49" s="16"/>
      <c r="Q49" s="15" t="s">
        <v>97</v>
      </c>
      <c r="R49" s="16" t="s">
        <v>399</v>
      </c>
      <c r="S49" s="17" t="n">
        <f>24354.4</f>
        <v>24354.4</v>
      </c>
      <c r="T49" s="18" t="n">
        <f>1438</f>
        <v>1438.0</v>
      </c>
      <c r="U49" s="18"/>
      <c r="V49" s="18" t="n">
        <f>3559729500</f>
        <v>3.5597295E9</v>
      </c>
      <c r="W49" s="18"/>
      <c r="X49" s="15"/>
      <c r="Y49" s="19" t="n">
        <f>151</f>
        <v>151.0</v>
      </c>
      <c r="Z49" s="20" t="n">
        <f>69</f>
        <v>69.0</v>
      </c>
    </row>
    <row r="50">
      <c r="A50" s="12" t="s">
        <v>42</v>
      </c>
      <c r="B50" s="13" t="s">
        <v>232</v>
      </c>
      <c r="C50" s="13" t="s">
        <v>233</v>
      </c>
      <c r="D50" s="13" t="s">
        <v>142</v>
      </c>
      <c r="E50" s="14" t="s">
        <v>143</v>
      </c>
      <c r="F50" s="14" t="s">
        <v>144</v>
      </c>
      <c r="G50" s="15" t="s">
        <v>48</v>
      </c>
      <c r="H50" s="16" t="s">
        <v>172</v>
      </c>
      <c r="I50" s="15" t="s">
        <v>97</v>
      </c>
      <c r="J50" s="16" t="s">
        <v>394</v>
      </c>
      <c r="K50" s="15"/>
      <c r="L50" s="16"/>
      <c r="M50" s="15" t="s">
        <v>65</v>
      </c>
      <c r="N50" s="16" t="s">
        <v>400</v>
      </c>
      <c r="O50" s="15"/>
      <c r="P50" s="16"/>
      <c r="Q50" s="15" t="s">
        <v>97</v>
      </c>
      <c r="R50" s="16" t="s">
        <v>401</v>
      </c>
      <c r="S50" s="17" t="n">
        <f>21842.35</f>
        <v>21842.35</v>
      </c>
      <c r="T50" s="18" t="n">
        <f>4242</f>
        <v>4242.0</v>
      </c>
      <c r="U50" s="18"/>
      <c r="V50" s="18" t="n">
        <f>9630634000</f>
        <v>9.630634E9</v>
      </c>
      <c r="W50" s="18"/>
      <c r="X50" s="15"/>
      <c r="Y50" s="19" t="n">
        <f>442</f>
        <v>442.0</v>
      </c>
      <c r="Z50" s="20" t="n">
        <f>221</f>
        <v>221.0</v>
      </c>
    </row>
    <row r="51">
      <c r="A51" s="12" t="s">
        <v>42</v>
      </c>
      <c r="B51" s="13" t="s">
        <v>232</v>
      </c>
      <c r="C51" s="13" t="s">
        <v>233</v>
      </c>
      <c r="D51" s="13" t="s">
        <v>155</v>
      </c>
      <c r="E51" s="14" t="s">
        <v>156</v>
      </c>
      <c r="F51" s="14" t="s">
        <v>157</v>
      </c>
      <c r="G51" s="15" t="s">
        <v>48</v>
      </c>
      <c r="H51" s="16" t="s">
        <v>183</v>
      </c>
      <c r="I51" s="15" t="s">
        <v>97</v>
      </c>
      <c r="J51" s="16" t="s">
        <v>402</v>
      </c>
      <c r="K51" s="15"/>
      <c r="L51" s="16"/>
      <c r="M51" s="15" t="s">
        <v>65</v>
      </c>
      <c r="N51" s="16" t="s">
        <v>403</v>
      </c>
      <c r="O51" s="15"/>
      <c r="P51" s="16"/>
      <c r="Q51" s="15" t="s">
        <v>97</v>
      </c>
      <c r="R51" s="16" t="s">
        <v>404</v>
      </c>
      <c r="S51" s="17" t="n">
        <f>21625.1</f>
        <v>21625.1</v>
      </c>
      <c r="T51" s="18" t="n">
        <f>2121</f>
        <v>2121.0</v>
      </c>
      <c r="U51" s="18"/>
      <c r="V51" s="18" t="n">
        <f>4602037500</f>
        <v>4.6020375E9</v>
      </c>
      <c r="W51" s="18"/>
      <c r="X51" s="15"/>
      <c r="Y51" s="19" t="n">
        <f>569</f>
        <v>569.0</v>
      </c>
      <c r="Z51" s="20" t="n">
        <f>218</f>
        <v>218.0</v>
      </c>
    </row>
    <row r="52">
      <c r="A52" s="12" t="s">
        <v>42</v>
      </c>
      <c r="B52" s="13" t="s">
        <v>232</v>
      </c>
      <c r="C52" s="13" t="s">
        <v>233</v>
      </c>
      <c r="D52" s="13" t="s">
        <v>168</v>
      </c>
      <c r="E52" s="14" t="s">
        <v>169</v>
      </c>
      <c r="F52" s="14" t="s">
        <v>170</v>
      </c>
      <c r="G52" s="15" t="s">
        <v>125</v>
      </c>
      <c r="H52" s="16" t="s">
        <v>405</v>
      </c>
      <c r="I52" s="15" t="s">
        <v>97</v>
      </c>
      <c r="J52" s="16" t="s">
        <v>406</v>
      </c>
      <c r="K52" s="15"/>
      <c r="L52" s="16"/>
      <c r="M52" s="15" t="s">
        <v>129</v>
      </c>
      <c r="N52" s="16" t="s">
        <v>407</v>
      </c>
      <c r="O52" s="15"/>
      <c r="P52" s="16"/>
      <c r="Q52" s="15" t="s">
        <v>97</v>
      </c>
      <c r="R52" s="16" t="s">
        <v>408</v>
      </c>
      <c r="S52" s="17" t="n">
        <f>21385.47</f>
        <v>21385.47</v>
      </c>
      <c r="T52" s="18" t="n">
        <f>753</f>
        <v>753.0</v>
      </c>
      <c r="U52" s="18"/>
      <c r="V52" s="18" t="n">
        <f>1568878000</f>
        <v>1.568878E9</v>
      </c>
      <c r="W52" s="18"/>
      <c r="X52" s="15"/>
      <c r="Y52" s="19" t="n">
        <f>227</f>
        <v>227.0</v>
      </c>
      <c r="Z52" s="20" t="n">
        <f>140</f>
        <v>140.0</v>
      </c>
    </row>
    <row r="53">
      <c r="A53" s="12" t="s">
        <v>42</v>
      </c>
      <c r="B53" s="13" t="s">
        <v>232</v>
      </c>
      <c r="C53" s="13" t="s">
        <v>233</v>
      </c>
      <c r="D53" s="13" t="s">
        <v>180</v>
      </c>
      <c r="E53" s="14" t="s">
        <v>215</v>
      </c>
      <c r="F53" s="14" t="s">
        <v>182</v>
      </c>
      <c r="G53" s="15" t="s">
        <v>48</v>
      </c>
      <c r="H53" s="16" t="s">
        <v>409</v>
      </c>
      <c r="I53" s="15" t="s">
        <v>97</v>
      </c>
      <c r="J53" s="16" t="s">
        <v>410</v>
      </c>
      <c r="K53" s="15"/>
      <c r="L53" s="16"/>
      <c r="M53" s="15" t="s">
        <v>411</v>
      </c>
      <c r="N53" s="16" t="s">
        <v>412</v>
      </c>
      <c r="O53" s="15"/>
      <c r="P53" s="16"/>
      <c r="Q53" s="15" t="s">
        <v>97</v>
      </c>
      <c r="R53" s="16" t="s">
        <v>413</v>
      </c>
      <c r="S53" s="17" t="n">
        <f>21169.96</f>
        <v>21169.96</v>
      </c>
      <c r="T53" s="18" t="n">
        <f>1607</f>
        <v>1607.0</v>
      </c>
      <c r="U53" s="18"/>
      <c r="V53" s="18" t="n">
        <f>3326319500</f>
        <v>3.3263195E9</v>
      </c>
      <c r="W53" s="18"/>
      <c r="X53" s="15"/>
      <c r="Y53" s="19" t="n">
        <f>708</f>
        <v>708.0</v>
      </c>
      <c r="Z53" s="20" t="n">
        <f>204</f>
        <v>204.0</v>
      </c>
    </row>
    <row r="54">
      <c r="A54" s="12" t="s">
        <v>42</v>
      </c>
      <c r="B54" s="13" t="s">
        <v>232</v>
      </c>
      <c r="C54" s="13" t="s">
        <v>233</v>
      </c>
      <c r="D54" s="13" t="s">
        <v>189</v>
      </c>
      <c r="E54" s="14" t="s">
        <v>218</v>
      </c>
      <c r="F54" s="14" t="s">
        <v>190</v>
      </c>
      <c r="G54" s="15" t="s">
        <v>125</v>
      </c>
      <c r="H54" s="16" t="s">
        <v>414</v>
      </c>
      <c r="I54" s="15" t="s">
        <v>188</v>
      </c>
      <c r="J54" s="16" t="s">
        <v>415</v>
      </c>
      <c r="K54" s="15"/>
      <c r="L54" s="16"/>
      <c r="M54" s="15" t="s">
        <v>65</v>
      </c>
      <c r="N54" s="16" t="s">
        <v>416</v>
      </c>
      <c r="O54" s="15"/>
      <c r="P54" s="16"/>
      <c r="Q54" s="15" t="s">
        <v>188</v>
      </c>
      <c r="R54" s="16" t="s">
        <v>415</v>
      </c>
      <c r="S54" s="17" t="n">
        <f>20926.75</f>
        <v>20926.75</v>
      </c>
      <c r="T54" s="18" t="n">
        <f>588</f>
        <v>588.0</v>
      </c>
      <c r="U54" s="18"/>
      <c r="V54" s="18" t="n">
        <f>1216181500</f>
        <v>1.2161815E9</v>
      </c>
      <c r="W54" s="18"/>
      <c r="X54" s="15"/>
      <c r="Y54" s="19" t="n">
        <f>202</f>
        <v>202.0</v>
      </c>
      <c r="Z54" s="20" t="n">
        <f>116</f>
        <v>116.0</v>
      </c>
    </row>
    <row r="55">
      <c r="A55" s="12" t="s">
        <v>42</v>
      </c>
      <c r="B55" s="13" t="s">
        <v>232</v>
      </c>
      <c r="C55" s="13" t="s">
        <v>233</v>
      </c>
      <c r="D55" s="13" t="s">
        <v>195</v>
      </c>
      <c r="E55" s="14" t="s">
        <v>224</v>
      </c>
      <c r="F55" s="14" t="s">
        <v>196</v>
      </c>
      <c r="G55" s="15" t="s">
        <v>48</v>
      </c>
      <c r="H55" s="16" t="s">
        <v>417</v>
      </c>
      <c r="I55" s="15" t="s">
        <v>97</v>
      </c>
      <c r="J55" s="16" t="s">
        <v>418</v>
      </c>
      <c r="K55" s="15"/>
      <c r="L55" s="16"/>
      <c r="M55" s="15" t="s">
        <v>65</v>
      </c>
      <c r="N55" s="16" t="s">
        <v>419</v>
      </c>
      <c r="O55" s="15"/>
      <c r="P55" s="16"/>
      <c r="Q55" s="15" t="s">
        <v>97</v>
      </c>
      <c r="R55" s="16" t="s">
        <v>420</v>
      </c>
      <c r="S55" s="17" t="n">
        <f>20714.61</f>
        <v>20714.61</v>
      </c>
      <c r="T55" s="18" t="n">
        <f>1894</f>
        <v>1894.0</v>
      </c>
      <c r="U55" s="18"/>
      <c r="V55" s="18" t="n">
        <f>3617018000</f>
        <v>3.617018E9</v>
      </c>
      <c r="W55" s="18"/>
      <c r="X55" s="15"/>
      <c r="Y55" s="19" t="n">
        <f>408</f>
        <v>408.0</v>
      </c>
      <c r="Z55" s="20" t="n">
        <f>192</f>
        <v>192.0</v>
      </c>
    </row>
    <row r="56">
      <c r="A56" s="12" t="s">
        <v>42</v>
      </c>
      <c r="B56" s="13" t="s">
        <v>232</v>
      </c>
      <c r="C56" s="13" t="s">
        <v>233</v>
      </c>
      <c r="D56" s="13" t="s">
        <v>206</v>
      </c>
      <c r="E56" s="14" t="s">
        <v>227</v>
      </c>
      <c r="F56" s="14" t="s">
        <v>207</v>
      </c>
      <c r="G56" s="15" t="s">
        <v>421</v>
      </c>
      <c r="H56" s="16" t="s">
        <v>422</v>
      </c>
      <c r="I56" s="15" t="s">
        <v>97</v>
      </c>
      <c r="J56" s="16" t="s">
        <v>423</v>
      </c>
      <c r="K56" s="15"/>
      <c r="L56" s="16"/>
      <c r="M56" s="15" t="s">
        <v>424</v>
      </c>
      <c r="N56" s="16" t="s">
        <v>425</v>
      </c>
      <c r="O56" s="15"/>
      <c r="P56" s="16"/>
      <c r="Q56" s="15" t="s">
        <v>97</v>
      </c>
      <c r="R56" s="16" t="s">
        <v>426</v>
      </c>
      <c r="S56" s="17" t="n">
        <f>22223.65</f>
        <v>22223.65</v>
      </c>
      <c r="T56" s="18" t="n">
        <f>651</f>
        <v>651.0</v>
      </c>
      <c r="U56" s="18"/>
      <c r="V56" s="18" t="n">
        <f>1468726000</f>
        <v>1.468726E9</v>
      </c>
      <c r="W56" s="18"/>
      <c r="X56" s="15"/>
      <c r="Y56" s="19" t="n">
        <f>286</f>
        <v>286.0</v>
      </c>
      <c r="Z56" s="20" t="n">
        <f>90</f>
        <v>90.0</v>
      </c>
    </row>
    <row r="57">
      <c r="A57" s="12" t="s">
        <v>42</v>
      </c>
      <c r="B57" s="13" t="s">
        <v>232</v>
      </c>
      <c r="C57" s="13" t="s">
        <v>233</v>
      </c>
      <c r="D57" s="13" t="s">
        <v>209</v>
      </c>
      <c r="E57" s="14" t="s">
        <v>230</v>
      </c>
      <c r="F57" s="14" t="s">
        <v>210</v>
      </c>
      <c r="G57" s="15" t="s">
        <v>427</v>
      </c>
      <c r="H57" s="16" t="s">
        <v>428</v>
      </c>
      <c r="I57" s="15" t="s">
        <v>188</v>
      </c>
      <c r="J57" s="16" t="s">
        <v>429</v>
      </c>
      <c r="K57" s="15"/>
      <c r="L57" s="16"/>
      <c r="M57" s="15" t="s">
        <v>430</v>
      </c>
      <c r="N57" s="16" t="s">
        <v>431</v>
      </c>
      <c r="O57" s="15"/>
      <c r="P57" s="16"/>
      <c r="Q57" s="15" t="s">
        <v>188</v>
      </c>
      <c r="R57" s="16" t="s">
        <v>429</v>
      </c>
      <c r="S57" s="17" t="n">
        <f>24300.71</f>
        <v>24300.71</v>
      </c>
      <c r="T57" s="18" t="n">
        <f>20</f>
        <v>20.0</v>
      </c>
      <c r="U57" s="18"/>
      <c r="V57" s="18" t="n">
        <f>48612500</f>
        <v>4.86125E7</v>
      </c>
      <c r="W57" s="18"/>
      <c r="X57" s="15"/>
      <c r="Y57" s="19" t="n">
        <f>8</f>
        <v>8.0</v>
      </c>
      <c r="Z57" s="20" t="n">
        <f>6</f>
        <v>6.0</v>
      </c>
    </row>
    <row r="58">
      <c r="A58" s="12" t="s">
        <v>42</v>
      </c>
      <c r="B58" s="13" t="s">
        <v>432</v>
      </c>
      <c r="C58" s="13" t="s">
        <v>433</v>
      </c>
      <c r="D58" s="13" t="s">
        <v>45</v>
      </c>
      <c r="E58" s="14" t="s">
        <v>215</v>
      </c>
      <c r="F58" s="14" t="s">
        <v>47</v>
      </c>
      <c r="G58" s="15" t="s">
        <v>48</v>
      </c>
      <c r="H58" s="16" t="s">
        <v>434</v>
      </c>
      <c r="I58" s="15" t="s">
        <v>435</v>
      </c>
      <c r="J58" s="16" t="s">
        <v>436</v>
      </c>
      <c r="K58" s="15" t="s">
        <v>437</v>
      </c>
      <c r="L58" s="16" t="s">
        <v>438</v>
      </c>
      <c r="M58" s="15" t="s">
        <v>54</v>
      </c>
      <c r="N58" s="16" t="s">
        <v>439</v>
      </c>
      <c r="O58" s="15" t="s">
        <v>54</v>
      </c>
      <c r="P58" s="16" t="s">
        <v>440</v>
      </c>
      <c r="Q58" s="15" t="s">
        <v>54</v>
      </c>
      <c r="R58" s="16" t="s">
        <v>439</v>
      </c>
      <c r="S58" s="17" t="n">
        <f>1644.33</f>
        <v>1644.33</v>
      </c>
      <c r="T58" s="18" t="n">
        <f>5667572</f>
        <v>5667572.0</v>
      </c>
      <c r="U58" s="18" t="n">
        <v>928422.0</v>
      </c>
      <c r="V58" s="18" t="n">
        <f>89338398290051</f>
        <v>8.9338398290051E13</v>
      </c>
      <c r="W58" s="18" t="n">
        <v>1.4013914445051E13</v>
      </c>
      <c r="X58" s="15" t="s">
        <v>58</v>
      </c>
      <c r="Y58" s="19" t="n">
        <f>108705</f>
        <v>108705.0</v>
      </c>
      <c r="Z58" s="20" t="n">
        <f>46</f>
        <v>46.0</v>
      </c>
    </row>
    <row r="59">
      <c r="A59" s="12" t="s">
        <v>42</v>
      </c>
      <c r="B59" s="13" t="s">
        <v>432</v>
      </c>
      <c r="C59" s="13" t="s">
        <v>433</v>
      </c>
      <c r="D59" s="13" t="s">
        <v>59</v>
      </c>
      <c r="E59" s="14" t="s">
        <v>71</v>
      </c>
      <c r="F59" s="14" t="s">
        <v>61</v>
      </c>
      <c r="G59" s="15" t="s">
        <v>125</v>
      </c>
      <c r="H59" s="16" t="s">
        <v>441</v>
      </c>
      <c r="I59" s="15" t="s">
        <v>442</v>
      </c>
      <c r="J59" s="16" t="s">
        <v>443</v>
      </c>
      <c r="K59" s="15" t="s">
        <v>444</v>
      </c>
      <c r="L59" s="16" t="s">
        <v>445</v>
      </c>
      <c r="M59" s="15" t="s">
        <v>65</v>
      </c>
      <c r="N59" s="16" t="s">
        <v>446</v>
      </c>
      <c r="O59" s="15" t="s">
        <v>65</v>
      </c>
      <c r="P59" s="16" t="s">
        <v>447</v>
      </c>
      <c r="Q59" s="15" t="s">
        <v>68</v>
      </c>
      <c r="R59" s="16" t="s">
        <v>448</v>
      </c>
      <c r="S59" s="17" t="n">
        <f>1524.24</f>
        <v>1524.24</v>
      </c>
      <c r="T59" s="18" t="n">
        <f>7674683</f>
        <v>7674683.0</v>
      </c>
      <c r="U59" s="18" t="n">
        <v>1636867.0</v>
      </c>
      <c r="V59" s="18" t="n">
        <f>109831762608636</f>
        <v>1.09831762608636E14</v>
      </c>
      <c r="W59" s="18" t="n">
        <v>2.4124997007636E13</v>
      </c>
      <c r="X59" s="15" t="s">
        <v>58</v>
      </c>
      <c r="Y59" s="19" t="n">
        <f>143496</f>
        <v>143496.0</v>
      </c>
      <c r="Z59" s="20" t="n">
        <f>101</f>
        <v>101.0</v>
      </c>
    </row>
    <row r="60">
      <c r="A60" s="12" t="s">
        <v>42</v>
      </c>
      <c r="B60" s="13" t="s">
        <v>432</v>
      </c>
      <c r="C60" s="13" t="s">
        <v>433</v>
      </c>
      <c r="D60" s="13" t="s">
        <v>70</v>
      </c>
      <c r="E60" s="14" t="s">
        <v>218</v>
      </c>
      <c r="F60" s="14" t="s">
        <v>72</v>
      </c>
      <c r="G60" s="15" t="s">
        <v>449</v>
      </c>
      <c r="H60" s="16" t="s">
        <v>450</v>
      </c>
      <c r="I60" s="15" t="s">
        <v>75</v>
      </c>
      <c r="J60" s="16" t="s">
        <v>451</v>
      </c>
      <c r="K60" s="15" t="s">
        <v>452</v>
      </c>
      <c r="L60" s="16" t="s">
        <v>453</v>
      </c>
      <c r="M60" s="15" t="s">
        <v>65</v>
      </c>
      <c r="N60" s="16" t="s">
        <v>454</v>
      </c>
      <c r="O60" s="15" t="s">
        <v>291</v>
      </c>
      <c r="P60" s="16" t="s">
        <v>455</v>
      </c>
      <c r="Q60" s="15" t="s">
        <v>79</v>
      </c>
      <c r="R60" s="16" t="s">
        <v>456</v>
      </c>
      <c r="S60" s="17" t="n">
        <f>1544.4</f>
        <v>1544.4</v>
      </c>
      <c r="T60" s="18" t="n">
        <f>6017599</f>
        <v>6017599.0</v>
      </c>
      <c r="U60" s="18" t="n">
        <v>1397772.0</v>
      </c>
      <c r="V60" s="18" t="n">
        <f>95702706071803</f>
        <v>9.5702706071803E13</v>
      </c>
      <c r="W60" s="18" t="n">
        <v>2.2452824536803E13</v>
      </c>
      <c r="X60" s="15" t="s">
        <v>58</v>
      </c>
      <c r="Y60" s="19" t="n">
        <f>84541</f>
        <v>84541.0</v>
      </c>
      <c r="Z60" s="20" t="n">
        <f>96</f>
        <v>96.0</v>
      </c>
    </row>
    <row r="61">
      <c r="A61" s="12" t="s">
        <v>42</v>
      </c>
      <c r="B61" s="13" t="s">
        <v>432</v>
      </c>
      <c r="C61" s="13" t="s">
        <v>433</v>
      </c>
      <c r="D61" s="13" t="s">
        <v>81</v>
      </c>
      <c r="E61" s="14" t="s">
        <v>94</v>
      </c>
      <c r="F61" s="14" t="s">
        <v>83</v>
      </c>
      <c r="G61" s="15" t="s">
        <v>457</v>
      </c>
      <c r="H61" s="16" t="s">
        <v>458</v>
      </c>
      <c r="I61" s="15" t="s">
        <v>459</v>
      </c>
      <c r="J61" s="16" t="s">
        <v>460</v>
      </c>
      <c r="K61" s="15" t="s">
        <v>461</v>
      </c>
      <c r="L61" s="16" t="s">
        <v>462</v>
      </c>
      <c r="M61" s="15" t="s">
        <v>463</v>
      </c>
      <c r="N61" s="16" t="s">
        <v>464</v>
      </c>
      <c r="O61" s="15" t="s">
        <v>176</v>
      </c>
      <c r="P61" s="16" t="s">
        <v>465</v>
      </c>
      <c r="Q61" s="15" t="s">
        <v>91</v>
      </c>
      <c r="R61" s="16" t="s">
        <v>466</v>
      </c>
      <c r="S61" s="17" t="n">
        <f>1569.14</f>
        <v>1569.14</v>
      </c>
      <c r="T61" s="18" t="n">
        <f>6540528</f>
        <v>6540528.0</v>
      </c>
      <c r="U61" s="18" t="n">
        <v>1463684.0</v>
      </c>
      <c r="V61" s="18" t="n">
        <f>109605138108570</f>
        <v>1.0960513810857E14</v>
      </c>
      <c r="W61" s="18" t="n">
        <v>2.458752218457E13</v>
      </c>
      <c r="X61" s="15" t="s">
        <v>58</v>
      </c>
      <c r="Y61" s="19" t="n">
        <f>72222</f>
        <v>72222.0</v>
      </c>
      <c r="Z61" s="20" t="n">
        <f>79</f>
        <v>79.0</v>
      </c>
    </row>
    <row r="62">
      <c r="A62" s="12" t="s">
        <v>42</v>
      </c>
      <c r="B62" s="13" t="s">
        <v>432</v>
      </c>
      <c r="C62" s="13" t="s">
        <v>433</v>
      </c>
      <c r="D62" s="13" t="s">
        <v>93</v>
      </c>
      <c r="E62" s="14" t="s">
        <v>224</v>
      </c>
      <c r="F62" s="14" t="s">
        <v>95</v>
      </c>
      <c r="G62" s="15" t="s">
        <v>467</v>
      </c>
      <c r="H62" s="16" t="s">
        <v>468</v>
      </c>
      <c r="I62" s="15" t="s">
        <v>97</v>
      </c>
      <c r="J62" s="16" t="s">
        <v>469</v>
      </c>
      <c r="K62" s="15" t="s">
        <v>97</v>
      </c>
      <c r="L62" s="16" t="s">
        <v>470</v>
      </c>
      <c r="M62" s="15" t="s">
        <v>471</v>
      </c>
      <c r="N62" s="16" t="s">
        <v>472</v>
      </c>
      <c r="O62" s="15" t="s">
        <v>473</v>
      </c>
      <c r="P62" s="16" t="s">
        <v>474</v>
      </c>
      <c r="Q62" s="15" t="s">
        <v>97</v>
      </c>
      <c r="R62" s="16" t="s">
        <v>475</v>
      </c>
      <c r="S62" s="17" t="n">
        <f>1579.36</f>
        <v>1579.36</v>
      </c>
      <c r="T62" s="18" t="n">
        <f>1801882</f>
        <v>1801882.0</v>
      </c>
      <c r="U62" s="18" t="n">
        <v>559300.0</v>
      </c>
      <c r="V62" s="18" t="n">
        <f>31907822434974</f>
        <v>3.1907822434974E13</v>
      </c>
      <c r="W62" s="18" t="n">
        <v>9.878626383974E12</v>
      </c>
      <c r="X62" s="15"/>
      <c r="Y62" s="19" t="n">
        <f>514640</f>
        <v>514640.0</v>
      </c>
      <c r="Z62" s="20" t="n">
        <f>43</f>
        <v>43.0</v>
      </c>
    </row>
    <row r="63">
      <c r="A63" s="12" t="s">
        <v>42</v>
      </c>
      <c r="B63" s="13" t="s">
        <v>432</v>
      </c>
      <c r="C63" s="13" t="s">
        <v>433</v>
      </c>
      <c r="D63" s="13" t="s">
        <v>103</v>
      </c>
      <c r="E63" s="14" t="s">
        <v>113</v>
      </c>
      <c r="F63" s="14" t="s">
        <v>105</v>
      </c>
      <c r="G63" s="15" t="s">
        <v>166</v>
      </c>
      <c r="H63" s="16" t="s">
        <v>476</v>
      </c>
      <c r="I63" s="15" t="s">
        <v>166</v>
      </c>
      <c r="J63" s="16" t="s">
        <v>477</v>
      </c>
      <c r="K63" s="15"/>
      <c r="L63" s="16"/>
      <c r="M63" s="15" t="s">
        <v>166</v>
      </c>
      <c r="N63" s="16" t="s">
        <v>478</v>
      </c>
      <c r="O63" s="15"/>
      <c r="P63" s="16"/>
      <c r="Q63" s="15" t="s">
        <v>166</v>
      </c>
      <c r="R63" s="16" t="s">
        <v>478</v>
      </c>
      <c r="S63" s="17" t="n">
        <f>1557.37</f>
        <v>1557.37</v>
      </c>
      <c r="T63" s="18" t="n">
        <f>12</f>
        <v>12.0</v>
      </c>
      <c r="U63" s="18"/>
      <c r="V63" s="18" t="n">
        <f>210030000</f>
        <v>2.1003E8</v>
      </c>
      <c r="W63" s="18"/>
      <c r="X63" s="15"/>
      <c r="Y63" s="19" t="n">
        <f>10</f>
        <v>10.0</v>
      </c>
      <c r="Z63" s="20" t="n">
        <f>1</f>
        <v>1.0</v>
      </c>
    </row>
    <row r="64">
      <c r="A64" s="12" t="s">
        <v>42</v>
      </c>
      <c r="B64" s="13" t="s">
        <v>432</v>
      </c>
      <c r="C64" s="13" t="s">
        <v>433</v>
      </c>
      <c r="D64" s="13" t="s">
        <v>112</v>
      </c>
      <c r="E64" s="14" t="s">
        <v>227</v>
      </c>
      <c r="F64" s="14" t="s">
        <v>114</v>
      </c>
      <c r="G64" s="15"/>
      <c r="H64" s="16" t="s">
        <v>208</v>
      </c>
      <c r="I64" s="15"/>
      <c r="J64" s="16" t="s">
        <v>208</v>
      </c>
      <c r="K64" s="15"/>
      <c r="L64" s="16"/>
      <c r="M64" s="15"/>
      <c r="N64" s="16" t="s">
        <v>208</v>
      </c>
      <c r="O64" s="15"/>
      <c r="P64" s="16"/>
      <c r="Q64" s="15"/>
      <c r="R64" s="16" t="s">
        <v>208</v>
      </c>
      <c r="S64" s="17" t="n">
        <f>1618.46</f>
        <v>1618.46</v>
      </c>
      <c r="T64" s="18" t="str">
        <f>"－"</f>
        <v>－</v>
      </c>
      <c r="U64" s="18"/>
      <c r="V64" s="18" t="str">
        <f>"－"</f>
        <v>－</v>
      </c>
      <c r="W64" s="18"/>
      <c r="X64" s="15"/>
      <c r="Y64" s="19" t="str">
        <f>"－"</f>
        <v>－</v>
      </c>
      <c r="Z64" s="20" t="str">
        <f>"－"</f>
        <v>－</v>
      </c>
    </row>
    <row r="65">
      <c r="A65" s="12" t="s">
        <v>42</v>
      </c>
      <c r="B65" s="13" t="s">
        <v>432</v>
      </c>
      <c r="C65" s="13" t="s">
        <v>433</v>
      </c>
      <c r="D65" s="13" t="s">
        <v>122</v>
      </c>
      <c r="E65" s="14" t="s">
        <v>135</v>
      </c>
      <c r="F65" s="14" t="s">
        <v>124</v>
      </c>
      <c r="G65" s="15"/>
      <c r="H65" s="16" t="s">
        <v>208</v>
      </c>
      <c r="I65" s="15"/>
      <c r="J65" s="16" t="s">
        <v>208</v>
      </c>
      <c r="K65" s="15"/>
      <c r="L65" s="16"/>
      <c r="M65" s="15"/>
      <c r="N65" s="16" t="s">
        <v>208</v>
      </c>
      <c r="O65" s="15"/>
      <c r="P65" s="16"/>
      <c r="Q65" s="15"/>
      <c r="R65" s="16" t="s">
        <v>208</v>
      </c>
      <c r="S65" s="17" t="n">
        <f>1663.17</f>
        <v>1663.17</v>
      </c>
      <c r="T65" s="18" t="str">
        <f>"－"</f>
        <v>－</v>
      </c>
      <c r="U65" s="18"/>
      <c r="V65" s="18" t="str">
        <f>"－"</f>
        <v>－</v>
      </c>
      <c r="W65" s="18"/>
      <c r="X65" s="15"/>
      <c r="Y65" s="19" t="str">
        <f>"－"</f>
        <v>－</v>
      </c>
      <c r="Z65" s="20" t="str">
        <f>"－"</f>
        <v>－</v>
      </c>
    </row>
    <row r="66">
      <c r="A66" s="12" t="s">
        <v>42</v>
      </c>
      <c r="B66" s="13" t="s">
        <v>432</v>
      </c>
      <c r="C66" s="13" t="s">
        <v>433</v>
      </c>
      <c r="D66" s="13" t="s">
        <v>134</v>
      </c>
      <c r="E66" s="14" t="s">
        <v>230</v>
      </c>
      <c r="F66" s="14" t="s">
        <v>136</v>
      </c>
      <c r="G66" s="15"/>
      <c r="H66" s="16" t="s">
        <v>208</v>
      </c>
      <c r="I66" s="15"/>
      <c r="J66" s="16" t="s">
        <v>208</v>
      </c>
      <c r="K66" s="15"/>
      <c r="L66" s="16"/>
      <c r="M66" s="15"/>
      <c r="N66" s="16" t="s">
        <v>208</v>
      </c>
      <c r="O66" s="15"/>
      <c r="P66" s="16"/>
      <c r="Q66" s="15"/>
      <c r="R66" s="16" t="s">
        <v>208</v>
      </c>
      <c r="S66" s="17" t="n">
        <f>1751.61</f>
        <v>1751.61</v>
      </c>
      <c r="T66" s="18" t="str">
        <f>"－"</f>
        <v>－</v>
      </c>
      <c r="U66" s="18"/>
      <c r="V66" s="18" t="str">
        <f>"－"</f>
        <v>－</v>
      </c>
      <c r="W66" s="18"/>
      <c r="X66" s="15"/>
      <c r="Y66" s="19" t="str">
        <f>"－"</f>
        <v>－</v>
      </c>
      <c r="Z66" s="20" t="str">
        <f>"－"</f>
        <v>－</v>
      </c>
    </row>
    <row r="67">
      <c r="A67" s="12" t="s">
        <v>42</v>
      </c>
      <c r="B67" s="13" t="s">
        <v>479</v>
      </c>
      <c r="C67" s="13" t="s">
        <v>480</v>
      </c>
      <c r="D67" s="13" t="s">
        <v>45</v>
      </c>
      <c r="E67" s="14" t="s">
        <v>218</v>
      </c>
      <c r="F67" s="14" t="s">
        <v>47</v>
      </c>
      <c r="G67" s="15" t="s">
        <v>48</v>
      </c>
      <c r="H67" s="16" t="s">
        <v>481</v>
      </c>
      <c r="I67" s="15" t="s">
        <v>482</v>
      </c>
      <c r="J67" s="16" t="s">
        <v>483</v>
      </c>
      <c r="K67" s="15" t="s">
        <v>482</v>
      </c>
      <c r="L67" s="16" t="s">
        <v>484</v>
      </c>
      <c r="M67" s="15" t="s">
        <v>485</v>
      </c>
      <c r="N67" s="16" t="s">
        <v>486</v>
      </c>
      <c r="O67" s="15" t="s">
        <v>54</v>
      </c>
      <c r="P67" s="16" t="s">
        <v>440</v>
      </c>
      <c r="Q67" s="15" t="s">
        <v>54</v>
      </c>
      <c r="R67" s="16" t="s">
        <v>487</v>
      </c>
      <c r="S67" s="17" t="n">
        <f>1644.33</f>
        <v>1644.33</v>
      </c>
      <c r="T67" s="18" t="n">
        <f>1610684</f>
        <v>1610684.0</v>
      </c>
      <c r="U67" s="18" t="n">
        <v>56373.0</v>
      </c>
      <c r="V67" s="18" t="n">
        <f>2579991651755</f>
        <v>2.579991651755E12</v>
      </c>
      <c r="W67" s="18" t="n">
        <v>8.8215118755E10</v>
      </c>
      <c r="X67" s="15" t="s">
        <v>58</v>
      </c>
      <c r="Y67" s="19" t="n">
        <f>68170</f>
        <v>68170.0</v>
      </c>
      <c r="Z67" s="20" t="n">
        <f>46</f>
        <v>46.0</v>
      </c>
    </row>
    <row r="68">
      <c r="A68" s="12" t="s">
        <v>42</v>
      </c>
      <c r="B68" s="13" t="s">
        <v>479</v>
      </c>
      <c r="C68" s="13" t="s">
        <v>480</v>
      </c>
      <c r="D68" s="13" t="s">
        <v>59</v>
      </c>
      <c r="E68" s="14" t="s">
        <v>94</v>
      </c>
      <c r="F68" s="14" t="s">
        <v>61</v>
      </c>
      <c r="G68" s="15" t="s">
        <v>48</v>
      </c>
      <c r="H68" s="16" t="s">
        <v>488</v>
      </c>
      <c r="I68" s="15" t="s">
        <v>435</v>
      </c>
      <c r="J68" s="16" t="s">
        <v>489</v>
      </c>
      <c r="K68" s="15" t="s">
        <v>289</v>
      </c>
      <c r="L68" s="16" t="s">
        <v>490</v>
      </c>
      <c r="M68" s="15" t="s">
        <v>65</v>
      </c>
      <c r="N68" s="16" t="s">
        <v>491</v>
      </c>
      <c r="O68" s="15" t="s">
        <v>65</v>
      </c>
      <c r="P68" s="16" t="s">
        <v>492</v>
      </c>
      <c r="Q68" s="15" t="s">
        <v>68</v>
      </c>
      <c r="R68" s="16" t="s">
        <v>493</v>
      </c>
      <c r="S68" s="17" t="n">
        <f>1524.24</f>
        <v>1524.24</v>
      </c>
      <c r="T68" s="18" t="n">
        <f>1984731</f>
        <v>1984731.0</v>
      </c>
      <c r="U68" s="18" t="n">
        <v>133130.0</v>
      </c>
      <c r="V68" s="18" t="n">
        <f>2832418488905</f>
        <v>2.832418488905E12</v>
      </c>
      <c r="W68" s="18" t="n">
        <v>1.95617557555E11</v>
      </c>
      <c r="X68" s="15" t="s">
        <v>58</v>
      </c>
      <c r="Y68" s="19" t="n">
        <f>123556</f>
        <v>123556.0</v>
      </c>
      <c r="Z68" s="20" t="n">
        <f>100</f>
        <v>100.0</v>
      </c>
    </row>
    <row r="69">
      <c r="A69" s="12" t="s">
        <v>42</v>
      </c>
      <c r="B69" s="13" t="s">
        <v>479</v>
      </c>
      <c r="C69" s="13" t="s">
        <v>480</v>
      </c>
      <c r="D69" s="13" t="s">
        <v>70</v>
      </c>
      <c r="E69" s="14" t="s">
        <v>224</v>
      </c>
      <c r="F69" s="14" t="s">
        <v>72</v>
      </c>
      <c r="G69" s="15" t="s">
        <v>494</v>
      </c>
      <c r="H69" s="16" t="s">
        <v>495</v>
      </c>
      <c r="I69" s="15" t="s">
        <v>496</v>
      </c>
      <c r="J69" s="16" t="s">
        <v>497</v>
      </c>
      <c r="K69" s="15" t="s">
        <v>75</v>
      </c>
      <c r="L69" s="16" t="s">
        <v>498</v>
      </c>
      <c r="M69" s="15" t="s">
        <v>65</v>
      </c>
      <c r="N69" s="16" t="s">
        <v>499</v>
      </c>
      <c r="O69" s="15" t="s">
        <v>323</v>
      </c>
      <c r="P69" s="16" t="s">
        <v>500</v>
      </c>
      <c r="Q69" s="15" t="s">
        <v>79</v>
      </c>
      <c r="R69" s="16" t="s">
        <v>501</v>
      </c>
      <c r="S69" s="17" t="n">
        <f>1544.4</f>
        <v>1544.4</v>
      </c>
      <c r="T69" s="18" t="n">
        <f>2289737</f>
        <v>2289737.0</v>
      </c>
      <c r="U69" s="18" t="n">
        <v>90030.0</v>
      </c>
      <c r="V69" s="18" t="n">
        <f>3618429340576</f>
        <v>3.618429340576E12</v>
      </c>
      <c r="W69" s="18" t="n">
        <v>1.43276302776E11</v>
      </c>
      <c r="X69" s="15" t="s">
        <v>58</v>
      </c>
      <c r="Y69" s="19" t="n">
        <f>114546</f>
        <v>114546.0</v>
      </c>
      <c r="Z69" s="20" t="n">
        <f>131</f>
        <v>131.0</v>
      </c>
    </row>
    <row r="70">
      <c r="A70" s="12" t="s">
        <v>42</v>
      </c>
      <c r="B70" s="13" t="s">
        <v>479</v>
      </c>
      <c r="C70" s="13" t="s">
        <v>480</v>
      </c>
      <c r="D70" s="13" t="s">
        <v>81</v>
      </c>
      <c r="E70" s="14" t="s">
        <v>113</v>
      </c>
      <c r="F70" s="14" t="s">
        <v>83</v>
      </c>
      <c r="G70" s="15" t="s">
        <v>151</v>
      </c>
      <c r="H70" s="16" t="s">
        <v>502</v>
      </c>
      <c r="I70" s="15" t="s">
        <v>459</v>
      </c>
      <c r="J70" s="16" t="s">
        <v>503</v>
      </c>
      <c r="K70" s="15" t="s">
        <v>459</v>
      </c>
      <c r="L70" s="16" t="s">
        <v>462</v>
      </c>
      <c r="M70" s="15" t="s">
        <v>504</v>
      </c>
      <c r="N70" s="16" t="s">
        <v>505</v>
      </c>
      <c r="O70" s="15" t="s">
        <v>361</v>
      </c>
      <c r="P70" s="16" t="s">
        <v>506</v>
      </c>
      <c r="Q70" s="15" t="s">
        <v>91</v>
      </c>
      <c r="R70" s="16" t="s">
        <v>507</v>
      </c>
      <c r="S70" s="17" t="n">
        <f>1558.3</f>
        <v>1558.3</v>
      </c>
      <c r="T70" s="18" t="n">
        <f>1954370</f>
        <v>1954370.0</v>
      </c>
      <c r="U70" s="18" t="n">
        <v>73642.0</v>
      </c>
      <c r="V70" s="18" t="n">
        <f>3266234538692</f>
        <v>3.266234538692E12</v>
      </c>
      <c r="W70" s="18" t="n">
        <v>1.23208154642E11</v>
      </c>
      <c r="X70" s="15" t="s">
        <v>58</v>
      </c>
      <c r="Y70" s="19" t="n">
        <f>96876</f>
        <v>96876.0</v>
      </c>
      <c r="Z70" s="20" t="n">
        <f>120</f>
        <v>120.0</v>
      </c>
    </row>
    <row r="71">
      <c r="A71" s="12" t="s">
        <v>42</v>
      </c>
      <c r="B71" s="13" t="s">
        <v>479</v>
      </c>
      <c r="C71" s="13" t="s">
        <v>480</v>
      </c>
      <c r="D71" s="13" t="s">
        <v>93</v>
      </c>
      <c r="E71" s="14" t="s">
        <v>227</v>
      </c>
      <c r="F71" s="14" t="s">
        <v>95</v>
      </c>
      <c r="G71" s="15" t="s">
        <v>508</v>
      </c>
      <c r="H71" s="16" t="s">
        <v>509</v>
      </c>
      <c r="I71" s="15" t="s">
        <v>97</v>
      </c>
      <c r="J71" s="16" t="s">
        <v>510</v>
      </c>
      <c r="K71" s="15" t="s">
        <v>97</v>
      </c>
      <c r="L71" s="16" t="s">
        <v>511</v>
      </c>
      <c r="M71" s="15" t="s">
        <v>361</v>
      </c>
      <c r="N71" s="16" t="s">
        <v>512</v>
      </c>
      <c r="O71" s="15" t="s">
        <v>513</v>
      </c>
      <c r="P71" s="16" t="s">
        <v>484</v>
      </c>
      <c r="Q71" s="15" t="s">
        <v>97</v>
      </c>
      <c r="R71" s="16" t="s">
        <v>514</v>
      </c>
      <c r="S71" s="17" t="n">
        <f>1635.31</f>
        <v>1635.31</v>
      </c>
      <c r="T71" s="18" t="n">
        <f>383754</f>
        <v>383754.0</v>
      </c>
      <c r="U71" s="18" t="n">
        <v>19049.0</v>
      </c>
      <c r="V71" s="18" t="n">
        <f>683440349075</f>
        <v>6.83440349075E11</v>
      </c>
      <c r="W71" s="18" t="n">
        <v>3.3766879425E10</v>
      </c>
      <c r="X71" s="15"/>
      <c r="Y71" s="19" t="n">
        <f>41330</f>
        <v>41330.0</v>
      </c>
      <c r="Z71" s="20" t="n">
        <f>65</f>
        <v>65.0</v>
      </c>
    </row>
    <row r="72">
      <c r="A72" s="12" t="s">
        <v>42</v>
      </c>
      <c r="B72" s="13" t="s">
        <v>479</v>
      </c>
      <c r="C72" s="13" t="s">
        <v>480</v>
      </c>
      <c r="D72" s="13" t="s">
        <v>103</v>
      </c>
      <c r="E72" s="14" t="s">
        <v>135</v>
      </c>
      <c r="F72" s="14" t="s">
        <v>105</v>
      </c>
      <c r="G72" s="15" t="s">
        <v>515</v>
      </c>
      <c r="H72" s="16" t="s">
        <v>516</v>
      </c>
      <c r="I72" s="15" t="s">
        <v>188</v>
      </c>
      <c r="J72" s="16" t="s">
        <v>517</v>
      </c>
      <c r="K72" s="15"/>
      <c r="L72" s="16"/>
      <c r="M72" s="15" t="s">
        <v>515</v>
      </c>
      <c r="N72" s="16" t="s">
        <v>516</v>
      </c>
      <c r="O72" s="15"/>
      <c r="P72" s="16"/>
      <c r="Q72" s="15" t="s">
        <v>97</v>
      </c>
      <c r="R72" s="16" t="s">
        <v>518</v>
      </c>
      <c r="S72" s="17" t="n">
        <f>1677.94</f>
        <v>1677.94</v>
      </c>
      <c r="T72" s="18" t="n">
        <f>28</f>
        <v>28.0</v>
      </c>
      <c r="U72" s="18"/>
      <c r="V72" s="18" t="n">
        <f>49389000</f>
        <v>4.9389E7</v>
      </c>
      <c r="W72" s="18"/>
      <c r="X72" s="15"/>
      <c r="Y72" s="19" t="n">
        <f>8</f>
        <v>8.0</v>
      </c>
      <c r="Z72" s="20" t="n">
        <f>10</f>
        <v>10.0</v>
      </c>
    </row>
    <row r="73">
      <c r="A73" s="12" t="s">
        <v>42</v>
      </c>
      <c r="B73" s="13" t="s">
        <v>479</v>
      </c>
      <c r="C73" s="13" t="s">
        <v>480</v>
      </c>
      <c r="D73" s="13" t="s">
        <v>112</v>
      </c>
      <c r="E73" s="14" t="s">
        <v>230</v>
      </c>
      <c r="F73" s="14" t="s">
        <v>114</v>
      </c>
      <c r="G73" s="15"/>
      <c r="H73" s="16" t="s">
        <v>208</v>
      </c>
      <c r="I73" s="15"/>
      <c r="J73" s="16" t="s">
        <v>208</v>
      </c>
      <c r="K73" s="15"/>
      <c r="L73" s="16"/>
      <c r="M73" s="15"/>
      <c r="N73" s="16" t="s">
        <v>208</v>
      </c>
      <c r="O73" s="15"/>
      <c r="P73" s="16"/>
      <c r="Q73" s="15"/>
      <c r="R73" s="16" t="s">
        <v>208</v>
      </c>
      <c r="S73" s="17" t="n">
        <f>1767.04</f>
        <v>1767.04</v>
      </c>
      <c r="T73" s="18" t="str">
        <f>"－"</f>
        <v>－</v>
      </c>
      <c r="U73" s="18"/>
      <c r="V73" s="18" t="str">
        <f>"－"</f>
        <v>－</v>
      </c>
      <c r="W73" s="18"/>
      <c r="X73" s="15"/>
      <c r="Y73" s="19" t="str">
        <f>"－"</f>
        <v>－</v>
      </c>
      <c r="Z73" s="20" t="str">
        <f>"－"</f>
        <v>－</v>
      </c>
    </row>
    <row r="74">
      <c r="A74" s="12" t="s">
        <v>42</v>
      </c>
      <c r="B74" s="13" t="s">
        <v>519</v>
      </c>
      <c r="C74" s="13" t="s">
        <v>520</v>
      </c>
      <c r="D74" s="13" t="s">
        <v>45</v>
      </c>
      <c r="E74" s="14" t="s">
        <v>215</v>
      </c>
      <c r="F74" s="14" t="s">
        <v>47</v>
      </c>
      <c r="G74" s="15" t="s">
        <v>48</v>
      </c>
      <c r="H74" s="16" t="s">
        <v>521</v>
      </c>
      <c r="I74" s="15" t="s">
        <v>435</v>
      </c>
      <c r="J74" s="16" t="s">
        <v>522</v>
      </c>
      <c r="K74" s="15" t="s">
        <v>444</v>
      </c>
      <c r="L74" s="16" t="s">
        <v>523</v>
      </c>
      <c r="M74" s="15" t="s">
        <v>485</v>
      </c>
      <c r="N74" s="16" t="s">
        <v>524</v>
      </c>
      <c r="O74" s="15" t="s">
        <v>485</v>
      </c>
      <c r="P74" s="16" t="s">
        <v>525</v>
      </c>
      <c r="Q74" s="15" t="s">
        <v>54</v>
      </c>
      <c r="R74" s="16" t="s">
        <v>526</v>
      </c>
      <c r="S74" s="17" t="n">
        <f>14748.37</f>
        <v>14748.37</v>
      </c>
      <c r="T74" s="18" t="n">
        <f>1288801</f>
        <v>1288801.0</v>
      </c>
      <c r="U74" s="18" t="n">
        <v>246662.0</v>
      </c>
      <c r="V74" s="18" t="n">
        <f>1836456350199</f>
        <v>1.836456350199E12</v>
      </c>
      <c r="W74" s="18" t="n">
        <v>3.38893417699E11</v>
      </c>
      <c r="X74" s="15" t="s">
        <v>58</v>
      </c>
      <c r="Y74" s="19" t="n">
        <f>59267</f>
        <v>59267.0</v>
      </c>
      <c r="Z74" s="20" t="n">
        <f>46</f>
        <v>46.0</v>
      </c>
    </row>
    <row r="75">
      <c r="A75" s="12" t="s">
        <v>42</v>
      </c>
      <c r="B75" s="13" t="s">
        <v>519</v>
      </c>
      <c r="C75" s="13" t="s">
        <v>520</v>
      </c>
      <c r="D75" s="13" t="s">
        <v>59</v>
      </c>
      <c r="E75" s="14" t="s">
        <v>71</v>
      </c>
      <c r="F75" s="14" t="s">
        <v>61</v>
      </c>
      <c r="G75" s="15" t="s">
        <v>125</v>
      </c>
      <c r="H75" s="16" t="s">
        <v>527</v>
      </c>
      <c r="I75" s="15" t="s">
        <v>145</v>
      </c>
      <c r="J75" s="16" t="s">
        <v>528</v>
      </c>
      <c r="K75" s="15" t="s">
        <v>289</v>
      </c>
      <c r="L75" s="16" t="s">
        <v>529</v>
      </c>
      <c r="M75" s="15" t="s">
        <v>65</v>
      </c>
      <c r="N75" s="16" t="s">
        <v>530</v>
      </c>
      <c r="O75" s="15" t="s">
        <v>65</v>
      </c>
      <c r="P75" s="16" t="s">
        <v>531</v>
      </c>
      <c r="Q75" s="15" t="s">
        <v>68</v>
      </c>
      <c r="R75" s="16" t="s">
        <v>532</v>
      </c>
      <c r="S75" s="17" t="n">
        <f>13691.56</f>
        <v>13691.56</v>
      </c>
      <c r="T75" s="18" t="n">
        <f>1622551</f>
        <v>1622551.0</v>
      </c>
      <c r="U75" s="18" t="n">
        <v>326908.0</v>
      </c>
      <c r="V75" s="18" t="n">
        <f>2076945725939</f>
        <v>2.076945725939E12</v>
      </c>
      <c r="W75" s="18" t="n">
        <v>4.30222654839E11</v>
      </c>
      <c r="X75" s="15" t="s">
        <v>58</v>
      </c>
      <c r="Y75" s="19" t="n">
        <f>85344</f>
        <v>85344.0</v>
      </c>
      <c r="Z75" s="20" t="n">
        <f>82</f>
        <v>82.0</v>
      </c>
    </row>
    <row r="76">
      <c r="A76" s="12" t="s">
        <v>42</v>
      </c>
      <c r="B76" s="13" t="s">
        <v>519</v>
      </c>
      <c r="C76" s="13" t="s">
        <v>520</v>
      </c>
      <c r="D76" s="13" t="s">
        <v>70</v>
      </c>
      <c r="E76" s="14" t="s">
        <v>218</v>
      </c>
      <c r="F76" s="14" t="s">
        <v>72</v>
      </c>
      <c r="G76" s="15" t="s">
        <v>533</v>
      </c>
      <c r="H76" s="16" t="s">
        <v>534</v>
      </c>
      <c r="I76" s="15" t="s">
        <v>75</v>
      </c>
      <c r="J76" s="16" t="s">
        <v>535</v>
      </c>
      <c r="K76" s="15" t="s">
        <v>75</v>
      </c>
      <c r="L76" s="16" t="s">
        <v>536</v>
      </c>
      <c r="M76" s="15" t="s">
        <v>537</v>
      </c>
      <c r="N76" s="16" t="s">
        <v>538</v>
      </c>
      <c r="O76" s="15" t="s">
        <v>323</v>
      </c>
      <c r="P76" s="16" t="s">
        <v>539</v>
      </c>
      <c r="Q76" s="15" t="s">
        <v>79</v>
      </c>
      <c r="R76" s="16" t="s">
        <v>540</v>
      </c>
      <c r="S76" s="17" t="n">
        <f>13886.22</f>
        <v>13886.22</v>
      </c>
      <c r="T76" s="18" t="n">
        <f>1338215</f>
        <v>1338215.0</v>
      </c>
      <c r="U76" s="18" t="n">
        <v>280577.0</v>
      </c>
      <c r="V76" s="18" t="n">
        <f>1912007359962</f>
        <v>1.912007359962E12</v>
      </c>
      <c r="W76" s="18" t="n">
        <v>4.04141583762E11</v>
      </c>
      <c r="X76" s="15" t="s">
        <v>58</v>
      </c>
      <c r="Y76" s="19" t="n">
        <f>43591</f>
        <v>43591.0</v>
      </c>
      <c r="Z76" s="20" t="n">
        <f>69</f>
        <v>69.0</v>
      </c>
    </row>
    <row r="77">
      <c r="A77" s="12" t="s">
        <v>42</v>
      </c>
      <c r="B77" s="13" t="s">
        <v>519</v>
      </c>
      <c r="C77" s="13" t="s">
        <v>520</v>
      </c>
      <c r="D77" s="13" t="s">
        <v>81</v>
      </c>
      <c r="E77" s="14" t="s">
        <v>94</v>
      </c>
      <c r="F77" s="14" t="s">
        <v>83</v>
      </c>
      <c r="G77" s="15" t="s">
        <v>541</v>
      </c>
      <c r="H77" s="16" t="s">
        <v>542</v>
      </c>
      <c r="I77" s="15" t="s">
        <v>459</v>
      </c>
      <c r="J77" s="16" t="s">
        <v>543</v>
      </c>
      <c r="K77" s="15" t="s">
        <v>459</v>
      </c>
      <c r="L77" s="16" t="s">
        <v>544</v>
      </c>
      <c r="M77" s="15" t="s">
        <v>352</v>
      </c>
      <c r="N77" s="16" t="s">
        <v>545</v>
      </c>
      <c r="O77" s="15" t="s">
        <v>352</v>
      </c>
      <c r="P77" s="16" t="s">
        <v>546</v>
      </c>
      <c r="Q77" s="15" t="s">
        <v>91</v>
      </c>
      <c r="R77" s="16" t="s">
        <v>547</v>
      </c>
      <c r="S77" s="17" t="n">
        <f>14125.5</f>
        <v>14125.5</v>
      </c>
      <c r="T77" s="18" t="n">
        <f>1273107</f>
        <v>1273107.0</v>
      </c>
      <c r="U77" s="18" t="n">
        <v>199644.0</v>
      </c>
      <c r="V77" s="18" t="n">
        <f>1928575552719</f>
        <v>1.928575552719E12</v>
      </c>
      <c r="W77" s="18" t="n">
        <v>3.03763922319E11</v>
      </c>
      <c r="X77" s="15" t="s">
        <v>58</v>
      </c>
      <c r="Y77" s="19" t="n">
        <f>47482</f>
        <v>47482.0</v>
      </c>
      <c r="Z77" s="20" t="n">
        <f>68</f>
        <v>68.0</v>
      </c>
    </row>
    <row r="78">
      <c r="A78" s="12" t="s">
        <v>42</v>
      </c>
      <c r="B78" s="13" t="s">
        <v>519</v>
      </c>
      <c r="C78" s="13" t="s">
        <v>520</v>
      </c>
      <c r="D78" s="13" t="s">
        <v>93</v>
      </c>
      <c r="E78" s="14" t="s">
        <v>224</v>
      </c>
      <c r="F78" s="14" t="s">
        <v>95</v>
      </c>
      <c r="G78" s="15" t="s">
        <v>548</v>
      </c>
      <c r="H78" s="16" t="s">
        <v>549</v>
      </c>
      <c r="I78" s="15" t="s">
        <v>548</v>
      </c>
      <c r="J78" s="16" t="s">
        <v>549</v>
      </c>
      <c r="K78" s="15" t="s">
        <v>97</v>
      </c>
      <c r="L78" s="16" t="s">
        <v>550</v>
      </c>
      <c r="M78" s="15" t="s">
        <v>430</v>
      </c>
      <c r="N78" s="16" t="s">
        <v>551</v>
      </c>
      <c r="O78" s="15" t="s">
        <v>430</v>
      </c>
      <c r="P78" s="16" t="s">
        <v>552</v>
      </c>
      <c r="Q78" s="15" t="s">
        <v>97</v>
      </c>
      <c r="R78" s="16" t="s">
        <v>553</v>
      </c>
      <c r="S78" s="17" t="n">
        <f>14220.12</f>
        <v>14220.12</v>
      </c>
      <c r="T78" s="18" t="n">
        <f>265481</f>
        <v>265481.0</v>
      </c>
      <c r="U78" s="18" t="n">
        <v>55189.0</v>
      </c>
      <c r="V78" s="18" t="n">
        <f>426765417016</f>
        <v>4.26765417016E11</v>
      </c>
      <c r="W78" s="18" t="n">
        <v>8.8367568716E10</v>
      </c>
      <c r="X78" s="15"/>
      <c r="Y78" s="19" t="n">
        <f>73003</f>
        <v>73003.0</v>
      </c>
      <c r="Z78" s="20" t="n">
        <f>21</f>
        <v>21.0</v>
      </c>
    </row>
    <row r="79">
      <c r="A79" s="12" t="s">
        <v>42</v>
      </c>
      <c r="B79" s="13" t="s">
        <v>519</v>
      </c>
      <c r="C79" s="13" t="s">
        <v>520</v>
      </c>
      <c r="D79" s="13" t="s">
        <v>103</v>
      </c>
      <c r="E79" s="14" t="s">
        <v>113</v>
      </c>
      <c r="F79" s="14" t="s">
        <v>105</v>
      </c>
      <c r="G79" s="15" t="s">
        <v>554</v>
      </c>
      <c r="H79" s="16" t="s">
        <v>555</v>
      </c>
      <c r="I79" s="15" t="s">
        <v>188</v>
      </c>
      <c r="J79" s="16" t="s">
        <v>543</v>
      </c>
      <c r="K79" s="15"/>
      <c r="L79" s="16"/>
      <c r="M79" s="15" t="s">
        <v>160</v>
      </c>
      <c r="N79" s="16" t="s">
        <v>150</v>
      </c>
      <c r="O79" s="15"/>
      <c r="P79" s="16"/>
      <c r="Q79" s="15" t="s">
        <v>188</v>
      </c>
      <c r="R79" s="16" t="s">
        <v>543</v>
      </c>
      <c r="S79" s="17" t="n">
        <f>14039.26</f>
        <v>14039.26</v>
      </c>
      <c r="T79" s="18" t="n">
        <f>7</f>
        <v>7.0</v>
      </c>
      <c r="U79" s="18"/>
      <c r="V79" s="18" t="n">
        <f>11207500</f>
        <v>1.12075E7</v>
      </c>
      <c r="W79" s="18"/>
      <c r="X79" s="15"/>
      <c r="Y79" s="19" t="n">
        <f>3</f>
        <v>3.0</v>
      </c>
      <c r="Z79" s="20" t="n">
        <f>4</f>
        <v>4.0</v>
      </c>
    </row>
    <row r="80">
      <c r="A80" s="12" t="s">
        <v>42</v>
      </c>
      <c r="B80" s="13" t="s">
        <v>519</v>
      </c>
      <c r="C80" s="13" t="s">
        <v>520</v>
      </c>
      <c r="D80" s="13" t="s">
        <v>112</v>
      </c>
      <c r="E80" s="14" t="s">
        <v>227</v>
      </c>
      <c r="F80" s="14" t="s">
        <v>114</v>
      </c>
      <c r="G80" s="15"/>
      <c r="H80" s="16" t="s">
        <v>208</v>
      </c>
      <c r="I80" s="15"/>
      <c r="J80" s="16" t="s">
        <v>208</v>
      </c>
      <c r="K80" s="15"/>
      <c r="L80" s="16"/>
      <c r="M80" s="15"/>
      <c r="N80" s="16" t="s">
        <v>208</v>
      </c>
      <c r="O80" s="15"/>
      <c r="P80" s="16"/>
      <c r="Q80" s="15"/>
      <c r="R80" s="16" t="s">
        <v>208</v>
      </c>
      <c r="S80" s="17" t="n">
        <f>14608.21</f>
        <v>14608.21</v>
      </c>
      <c r="T80" s="18" t="str">
        <f>"－"</f>
        <v>－</v>
      </c>
      <c r="U80" s="18"/>
      <c r="V80" s="18" t="str">
        <f>"－"</f>
        <v>－</v>
      </c>
      <c r="W80" s="18"/>
      <c r="X80" s="15"/>
      <c r="Y80" s="19" t="str">
        <f>"－"</f>
        <v>－</v>
      </c>
      <c r="Z80" s="20" t="str">
        <f>"－"</f>
        <v>－</v>
      </c>
    </row>
    <row r="81">
      <c r="A81" s="12" t="s">
        <v>42</v>
      </c>
      <c r="B81" s="13" t="s">
        <v>519</v>
      </c>
      <c r="C81" s="13" t="s">
        <v>520</v>
      </c>
      <c r="D81" s="13" t="s">
        <v>122</v>
      </c>
      <c r="E81" s="14" t="s">
        <v>135</v>
      </c>
      <c r="F81" s="14" t="s">
        <v>124</v>
      </c>
      <c r="G81" s="15"/>
      <c r="H81" s="16" t="s">
        <v>208</v>
      </c>
      <c r="I81" s="15"/>
      <c r="J81" s="16" t="s">
        <v>208</v>
      </c>
      <c r="K81" s="15"/>
      <c r="L81" s="16"/>
      <c r="M81" s="15"/>
      <c r="N81" s="16" t="s">
        <v>208</v>
      </c>
      <c r="O81" s="15"/>
      <c r="P81" s="16"/>
      <c r="Q81" s="15"/>
      <c r="R81" s="16" t="s">
        <v>208</v>
      </c>
      <c r="S81" s="17" t="n">
        <f>15020.6</f>
        <v>15020.6</v>
      </c>
      <c r="T81" s="18" t="str">
        <f>"－"</f>
        <v>－</v>
      </c>
      <c r="U81" s="18"/>
      <c r="V81" s="18" t="str">
        <f>"－"</f>
        <v>－</v>
      </c>
      <c r="W81" s="18"/>
      <c r="X81" s="15"/>
      <c r="Y81" s="19" t="str">
        <f>"－"</f>
        <v>－</v>
      </c>
      <c r="Z81" s="20" t="str">
        <f>"－"</f>
        <v>－</v>
      </c>
    </row>
    <row r="82">
      <c r="A82" s="12" t="s">
        <v>42</v>
      </c>
      <c r="B82" s="13" t="s">
        <v>519</v>
      </c>
      <c r="C82" s="13" t="s">
        <v>520</v>
      </c>
      <c r="D82" s="13" t="s">
        <v>134</v>
      </c>
      <c r="E82" s="14" t="s">
        <v>230</v>
      </c>
      <c r="F82" s="14" t="s">
        <v>136</v>
      </c>
      <c r="G82" s="15"/>
      <c r="H82" s="16" t="s">
        <v>208</v>
      </c>
      <c r="I82" s="15"/>
      <c r="J82" s="16" t="s">
        <v>208</v>
      </c>
      <c r="K82" s="15"/>
      <c r="L82" s="16"/>
      <c r="M82" s="15"/>
      <c r="N82" s="16" t="s">
        <v>208</v>
      </c>
      <c r="O82" s="15"/>
      <c r="P82" s="16"/>
      <c r="Q82" s="15"/>
      <c r="R82" s="16" t="s">
        <v>208</v>
      </c>
      <c r="S82" s="17" t="n">
        <f>15835.71</f>
        <v>15835.71</v>
      </c>
      <c r="T82" s="18" t="str">
        <f>"－"</f>
        <v>－</v>
      </c>
      <c r="U82" s="18"/>
      <c r="V82" s="18" t="str">
        <f>"－"</f>
        <v>－</v>
      </c>
      <c r="W82" s="18"/>
      <c r="X82" s="15"/>
      <c r="Y82" s="19" t="str">
        <f>"－"</f>
        <v>－</v>
      </c>
      <c r="Z82" s="20" t="str">
        <f>"－"</f>
        <v>－</v>
      </c>
    </row>
    <row r="83">
      <c r="A83" s="12" t="s">
        <v>42</v>
      </c>
      <c r="B83" s="13" t="s">
        <v>556</v>
      </c>
      <c r="C83" s="13" t="s">
        <v>557</v>
      </c>
      <c r="D83" s="13" t="s">
        <v>45</v>
      </c>
      <c r="E83" s="14" t="s">
        <v>218</v>
      </c>
      <c r="F83" s="14" t="s">
        <v>47</v>
      </c>
      <c r="G83" s="15" t="s">
        <v>241</v>
      </c>
      <c r="H83" s="16" t="s">
        <v>558</v>
      </c>
      <c r="I83" s="15" t="s">
        <v>559</v>
      </c>
      <c r="J83" s="16" t="s">
        <v>560</v>
      </c>
      <c r="K83" s="15" t="s">
        <v>485</v>
      </c>
      <c r="L83" s="16" t="s">
        <v>561</v>
      </c>
      <c r="M83" s="15" t="s">
        <v>562</v>
      </c>
      <c r="N83" s="16" t="s">
        <v>563</v>
      </c>
      <c r="O83" s="15" t="s">
        <v>485</v>
      </c>
      <c r="P83" s="16" t="s">
        <v>564</v>
      </c>
      <c r="Q83" s="15" t="s">
        <v>562</v>
      </c>
      <c r="R83" s="16" t="s">
        <v>563</v>
      </c>
      <c r="S83" s="17" t="n">
        <f>771.92</f>
        <v>771.92</v>
      </c>
      <c r="T83" s="18" t="n">
        <f>152</f>
        <v>152.0</v>
      </c>
      <c r="U83" s="18" t="n">
        <v>111.0</v>
      </c>
      <c r="V83" s="18" t="n">
        <f>104028700</f>
        <v>1.040287E8</v>
      </c>
      <c r="W83" s="18" t="n">
        <v>7.24927E7</v>
      </c>
      <c r="X83" s="15" t="s">
        <v>58</v>
      </c>
      <c r="Y83" s="19" t="n">
        <f>4</f>
        <v>4.0</v>
      </c>
      <c r="Z83" s="20" t="n">
        <f>14</f>
        <v>14.0</v>
      </c>
    </row>
    <row r="84">
      <c r="A84" s="12" t="s">
        <v>42</v>
      </c>
      <c r="B84" s="13" t="s">
        <v>556</v>
      </c>
      <c r="C84" s="13" t="s">
        <v>557</v>
      </c>
      <c r="D84" s="13" t="s">
        <v>59</v>
      </c>
      <c r="E84" s="14" t="s">
        <v>94</v>
      </c>
      <c r="F84" s="14" t="s">
        <v>61</v>
      </c>
      <c r="G84" s="15" t="s">
        <v>54</v>
      </c>
      <c r="H84" s="16" t="s">
        <v>565</v>
      </c>
      <c r="I84" s="15" t="s">
        <v>566</v>
      </c>
      <c r="J84" s="16" t="s">
        <v>567</v>
      </c>
      <c r="K84" s="15" t="s">
        <v>566</v>
      </c>
      <c r="L84" s="16" t="s">
        <v>568</v>
      </c>
      <c r="M84" s="15" t="s">
        <v>65</v>
      </c>
      <c r="N84" s="16" t="s">
        <v>569</v>
      </c>
      <c r="O84" s="15" t="s">
        <v>100</v>
      </c>
      <c r="P84" s="16" t="s">
        <v>570</v>
      </c>
      <c r="Q84" s="15" t="s">
        <v>566</v>
      </c>
      <c r="R84" s="16" t="s">
        <v>567</v>
      </c>
      <c r="S84" s="17" t="n">
        <f>717.58</f>
        <v>717.58</v>
      </c>
      <c r="T84" s="18" t="n">
        <f>379</f>
        <v>379.0</v>
      </c>
      <c r="U84" s="18" t="n">
        <v>353.0</v>
      </c>
      <c r="V84" s="18" t="n">
        <f>263372680</f>
        <v>2.6337268E8</v>
      </c>
      <c r="W84" s="18" t="n">
        <v>2.4664768E8</v>
      </c>
      <c r="X84" s="15" t="s">
        <v>58</v>
      </c>
      <c r="Y84" s="19" t="n">
        <f>162</f>
        <v>162.0</v>
      </c>
      <c r="Z84" s="20" t="n">
        <f>13</f>
        <v>13.0</v>
      </c>
    </row>
    <row r="85">
      <c r="A85" s="12" t="s">
        <v>42</v>
      </c>
      <c r="B85" s="13" t="s">
        <v>556</v>
      </c>
      <c r="C85" s="13" t="s">
        <v>557</v>
      </c>
      <c r="D85" s="13" t="s">
        <v>70</v>
      </c>
      <c r="E85" s="14" t="s">
        <v>224</v>
      </c>
      <c r="F85" s="14" t="s">
        <v>72</v>
      </c>
      <c r="G85" s="15" t="s">
        <v>571</v>
      </c>
      <c r="H85" s="16" t="s">
        <v>572</v>
      </c>
      <c r="I85" s="15" t="s">
        <v>573</v>
      </c>
      <c r="J85" s="16" t="s">
        <v>574</v>
      </c>
      <c r="K85" s="15" t="s">
        <v>566</v>
      </c>
      <c r="L85" s="16" t="s">
        <v>575</v>
      </c>
      <c r="M85" s="15" t="s">
        <v>571</v>
      </c>
      <c r="N85" s="16" t="s">
        <v>572</v>
      </c>
      <c r="O85" s="15" t="s">
        <v>452</v>
      </c>
      <c r="P85" s="16" t="s">
        <v>576</v>
      </c>
      <c r="Q85" s="15" t="s">
        <v>577</v>
      </c>
      <c r="R85" s="16" t="s">
        <v>578</v>
      </c>
      <c r="S85" s="17" t="n">
        <f>723.93</f>
        <v>723.93</v>
      </c>
      <c r="T85" s="18" t="n">
        <f>345</f>
        <v>345.0</v>
      </c>
      <c r="U85" s="18" t="n">
        <v>331.0</v>
      </c>
      <c r="V85" s="18" t="n">
        <f>257823530</f>
        <v>2.5782353E8</v>
      </c>
      <c r="W85" s="18" t="n">
        <v>2.4770853E8</v>
      </c>
      <c r="X85" s="15" t="s">
        <v>58</v>
      </c>
      <c r="Y85" s="19" t="n">
        <f>7</f>
        <v>7.0</v>
      </c>
      <c r="Z85" s="20" t="n">
        <f>7</f>
        <v>7.0</v>
      </c>
    </row>
    <row r="86">
      <c r="A86" s="12" t="s">
        <v>42</v>
      </c>
      <c r="B86" s="13" t="s">
        <v>556</v>
      </c>
      <c r="C86" s="13" t="s">
        <v>557</v>
      </c>
      <c r="D86" s="13" t="s">
        <v>81</v>
      </c>
      <c r="E86" s="14" t="s">
        <v>113</v>
      </c>
      <c r="F86" s="14" t="s">
        <v>83</v>
      </c>
      <c r="G86" s="15" t="s">
        <v>579</v>
      </c>
      <c r="H86" s="16" t="s">
        <v>580</v>
      </c>
      <c r="I86" s="15" t="s">
        <v>85</v>
      </c>
      <c r="J86" s="16" t="s">
        <v>581</v>
      </c>
      <c r="K86" s="15" t="s">
        <v>461</v>
      </c>
      <c r="L86" s="16" t="s">
        <v>582</v>
      </c>
      <c r="M86" s="15" t="s">
        <v>579</v>
      </c>
      <c r="N86" s="16" t="s">
        <v>580</v>
      </c>
      <c r="O86" s="15" t="s">
        <v>352</v>
      </c>
      <c r="P86" s="16" t="s">
        <v>583</v>
      </c>
      <c r="Q86" s="15" t="s">
        <v>513</v>
      </c>
      <c r="R86" s="16" t="s">
        <v>584</v>
      </c>
      <c r="S86" s="17" t="n">
        <f>725.69</f>
        <v>725.69</v>
      </c>
      <c r="T86" s="18" t="n">
        <f>143</f>
        <v>143.0</v>
      </c>
      <c r="U86" s="18" t="n">
        <v>123.0</v>
      </c>
      <c r="V86" s="18" t="n">
        <f>110733030</f>
        <v>1.1073303E8</v>
      </c>
      <c r="W86" s="18" t="n">
        <v>9.526703E7</v>
      </c>
      <c r="X86" s="15" t="s">
        <v>58</v>
      </c>
      <c r="Y86" s="19" t="n">
        <f>11</f>
        <v>11.0</v>
      </c>
      <c r="Z86" s="20" t="n">
        <f>6</f>
        <v>6.0</v>
      </c>
    </row>
    <row r="87">
      <c r="A87" s="12" t="s">
        <v>42</v>
      </c>
      <c r="B87" s="13" t="s">
        <v>556</v>
      </c>
      <c r="C87" s="13" t="s">
        <v>557</v>
      </c>
      <c r="D87" s="13" t="s">
        <v>93</v>
      </c>
      <c r="E87" s="14" t="s">
        <v>227</v>
      </c>
      <c r="F87" s="14" t="s">
        <v>95</v>
      </c>
      <c r="G87" s="15"/>
      <c r="H87" s="16" t="s">
        <v>208</v>
      </c>
      <c r="I87" s="15"/>
      <c r="J87" s="16" t="s">
        <v>208</v>
      </c>
      <c r="K87" s="15" t="s">
        <v>513</v>
      </c>
      <c r="L87" s="16" t="s">
        <v>585</v>
      </c>
      <c r="M87" s="15"/>
      <c r="N87" s="16" t="s">
        <v>208</v>
      </c>
      <c r="O87" s="15" t="s">
        <v>513</v>
      </c>
      <c r="P87" s="16" t="s">
        <v>586</v>
      </c>
      <c r="Q87" s="15"/>
      <c r="R87" s="16" t="s">
        <v>208</v>
      </c>
      <c r="S87" s="17" t="n">
        <f>758.49</f>
        <v>758.49</v>
      </c>
      <c r="T87" s="18" t="n">
        <f>61</f>
        <v>61.0</v>
      </c>
      <c r="U87" s="18" t="n">
        <v>61.0</v>
      </c>
      <c r="V87" s="18" t="n">
        <f>49295600</f>
        <v>4.92956E7</v>
      </c>
      <c r="W87" s="18" t="n">
        <v>4.92956E7</v>
      </c>
      <c r="X87" s="15"/>
      <c r="Y87" s="19" t="n">
        <f>61</f>
        <v>61.0</v>
      </c>
      <c r="Z87" s="20" t="str">
        <f>"－"</f>
        <v>－</v>
      </c>
    </row>
    <row r="88">
      <c r="A88" s="12" t="s">
        <v>42</v>
      </c>
      <c r="B88" s="13" t="s">
        <v>556</v>
      </c>
      <c r="C88" s="13" t="s">
        <v>557</v>
      </c>
      <c r="D88" s="13" t="s">
        <v>103</v>
      </c>
      <c r="E88" s="14" t="s">
        <v>135</v>
      </c>
      <c r="F88" s="14" t="s">
        <v>105</v>
      </c>
      <c r="G88" s="15"/>
      <c r="H88" s="16" t="s">
        <v>208</v>
      </c>
      <c r="I88" s="15"/>
      <c r="J88" s="16" t="s">
        <v>208</v>
      </c>
      <c r="K88" s="15"/>
      <c r="L88" s="16"/>
      <c r="M88" s="15"/>
      <c r="N88" s="16" t="s">
        <v>208</v>
      </c>
      <c r="O88" s="15"/>
      <c r="P88" s="16"/>
      <c r="Q88" s="15"/>
      <c r="R88" s="16" t="s">
        <v>208</v>
      </c>
      <c r="S88" s="17" t="n">
        <f>775.37</f>
        <v>775.37</v>
      </c>
      <c r="T88" s="18" t="str">
        <f>"－"</f>
        <v>－</v>
      </c>
      <c r="U88" s="18"/>
      <c r="V88" s="18" t="str">
        <f>"－"</f>
        <v>－</v>
      </c>
      <c r="W88" s="18"/>
      <c r="X88" s="15"/>
      <c r="Y88" s="19" t="str">
        <f>"－"</f>
        <v>－</v>
      </c>
      <c r="Z88" s="20" t="str">
        <f>"－"</f>
        <v>－</v>
      </c>
    </row>
    <row r="89">
      <c r="A89" s="12" t="s">
        <v>42</v>
      </c>
      <c r="B89" s="13" t="s">
        <v>556</v>
      </c>
      <c r="C89" s="13" t="s">
        <v>557</v>
      </c>
      <c r="D89" s="13" t="s">
        <v>112</v>
      </c>
      <c r="E89" s="14" t="s">
        <v>230</v>
      </c>
      <c r="F89" s="14" t="s">
        <v>114</v>
      </c>
      <c r="G89" s="15"/>
      <c r="H89" s="16" t="s">
        <v>208</v>
      </c>
      <c r="I89" s="15"/>
      <c r="J89" s="16" t="s">
        <v>208</v>
      </c>
      <c r="K89" s="15"/>
      <c r="L89" s="16"/>
      <c r="M89" s="15"/>
      <c r="N89" s="16" t="s">
        <v>208</v>
      </c>
      <c r="O89" s="15"/>
      <c r="P89" s="16"/>
      <c r="Q89" s="15"/>
      <c r="R89" s="16" t="s">
        <v>208</v>
      </c>
      <c r="S89" s="17" t="n">
        <f>829.79</f>
        <v>829.79</v>
      </c>
      <c r="T89" s="18" t="str">
        <f>"－"</f>
        <v>－</v>
      </c>
      <c r="U89" s="18"/>
      <c r="V89" s="18" t="str">
        <f>"－"</f>
        <v>－</v>
      </c>
      <c r="W89" s="18"/>
      <c r="X89" s="15"/>
      <c r="Y89" s="19" t="str">
        <f>"－"</f>
        <v>－</v>
      </c>
      <c r="Z89" s="20" t="str">
        <f>"－"</f>
        <v>－</v>
      </c>
    </row>
    <row r="90">
      <c r="A90" s="12" t="s">
        <v>42</v>
      </c>
      <c r="B90" s="13" t="s">
        <v>587</v>
      </c>
      <c r="C90" s="13" t="s">
        <v>588</v>
      </c>
      <c r="D90" s="13" t="s">
        <v>45</v>
      </c>
      <c r="E90" s="14" t="s">
        <v>218</v>
      </c>
      <c r="F90" s="14" t="s">
        <v>47</v>
      </c>
      <c r="G90" s="15" t="s">
        <v>287</v>
      </c>
      <c r="H90" s="16" t="s">
        <v>589</v>
      </c>
      <c r="I90" s="15" t="s">
        <v>287</v>
      </c>
      <c r="J90" s="16" t="s">
        <v>589</v>
      </c>
      <c r="K90" s="15" t="s">
        <v>435</v>
      </c>
      <c r="L90" s="16" t="s">
        <v>590</v>
      </c>
      <c r="M90" s="15" t="s">
        <v>591</v>
      </c>
      <c r="N90" s="16" t="s">
        <v>592</v>
      </c>
      <c r="O90" s="15" t="s">
        <v>54</v>
      </c>
      <c r="P90" s="16" t="s">
        <v>593</v>
      </c>
      <c r="Q90" s="15" t="s">
        <v>591</v>
      </c>
      <c r="R90" s="16" t="s">
        <v>592</v>
      </c>
      <c r="S90" s="17" t="n">
        <f>140.09</f>
        <v>140.09</v>
      </c>
      <c r="T90" s="18" t="n">
        <f>56317</f>
        <v>56317.0</v>
      </c>
      <c r="U90" s="18" t="n">
        <v>56205.0</v>
      </c>
      <c r="V90" s="18" t="n">
        <f>65143452800</f>
        <v>6.51434528E10</v>
      </c>
      <c r="W90" s="18" t="n">
        <v>6.49825528E10</v>
      </c>
      <c r="X90" s="15" t="s">
        <v>58</v>
      </c>
      <c r="Y90" s="19" t="n">
        <f>12467</f>
        <v>12467.0</v>
      </c>
      <c r="Z90" s="20" t="n">
        <f>2</f>
        <v>2.0</v>
      </c>
    </row>
    <row r="91">
      <c r="A91" s="12" t="s">
        <v>42</v>
      </c>
      <c r="B91" s="13" t="s">
        <v>587</v>
      </c>
      <c r="C91" s="13" t="s">
        <v>588</v>
      </c>
      <c r="D91" s="13" t="s">
        <v>59</v>
      </c>
      <c r="E91" s="14" t="s">
        <v>94</v>
      </c>
      <c r="F91" s="14" t="s">
        <v>61</v>
      </c>
      <c r="G91" s="15" t="s">
        <v>129</v>
      </c>
      <c r="H91" s="16" t="s">
        <v>594</v>
      </c>
      <c r="I91" s="15" t="s">
        <v>129</v>
      </c>
      <c r="J91" s="16" t="s">
        <v>594</v>
      </c>
      <c r="K91" s="15" t="s">
        <v>566</v>
      </c>
      <c r="L91" s="16" t="s">
        <v>595</v>
      </c>
      <c r="M91" s="15" t="s">
        <v>129</v>
      </c>
      <c r="N91" s="16" t="s">
        <v>596</v>
      </c>
      <c r="O91" s="15" t="s">
        <v>54</v>
      </c>
      <c r="P91" s="16" t="s">
        <v>597</v>
      </c>
      <c r="Q91" s="15" t="s">
        <v>129</v>
      </c>
      <c r="R91" s="16" t="s">
        <v>596</v>
      </c>
      <c r="S91" s="17" t="n">
        <f>123.68</f>
        <v>123.68</v>
      </c>
      <c r="T91" s="18" t="n">
        <f>89384</f>
        <v>89384.0</v>
      </c>
      <c r="U91" s="18" t="n">
        <v>89378.0</v>
      </c>
      <c r="V91" s="18" t="n">
        <f>105472482900</f>
        <v>1.054724829E11</v>
      </c>
      <c r="W91" s="18" t="n">
        <v>1.054667339E11</v>
      </c>
      <c r="X91" s="15" t="s">
        <v>58</v>
      </c>
      <c r="Y91" s="19" t="n">
        <f>4014</f>
        <v>4014.0</v>
      </c>
      <c r="Z91" s="20" t="n">
        <f>1</f>
        <v>1.0</v>
      </c>
    </row>
    <row r="92">
      <c r="A92" s="12" t="s">
        <v>42</v>
      </c>
      <c r="B92" s="13" t="s">
        <v>587</v>
      </c>
      <c r="C92" s="13" t="s">
        <v>588</v>
      </c>
      <c r="D92" s="13" t="s">
        <v>70</v>
      </c>
      <c r="E92" s="14" t="s">
        <v>224</v>
      </c>
      <c r="F92" s="14" t="s">
        <v>72</v>
      </c>
      <c r="G92" s="15" t="s">
        <v>598</v>
      </c>
      <c r="H92" s="16" t="s">
        <v>599</v>
      </c>
      <c r="I92" s="15" t="s">
        <v>600</v>
      </c>
      <c r="J92" s="16" t="s">
        <v>601</v>
      </c>
      <c r="K92" s="15" t="s">
        <v>566</v>
      </c>
      <c r="L92" s="16" t="s">
        <v>602</v>
      </c>
      <c r="M92" s="15" t="s">
        <v>598</v>
      </c>
      <c r="N92" s="16" t="s">
        <v>599</v>
      </c>
      <c r="O92" s="15" t="s">
        <v>603</v>
      </c>
      <c r="P92" s="16" t="s">
        <v>604</v>
      </c>
      <c r="Q92" s="15" t="s">
        <v>600</v>
      </c>
      <c r="R92" s="16" t="s">
        <v>601</v>
      </c>
      <c r="S92" s="17" t="n">
        <f>121.39</f>
        <v>121.39</v>
      </c>
      <c r="T92" s="18" t="n">
        <f>88814</f>
        <v>88814.0</v>
      </c>
      <c r="U92" s="18" t="n">
        <v>88509.0</v>
      </c>
      <c r="V92" s="18" t="n">
        <f>108303748200</f>
        <v>1.083037482E11</v>
      </c>
      <c r="W92" s="18" t="n">
        <v>1.079476782E11</v>
      </c>
      <c r="X92" s="15" t="s">
        <v>58</v>
      </c>
      <c r="Y92" s="19" t="n">
        <f>5040</f>
        <v>5040.0</v>
      </c>
      <c r="Z92" s="20" t="n">
        <f>3</f>
        <v>3.0</v>
      </c>
    </row>
    <row r="93">
      <c r="A93" s="12" t="s">
        <v>42</v>
      </c>
      <c r="B93" s="13" t="s">
        <v>587</v>
      </c>
      <c r="C93" s="13" t="s">
        <v>588</v>
      </c>
      <c r="D93" s="13" t="s">
        <v>81</v>
      </c>
      <c r="E93" s="14" t="s">
        <v>113</v>
      </c>
      <c r="F93" s="14" t="s">
        <v>83</v>
      </c>
      <c r="G93" s="15" t="s">
        <v>579</v>
      </c>
      <c r="H93" s="16" t="s">
        <v>605</v>
      </c>
      <c r="I93" s="15" t="s">
        <v>579</v>
      </c>
      <c r="J93" s="16" t="s">
        <v>606</v>
      </c>
      <c r="K93" s="15" t="s">
        <v>148</v>
      </c>
      <c r="L93" s="16" t="s">
        <v>607</v>
      </c>
      <c r="M93" s="15" t="s">
        <v>579</v>
      </c>
      <c r="N93" s="16" t="s">
        <v>605</v>
      </c>
      <c r="O93" s="15" t="s">
        <v>603</v>
      </c>
      <c r="P93" s="16" t="s">
        <v>608</v>
      </c>
      <c r="Q93" s="15" t="s">
        <v>579</v>
      </c>
      <c r="R93" s="16" t="s">
        <v>609</v>
      </c>
      <c r="S93" s="17" t="n">
        <f>115.76</f>
        <v>115.76</v>
      </c>
      <c r="T93" s="18" t="n">
        <f>82767</f>
        <v>82767.0</v>
      </c>
      <c r="U93" s="18" t="n">
        <v>82657.0</v>
      </c>
      <c r="V93" s="18" t="n">
        <f>98046091030</f>
        <v>9.804609103E10</v>
      </c>
      <c r="W93" s="18" t="n">
        <v>9.791326603E10</v>
      </c>
      <c r="X93" s="15" t="s">
        <v>58</v>
      </c>
      <c r="Y93" s="19" t="n">
        <f>2763</f>
        <v>2763.0</v>
      </c>
      <c r="Z93" s="20" t="n">
        <f>1</f>
        <v>1.0</v>
      </c>
    </row>
    <row r="94">
      <c r="A94" s="12" t="s">
        <v>42</v>
      </c>
      <c r="B94" s="13" t="s">
        <v>587</v>
      </c>
      <c r="C94" s="13" t="s">
        <v>588</v>
      </c>
      <c r="D94" s="13" t="s">
        <v>93</v>
      </c>
      <c r="E94" s="14" t="s">
        <v>227</v>
      </c>
      <c r="F94" s="14" t="s">
        <v>95</v>
      </c>
      <c r="G94" s="15"/>
      <c r="H94" s="16" t="s">
        <v>208</v>
      </c>
      <c r="I94" s="15"/>
      <c r="J94" s="16" t="s">
        <v>208</v>
      </c>
      <c r="K94" s="15" t="s">
        <v>513</v>
      </c>
      <c r="L94" s="16" t="s">
        <v>610</v>
      </c>
      <c r="M94" s="15"/>
      <c r="N94" s="16" t="s">
        <v>208</v>
      </c>
      <c r="O94" s="15" t="s">
        <v>611</v>
      </c>
      <c r="P94" s="16" t="s">
        <v>612</v>
      </c>
      <c r="Q94" s="15"/>
      <c r="R94" s="16" t="s">
        <v>208</v>
      </c>
      <c r="S94" s="17" t="n">
        <f>118.03</f>
        <v>118.03</v>
      </c>
      <c r="T94" s="18" t="n">
        <f>38644</f>
        <v>38644.0</v>
      </c>
      <c r="U94" s="18" t="n">
        <v>38644.0</v>
      </c>
      <c r="V94" s="18" t="n">
        <f>46046788200</f>
        <v>4.60467882E10</v>
      </c>
      <c r="W94" s="18" t="n">
        <v>4.60467882E10</v>
      </c>
      <c r="X94" s="15"/>
      <c r="Y94" s="19" t="n">
        <f>38118</f>
        <v>38118.0</v>
      </c>
      <c r="Z94" s="20" t="str">
        <f>"－"</f>
        <v>－</v>
      </c>
    </row>
    <row r="95">
      <c r="A95" s="12" t="s">
        <v>42</v>
      </c>
      <c r="B95" s="13" t="s">
        <v>587</v>
      </c>
      <c r="C95" s="13" t="s">
        <v>588</v>
      </c>
      <c r="D95" s="13" t="s">
        <v>103</v>
      </c>
      <c r="E95" s="14" t="s">
        <v>135</v>
      </c>
      <c r="F95" s="14" t="s">
        <v>105</v>
      </c>
      <c r="G95" s="15"/>
      <c r="H95" s="16" t="s">
        <v>208</v>
      </c>
      <c r="I95" s="15"/>
      <c r="J95" s="16" t="s">
        <v>208</v>
      </c>
      <c r="K95" s="15"/>
      <c r="L95" s="16"/>
      <c r="M95" s="15"/>
      <c r="N95" s="16" t="s">
        <v>208</v>
      </c>
      <c r="O95" s="15"/>
      <c r="P95" s="16"/>
      <c r="Q95" s="15"/>
      <c r="R95" s="16" t="s">
        <v>208</v>
      </c>
      <c r="S95" s="17" t="n">
        <f>118.09</f>
        <v>118.09</v>
      </c>
      <c r="T95" s="18" t="str">
        <f>"－"</f>
        <v>－</v>
      </c>
      <c r="U95" s="18"/>
      <c r="V95" s="18" t="str">
        <f>"－"</f>
        <v>－</v>
      </c>
      <c r="W95" s="18"/>
      <c r="X95" s="15"/>
      <c r="Y95" s="19" t="str">
        <f>"－"</f>
        <v>－</v>
      </c>
      <c r="Z95" s="20" t="str">
        <f>"－"</f>
        <v>－</v>
      </c>
    </row>
    <row r="96">
      <c r="A96" s="12" t="s">
        <v>42</v>
      </c>
      <c r="B96" s="13" t="s">
        <v>587</v>
      </c>
      <c r="C96" s="13" t="s">
        <v>588</v>
      </c>
      <c r="D96" s="13" t="s">
        <v>112</v>
      </c>
      <c r="E96" s="14" t="s">
        <v>230</v>
      </c>
      <c r="F96" s="14" t="s">
        <v>114</v>
      </c>
      <c r="G96" s="15"/>
      <c r="H96" s="16" t="s">
        <v>208</v>
      </c>
      <c r="I96" s="15"/>
      <c r="J96" s="16" t="s">
        <v>208</v>
      </c>
      <c r="K96" s="15"/>
      <c r="L96" s="16"/>
      <c r="M96" s="15"/>
      <c r="N96" s="16" t="s">
        <v>208</v>
      </c>
      <c r="O96" s="15"/>
      <c r="P96" s="16"/>
      <c r="Q96" s="15"/>
      <c r="R96" s="16" t="s">
        <v>208</v>
      </c>
      <c r="S96" s="17" t="n">
        <f>118.04</f>
        <v>118.04</v>
      </c>
      <c r="T96" s="18" t="str">
        <f>"－"</f>
        <v>－</v>
      </c>
      <c r="U96" s="18"/>
      <c r="V96" s="18" t="str">
        <f>"－"</f>
        <v>－</v>
      </c>
      <c r="W96" s="18"/>
      <c r="X96" s="15"/>
      <c r="Y96" s="19" t="str">
        <f>"－"</f>
        <v>－</v>
      </c>
      <c r="Z96" s="20" t="str">
        <f>"－"</f>
        <v>－</v>
      </c>
    </row>
    <row r="97">
      <c r="A97" s="12" t="s">
        <v>42</v>
      </c>
      <c r="B97" s="13" t="s">
        <v>613</v>
      </c>
      <c r="C97" s="13" t="s">
        <v>614</v>
      </c>
      <c r="D97" s="13" t="s">
        <v>45</v>
      </c>
      <c r="E97" s="14" t="s">
        <v>218</v>
      </c>
      <c r="F97" s="14" t="s">
        <v>47</v>
      </c>
      <c r="G97" s="15" t="s">
        <v>48</v>
      </c>
      <c r="H97" s="16" t="s">
        <v>615</v>
      </c>
      <c r="I97" s="15" t="s">
        <v>616</v>
      </c>
      <c r="J97" s="16" t="s">
        <v>617</v>
      </c>
      <c r="K97" s="15" t="s">
        <v>618</v>
      </c>
      <c r="L97" s="16" t="s">
        <v>619</v>
      </c>
      <c r="M97" s="15" t="s">
        <v>54</v>
      </c>
      <c r="N97" s="16" t="s">
        <v>620</v>
      </c>
      <c r="O97" s="15" t="s">
        <v>54</v>
      </c>
      <c r="P97" s="16" t="s">
        <v>621</v>
      </c>
      <c r="Q97" s="15" t="s">
        <v>54</v>
      </c>
      <c r="R97" s="16" t="s">
        <v>622</v>
      </c>
      <c r="S97" s="17" t="n">
        <f>2131.61</f>
        <v>2131.61</v>
      </c>
      <c r="T97" s="18" t="n">
        <f>201811</f>
        <v>201811.0</v>
      </c>
      <c r="U97" s="18" t="n">
        <v>133833.0</v>
      </c>
      <c r="V97" s="18" t="n">
        <f>412908960764</f>
        <v>4.12908960764E11</v>
      </c>
      <c r="W97" s="18" t="n">
        <v>2.70352349264E11</v>
      </c>
      <c r="X97" s="15" t="s">
        <v>58</v>
      </c>
      <c r="Y97" s="19" t="n">
        <f>52718</f>
        <v>52718.0</v>
      </c>
      <c r="Z97" s="20" t="n">
        <f>46</f>
        <v>46.0</v>
      </c>
    </row>
    <row r="98">
      <c r="A98" s="12" t="s">
        <v>42</v>
      </c>
      <c r="B98" s="13" t="s">
        <v>613</v>
      </c>
      <c r="C98" s="13" t="s">
        <v>614</v>
      </c>
      <c r="D98" s="13" t="s">
        <v>59</v>
      </c>
      <c r="E98" s="14" t="s">
        <v>94</v>
      </c>
      <c r="F98" s="14" t="s">
        <v>61</v>
      </c>
      <c r="G98" s="15" t="s">
        <v>48</v>
      </c>
      <c r="H98" s="16" t="s">
        <v>623</v>
      </c>
      <c r="I98" s="15" t="s">
        <v>48</v>
      </c>
      <c r="J98" s="16" t="s">
        <v>623</v>
      </c>
      <c r="K98" s="15" t="s">
        <v>624</v>
      </c>
      <c r="L98" s="16" t="s">
        <v>625</v>
      </c>
      <c r="M98" s="15" t="s">
        <v>151</v>
      </c>
      <c r="N98" s="16" t="s">
        <v>626</v>
      </c>
      <c r="O98" s="15" t="s">
        <v>151</v>
      </c>
      <c r="P98" s="16" t="s">
        <v>627</v>
      </c>
      <c r="Q98" s="15" t="s">
        <v>68</v>
      </c>
      <c r="R98" s="16" t="s">
        <v>628</v>
      </c>
      <c r="S98" s="17" t="n">
        <f>1811.47</f>
        <v>1811.47</v>
      </c>
      <c r="T98" s="18" t="n">
        <f>272500</f>
        <v>272500.0</v>
      </c>
      <c r="U98" s="18" t="n">
        <v>231101.0</v>
      </c>
      <c r="V98" s="18" t="n">
        <f>464844518356</f>
        <v>4.64844518356E11</v>
      </c>
      <c r="W98" s="18" t="n">
        <v>3.94461543756E11</v>
      </c>
      <c r="X98" s="15" t="s">
        <v>58</v>
      </c>
      <c r="Y98" s="19" t="n">
        <f>38669</f>
        <v>38669.0</v>
      </c>
      <c r="Z98" s="20" t="n">
        <f>65</f>
        <v>65.0</v>
      </c>
    </row>
    <row r="99">
      <c r="A99" s="12" t="s">
        <v>42</v>
      </c>
      <c r="B99" s="13" t="s">
        <v>613</v>
      </c>
      <c r="C99" s="13" t="s">
        <v>614</v>
      </c>
      <c r="D99" s="13" t="s">
        <v>70</v>
      </c>
      <c r="E99" s="14" t="s">
        <v>224</v>
      </c>
      <c r="F99" s="14" t="s">
        <v>72</v>
      </c>
      <c r="G99" s="15" t="s">
        <v>222</v>
      </c>
      <c r="H99" s="16" t="s">
        <v>629</v>
      </c>
      <c r="I99" s="15" t="s">
        <v>630</v>
      </c>
      <c r="J99" s="16" t="s">
        <v>631</v>
      </c>
      <c r="K99" s="15" t="s">
        <v>632</v>
      </c>
      <c r="L99" s="16" t="s">
        <v>633</v>
      </c>
      <c r="M99" s="15" t="s">
        <v>452</v>
      </c>
      <c r="N99" s="16" t="s">
        <v>634</v>
      </c>
      <c r="O99" s="15" t="s">
        <v>421</v>
      </c>
      <c r="P99" s="16" t="s">
        <v>635</v>
      </c>
      <c r="Q99" s="15" t="s">
        <v>79</v>
      </c>
      <c r="R99" s="16" t="s">
        <v>636</v>
      </c>
      <c r="S99" s="17" t="n">
        <f>1748.19</f>
        <v>1748.19</v>
      </c>
      <c r="T99" s="18" t="n">
        <f>224505</f>
        <v>224505.0</v>
      </c>
      <c r="U99" s="18" t="n">
        <v>177468.0</v>
      </c>
      <c r="V99" s="18" t="n">
        <f>383870440795</f>
        <v>3.83870440795E11</v>
      </c>
      <c r="W99" s="18" t="n">
        <v>3.04053948395E11</v>
      </c>
      <c r="X99" s="15" t="s">
        <v>58</v>
      </c>
      <c r="Y99" s="19" t="n">
        <f>29434</f>
        <v>29434.0</v>
      </c>
      <c r="Z99" s="20" t="n">
        <f>69</f>
        <v>69.0</v>
      </c>
    </row>
    <row r="100">
      <c r="A100" s="12" t="s">
        <v>42</v>
      </c>
      <c r="B100" s="13" t="s">
        <v>613</v>
      </c>
      <c r="C100" s="13" t="s">
        <v>614</v>
      </c>
      <c r="D100" s="13" t="s">
        <v>81</v>
      </c>
      <c r="E100" s="14" t="s">
        <v>113</v>
      </c>
      <c r="F100" s="14" t="s">
        <v>83</v>
      </c>
      <c r="G100" s="15" t="s">
        <v>637</v>
      </c>
      <c r="H100" s="16" t="s">
        <v>638</v>
      </c>
      <c r="I100" s="15" t="s">
        <v>639</v>
      </c>
      <c r="J100" s="16" t="s">
        <v>640</v>
      </c>
      <c r="K100" s="15" t="s">
        <v>641</v>
      </c>
      <c r="L100" s="16" t="s">
        <v>642</v>
      </c>
      <c r="M100" s="15" t="s">
        <v>363</v>
      </c>
      <c r="N100" s="16" t="s">
        <v>643</v>
      </c>
      <c r="O100" s="15" t="s">
        <v>352</v>
      </c>
      <c r="P100" s="16" t="s">
        <v>644</v>
      </c>
      <c r="Q100" s="15" t="s">
        <v>91</v>
      </c>
      <c r="R100" s="16" t="s">
        <v>645</v>
      </c>
      <c r="S100" s="17" t="n">
        <f>1635.08</f>
        <v>1635.08</v>
      </c>
      <c r="T100" s="18" t="n">
        <f>221060</f>
        <v>221060.0</v>
      </c>
      <c r="U100" s="18" t="n">
        <v>165383.0</v>
      </c>
      <c r="V100" s="18" t="n">
        <f>375744801870</f>
        <v>3.7574480187E11</v>
      </c>
      <c r="W100" s="18" t="n">
        <v>2.8127449597E11</v>
      </c>
      <c r="X100" s="15" t="s">
        <v>58</v>
      </c>
      <c r="Y100" s="19" t="n">
        <f>23525</f>
        <v>23525.0</v>
      </c>
      <c r="Z100" s="20" t="n">
        <f>65</f>
        <v>65.0</v>
      </c>
    </row>
    <row r="101">
      <c r="A101" s="12" t="s">
        <v>42</v>
      </c>
      <c r="B101" s="13" t="s">
        <v>613</v>
      </c>
      <c r="C101" s="13" t="s">
        <v>614</v>
      </c>
      <c r="D101" s="13" t="s">
        <v>93</v>
      </c>
      <c r="E101" s="14" t="s">
        <v>227</v>
      </c>
      <c r="F101" s="14" t="s">
        <v>95</v>
      </c>
      <c r="G101" s="15" t="s">
        <v>646</v>
      </c>
      <c r="H101" s="16" t="s">
        <v>647</v>
      </c>
      <c r="I101" s="15" t="s">
        <v>97</v>
      </c>
      <c r="J101" s="16" t="s">
        <v>648</v>
      </c>
      <c r="K101" s="15" t="s">
        <v>97</v>
      </c>
      <c r="L101" s="16" t="s">
        <v>649</v>
      </c>
      <c r="M101" s="15" t="s">
        <v>513</v>
      </c>
      <c r="N101" s="16" t="s">
        <v>650</v>
      </c>
      <c r="O101" s="15" t="s">
        <v>646</v>
      </c>
      <c r="P101" s="16" t="s">
        <v>651</v>
      </c>
      <c r="Q101" s="15" t="s">
        <v>97</v>
      </c>
      <c r="R101" s="16" t="s">
        <v>652</v>
      </c>
      <c r="S101" s="17" t="n">
        <f>1663.63</f>
        <v>1663.63</v>
      </c>
      <c r="T101" s="18" t="n">
        <f>84898</f>
        <v>84898.0</v>
      </c>
      <c r="U101" s="18" t="n">
        <v>70549.0</v>
      </c>
      <c r="V101" s="18" t="n">
        <f>142067589730</f>
        <v>1.4206758973E11</v>
      </c>
      <c r="W101" s="18" t="n">
        <v>1.1789620503E11</v>
      </c>
      <c r="X101" s="15"/>
      <c r="Y101" s="19" t="n">
        <f>62997</f>
        <v>62997.0</v>
      </c>
      <c r="Z101" s="20" t="n">
        <f>18</f>
        <v>18.0</v>
      </c>
    </row>
    <row r="102">
      <c r="A102" s="12" t="s">
        <v>42</v>
      </c>
      <c r="B102" s="13" t="s">
        <v>613</v>
      </c>
      <c r="C102" s="13" t="s">
        <v>614</v>
      </c>
      <c r="D102" s="13" t="s">
        <v>103</v>
      </c>
      <c r="E102" s="14" t="s">
        <v>135</v>
      </c>
      <c r="F102" s="14" t="s">
        <v>105</v>
      </c>
      <c r="G102" s="15"/>
      <c r="H102" s="16" t="s">
        <v>208</v>
      </c>
      <c r="I102" s="15"/>
      <c r="J102" s="16" t="s">
        <v>208</v>
      </c>
      <c r="K102" s="15"/>
      <c r="L102" s="16"/>
      <c r="M102" s="15"/>
      <c r="N102" s="16" t="s">
        <v>208</v>
      </c>
      <c r="O102" s="15"/>
      <c r="P102" s="16"/>
      <c r="Q102" s="15"/>
      <c r="R102" s="16" t="s">
        <v>208</v>
      </c>
      <c r="S102" s="17" t="n">
        <f>1667.55</f>
        <v>1667.55</v>
      </c>
      <c r="T102" s="18" t="str">
        <f>"－"</f>
        <v>－</v>
      </c>
      <c r="U102" s="18"/>
      <c r="V102" s="18" t="str">
        <f>"－"</f>
        <v>－</v>
      </c>
      <c r="W102" s="18"/>
      <c r="X102" s="15"/>
      <c r="Y102" s="19" t="str">
        <f>"－"</f>
        <v>－</v>
      </c>
      <c r="Z102" s="20" t="str">
        <f>"－"</f>
        <v>－</v>
      </c>
    </row>
    <row r="103">
      <c r="A103" s="12" t="s">
        <v>42</v>
      </c>
      <c r="B103" s="13" t="s">
        <v>613</v>
      </c>
      <c r="C103" s="13" t="s">
        <v>614</v>
      </c>
      <c r="D103" s="13" t="s">
        <v>112</v>
      </c>
      <c r="E103" s="14" t="s">
        <v>230</v>
      </c>
      <c r="F103" s="14" t="s">
        <v>114</v>
      </c>
      <c r="G103" s="15"/>
      <c r="H103" s="16" t="s">
        <v>208</v>
      </c>
      <c r="I103" s="15"/>
      <c r="J103" s="16" t="s">
        <v>208</v>
      </c>
      <c r="K103" s="15"/>
      <c r="L103" s="16"/>
      <c r="M103" s="15"/>
      <c r="N103" s="16" t="s">
        <v>208</v>
      </c>
      <c r="O103" s="15"/>
      <c r="P103" s="16"/>
      <c r="Q103" s="15"/>
      <c r="R103" s="16" t="s">
        <v>208</v>
      </c>
      <c r="S103" s="17" t="n">
        <f>1677.54</f>
        <v>1677.54</v>
      </c>
      <c r="T103" s="18" t="str">
        <f>"－"</f>
        <v>－</v>
      </c>
      <c r="U103" s="18"/>
      <c r="V103" s="18" t="str">
        <f>"－"</f>
        <v>－</v>
      </c>
      <c r="W103" s="18"/>
      <c r="X103" s="15"/>
      <c r="Y103" s="19" t="str">
        <f>"－"</f>
        <v>－</v>
      </c>
      <c r="Z103" s="20" t="str">
        <f>"－"</f>
        <v>－</v>
      </c>
    </row>
    <row r="104">
      <c r="A104" s="12" t="s">
        <v>42</v>
      </c>
      <c r="B104" s="13" t="s">
        <v>653</v>
      </c>
      <c r="C104" s="13" t="s">
        <v>654</v>
      </c>
      <c r="D104" s="13" t="s">
        <v>45</v>
      </c>
      <c r="E104" s="14" t="s">
        <v>215</v>
      </c>
      <c r="F104" s="14" t="s">
        <v>47</v>
      </c>
      <c r="G104" s="15"/>
      <c r="H104" s="16" t="s">
        <v>208</v>
      </c>
      <c r="I104" s="15"/>
      <c r="J104" s="16" t="s">
        <v>208</v>
      </c>
      <c r="K104" s="15"/>
      <c r="L104" s="16"/>
      <c r="M104" s="15"/>
      <c r="N104" s="16" t="s">
        <v>208</v>
      </c>
      <c r="O104" s="15"/>
      <c r="P104" s="16"/>
      <c r="Q104" s="15"/>
      <c r="R104" s="16" t="s">
        <v>208</v>
      </c>
      <c r="S104" s="17" t="n">
        <f>1247.03</f>
        <v>1247.03</v>
      </c>
      <c r="T104" s="18" t="str">
        <f>"－"</f>
        <v>－</v>
      </c>
      <c r="U104" s="18"/>
      <c r="V104" s="18" t="str">
        <f>"－"</f>
        <v>－</v>
      </c>
      <c r="W104" s="18"/>
      <c r="X104" s="15" t="s">
        <v>58</v>
      </c>
      <c r="Y104" s="19" t="str">
        <f>"－"</f>
        <v>－</v>
      </c>
      <c r="Z104" s="20" t="str">
        <f>"－"</f>
        <v>－</v>
      </c>
    </row>
    <row r="105">
      <c r="A105" s="12" t="s">
        <v>42</v>
      </c>
      <c r="B105" s="13" t="s">
        <v>653</v>
      </c>
      <c r="C105" s="13" t="s">
        <v>654</v>
      </c>
      <c r="D105" s="13" t="s">
        <v>59</v>
      </c>
      <c r="E105" s="14" t="s">
        <v>71</v>
      </c>
      <c r="F105" s="14" t="s">
        <v>61</v>
      </c>
      <c r="G105" s="15"/>
      <c r="H105" s="16" t="s">
        <v>208</v>
      </c>
      <c r="I105" s="15"/>
      <c r="J105" s="16" t="s">
        <v>208</v>
      </c>
      <c r="K105" s="15"/>
      <c r="L105" s="16"/>
      <c r="M105" s="15"/>
      <c r="N105" s="16" t="s">
        <v>208</v>
      </c>
      <c r="O105" s="15"/>
      <c r="P105" s="16"/>
      <c r="Q105" s="15"/>
      <c r="R105" s="16" t="s">
        <v>208</v>
      </c>
      <c r="S105" s="17" t="n">
        <f>1155.69</f>
        <v>1155.69</v>
      </c>
      <c r="T105" s="18" t="str">
        <f>"－"</f>
        <v>－</v>
      </c>
      <c r="U105" s="18"/>
      <c r="V105" s="18" t="str">
        <f>"－"</f>
        <v>－</v>
      </c>
      <c r="W105" s="18"/>
      <c r="X105" s="15" t="s">
        <v>58</v>
      </c>
      <c r="Y105" s="19" t="str">
        <f>"－"</f>
        <v>－</v>
      </c>
      <c r="Z105" s="20" t="str">
        <f>"－"</f>
        <v>－</v>
      </c>
    </row>
    <row r="106">
      <c r="A106" s="12" t="s">
        <v>42</v>
      </c>
      <c r="B106" s="13" t="s">
        <v>653</v>
      </c>
      <c r="C106" s="13" t="s">
        <v>654</v>
      </c>
      <c r="D106" s="13" t="s">
        <v>70</v>
      </c>
      <c r="E106" s="14" t="s">
        <v>218</v>
      </c>
      <c r="F106" s="14" t="s">
        <v>72</v>
      </c>
      <c r="G106" s="15"/>
      <c r="H106" s="16" t="s">
        <v>208</v>
      </c>
      <c r="I106" s="15"/>
      <c r="J106" s="16" t="s">
        <v>208</v>
      </c>
      <c r="K106" s="15"/>
      <c r="L106" s="16"/>
      <c r="M106" s="15"/>
      <c r="N106" s="16" t="s">
        <v>208</v>
      </c>
      <c r="O106" s="15"/>
      <c r="P106" s="16"/>
      <c r="Q106" s="15"/>
      <c r="R106" s="16" t="s">
        <v>208</v>
      </c>
      <c r="S106" s="17" t="n">
        <f>1171.76</f>
        <v>1171.76</v>
      </c>
      <c r="T106" s="18" t="str">
        <f>"－"</f>
        <v>－</v>
      </c>
      <c r="U106" s="18"/>
      <c r="V106" s="18" t="str">
        <f>"－"</f>
        <v>－</v>
      </c>
      <c r="W106" s="18"/>
      <c r="X106" s="15" t="s">
        <v>58</v>
      </c>
      <c r="Y106" s="19" t="str">
        <f>"－"</f>
        <v>－</v>
      </c>
      <c r="Z106" s="20" t="str">
        <f>"－"</f>
        <v>－</v>
      </c>
    </row>
    <row r="107">
      <c r="A107" s="12" t="s">
        <v>42</v>
      </c>
      <c r="B107" s="13" t="s">
        <v>653</v>
      </c>
      <c r="C107" s="13" t="s">
        <v>654</v>
      </c>
      <c r="D107" s="13" t="s">
        <v>81</v>
      </c>
      <c r="E107" s="14" t="s">
        <v>94</v>
      </c>
      <c r="F107" s="14" t="s">
        <v>83</v>
      </c>
      <c r="G107" s="15"/>
      <c r="H107" s="16" t="s">
        <v>208</v>
      </c>
      <c r="I107" s="15"/>
      <c r="J107" s="16" t="s">
        <v>208</v>
      </c>
      <c r="K107" s="15"/>
      <c r="L107" s="16"/>
      <c r="M107" s="15"/>
      <c r="N107" s="16" t="s">
        <v>208</v>
      </c>
      <c r="O107" s="15"/>
      <c r="P107" s="16"/>
      <c r="Q107" s="15"/>
      <c r="R107" s="16" t="s">
        <v>208</v>
      </c>
      <c r="S107" s="17" t="n">
        <f>1190.49</f>
        <v>1190.49</v>
      </c>
      <c r="T107" s="18" t="str">
        <f>"－"</f>
        <v>－</v>
      </c>
      <c r="U107" s="18"/>
      <c r="V107" s="18" t="str">
        <f>"－"</f>
        <v>－</v>
      </c>
      <c r="W107" s="18"/>
      <c r="X107" s="15" t="s">
        <v>58</v>
      </c>
      <c r="Y107" s="19" t="str">
        <f>"－"</f>
        <v>－</v>
      </c>
      <c r="Z107" s="20" t="str">
        <f>"－"</f>
        <v>－</v>
      </c>
    </row>
    <row r="108">
      <c r="A108" s="12" t="s">
        <v>42</v>
      </c>
      <c r="B108" s="13" t="s">
        <v>653</v>
      </c>
      <c r="C108" s="13" t="s">
        <v>654</v>
      </c>
      <c r="D108" s="13" t="s">
        <v>93</v>
      </c>
      <c r="E108" s="14" t="s">
        <v>224</v>
      </c>
      <c r="F108" s="14" t="s">
        <v>95</v>
      </c>
      <c r="G108" s="15"/>
      <c r="H108" s="16" t="s">
        <v>208</v>
      </c>
      <c r="I108" s="15"/>
      <c r="J108" s="16" t="s">
        <v>208</v>
      </c>
      <c r="K108" s="15"/>
      <c r="L108" s="16"/>
      <c r="M108" s="15"/>
      <c r="N108" s="16" t="s">
        <v>208</v>
      </c>
      <c r="O108" s="15"/>
      <c r="P108" s="16"/>
      <c r="Q108" s="15"/>
      <c r="R108" s="16" t="s">
        <v>208</v>
      </c>
      <c r="S108" s="17" t="n">
        <f>1198.43</f>
        <v>1198.43</v>
      </c>
      <c r="T108" s="18" t="str">
        <f>"－"</f>
        <v>－</v>
      </c>
      <c r="U108" s="18"/>
      <c r="V108" s="18" t="str">
        <f>"－"</f>
        <v>－</v>
      </c>
      <c r="W108" s="18"/>
      <c r="X108" s="15"/>
      <c r="Y108" s="19" t="str">
        <f>"－"</f>
        <v>－</v>
      </c>
      <c r="Z108" s="20" t="str">
        <f>"－"</f>
        <v>－</v>
      </c>
    </row>
    <row r="109">
      <c r="A109" s="12" t="s">
        <v>42</v>
      </c>
      <c r="B109" s="13" t="s">
        <v>653</v>
      </c>
      <c r="C109" s="13" t="s">
        <v>654</v>
      </c>
      <c r="D109" s="13" t="s">
        <v>103</v>
      </c>
      <c r="E109" s="14" t="s">
        <v>113</v>
      </c>
      <c r="F109" s="14" t="s">
        <v>105</v>
      </c>
      <c r="G109" s="15"/>
      <c r="H109" s="16" t="s">
        <v>208</v>
      </c>
      <c r="I109" s="15"/>
      <c r="J109" s="16" t="s">
        <v>208</v>
      </c>
      <c r="K109" s="15"/>
      <c r="L109" s="16"/>
      <c r="M109" s="15"/>
      <c r="N109" s="16" t="s">
        <v>208</v>
      </c>
      <c r="O109" s="15"/>
      <c r="P109" s="16"/>
      <c r="Q109" s="15"/>
      <c r="R109" s="16" t="s">
        <v>208</v>
      </c>
      <c r="S109" s="17" t="n">
        <f>1181.43</f>
        <v>1181.43</v>
      </c>
      <c r="T109" s="18" t="str">
        <f>"－"</f>
        <v>－</v>
      </c>
      <c r="U109" s="18"/>
      <c r="V109" s="18" t="str">
        <f>"－"</f>
        <v>－</v>
      </c>
      <c r="W109" s="18"/>
      <c r="X109" s="15"/>
      <c r="Y109" s="19" t="str">
        <f>"－"</f>
        <v>－</v>
      </c>
      <c r="Z109" s="20" t="str">
        <f>"－"</f>
        <v>－</v>
      </c>
    </row>
    <row r="110">
      <c r="A110" s="12" t="s">
        <v>42</v>
      </c>
      <c r="B110" s="13" t="s">
        <v>653</v>
      </c>
      <c r="C110" s="13" t="s">
        <v>654</v>
      </c>
      <c r="D110" s="13" t="s">
        <v>112</v>
      </c>
      <c r="E110" s="14" t="s">
        <v>227</v>
      </c>
      <c r="F110" s="14" t="s">
        <v>114</v>
      </c>
      <c r="G110" s="15"/>
      <c r="H110" s="16" t="s">
        <v>208</v>
      </c>
      <c r="I110" s="15"/>
      <c r="J110" s="16" t="s">
        <v>208</v>
      </c>
      <c r="K110" s="15"/>
      <c r="L110" s="16"/>
      <c r="M110" s="15"/>
      <c r="N110" s="16" t="s">
        <v>208</v>
      </c>
      <c r="O110" s="15"/>
      <c r="P110" s="16"/>
      <c r="Q110" s="15"/>
      <c r="R110" s="16" t="s">
        <v>208</v>
      </c>
      <c r="S110" s="17" t="n">
        <f>1229.68</f>
        <v>1229.68</v>
      </c>
      <c r="T110" s="18" t="str">
        <f>"－"</f>
        <v>－</v>
      </c>
      <c r="U110" s="18"/>
      <c r="V110" s="18" t="str">
        <f>"－"</f>
        <v>－</v>
      </c>
      <c r="W110" s="18"/>
      <c r="X110" s="15"/>
      <c r="Y110" s="19" t="str">
        <f>"－"</f>
        <v>－</v>
      </c>
      <c r="Z110" s="20" t="str">
        <f>"－"</f>
        <v>－</v>
      </c>
    </row>
    <row r="111">
      <c r="A111" s="12" t="s">
        <v>42</v>
      </c>
      <c r="B111" s="13" t="s">
        <v>653</v>
      </c>
      <c r="C111" s="13" t="s">
        <v>654</v>
      </c>
      <c r="D111" s="13" t="s">
        <v>122</v>
      </c>
      <c r="E111" s="14" t="s">
        <v>135</v>
      </c>
      <c r="F111" s="14" t="s">
        <v>124</v>
      </c>
      <c r="G111" s="15"/>
      <c r="H111" s="16" t="s">
        <v>208</v>
      </c>
      <c r="I111" s="15"/>
      <c r="J111" s="16" t="s">
        <v>208</v>
      </c>
      <c r="K111" s="15"/>
      <c r="L111" s="16"/>
      <c r="M111" s="15"/>
      <c r="N111" s="16" t="s">
        <v>208</v>
      </c>
      <c r="O111" s="15"/>
      <c r="P111" s="16"/>
      <c r="Q111" s="15"/>
      <c r="R111" s="16" t="s">
        <v>208</v>
      </c>
      <c r="S111" s="17" t="n">
        <f>1263.99</f>
        <v>1263.99</v>
      </c>
      <c r="T111" s="18" t="str">
        <f>"－"</f>
        <v>－</v>
      </c>
      <c r="U111" s="18"/>
      <c r="V111" s="18" t="str">
        <f>"－"</f>
        <v>－</v>
      </c>
      <c r="W111" s="18"/>
      <c r="X111" s="15"/>
      <c r="Y111" s="19" t="str">
        <f>"－"</f>
        <v>－</v>
      </c>
      <c r="Z111" s="20" t="str">
        <f>"－"</f>
        <v>－</v>
      </c>
    </row>
    <row r="112">
      <c r="A112" s="12" t="s">
        <v>42</v>
      </c>
      <c r="B112" s="13" t="s">
        <v>653</v>
      </c>
      <c r="C112" s="13" t="s">
        <v>654</v>
      </c>
      <c r="D112" s="13" t="s">
        <v>134</v>
      </c>
      <c r="E112" s="14" t="s">
        <v>230</v>
      </c>
      <c r="F112" s="14" t="s">
        <v>136</v>
      </c>
      <c r="G112" s="15"/>
      <c r="H112" s="16" t="s">
        <v>208</v>
      </c>
      <c r="I112" s="15"/>
      <c r="J112" s="16" t="s">
        <v>208</v>
      </c>
      <c r="K112" s="15"/>
      <c r="L112" s="16"/>
      <c r="M112" s="15"/>
      <c r="N112" s="16" t="s">
        <v>208</v>
      </c>
      <c r="O112" s="15"/>
      <c r="P112" s="16"/>
      <c r="Q112" s="15"/>
      <c r="R112" s="16" t="s">
        <v>208</v>
      </c>
      <c r="S112" s="17" t="n">
        <f>1334.5</f>
        <v>1334.5</v>
      </c>
      <c r="T112" s="18" t="str">
        <f>"－"</f>
        <v>－</v>
      </c>
      <c r="U112" s="18"/>
      <c r="V112" s="18" t="str">
        <f>"－"</f>
        <v>－</v>
      </c>
      <c r="W112" s="18"/>
      <c r="X112" s="15"/>
      <c r="Y112" s="19" t="str">
        <f>"－"</f>
        <v>－</v>
      </c>
      <c r="Z112" s="20" t="str">
        <f>"－"</f>
        <v>－</v>
      </c>
    </row>
    <row r="113">
      <c r="A113" s="12" t="s">
        <v>42</v>
      </c>
      <c r="B113" s="13" t="s">
        <v>655</v>
      </c>
      <c r="C113" s="13" t="s">
        <v>656</v>
      </c>
      <c r="D113" s="13" t="s">
        <v>45</v>
      </c>
      <c r="E113" s="14" t="s">
        <v>215</v>
      </c>
      <c r="F113" s="14" t="s">
        <v>47</v>
      </c>
      <c r="G113" s="15" t="s">
        <v>48</v>
      </c>
      <c r="H113" s="16" t="s">
        <v>657</v>
      </c>
      <c r="I113" s="15" t="s">
        <v>48</v>
      </c>
      <c r="J113" s="16" t="s">
        <v>658</v>
      </c>
      <c r="K113" s="15" t="s">
        <v>125</v>
      </c>
      <c r="L113" s="16" t="s">
        <v>659</v>
      </c>
      <c r="M113" s="15" t="s">
        <v>54</v>
      </c>
      <c r="N113" s="16" t="s">
        <v>660</v>
      </c>
      <c r="O113" s="15" t="s">
        <v>54</v>
      </c>
      <c r="P113" s="16" t="s">
        <v>661</v>
      </c>
      <c r="Q113" s="15" t="s">
        <v>54</v>
      </c>
      <c r="R113" s="16" t="s">
        <v>662</v>
      </c>
      <c r="S113" s="17" t="n">
        <f>815.2</f>
        <v>815.2</v>
      </c>
      <c r="T113" s="18" t="n">
        <f>160013</f>
        <v>160013.0</v>
      </c>
      <c r="U113" s="18" t="n">
        <v>16145.0</v>
      </c>
      <c r="V113" s="18" t="n">
        <f>121512280410</f>
        <v>1.2151228041E11</v>
      </c>
      <c r="W113" s="18" t="n">
        <v>1.126683441E10</v>
      </c>
      <c r="X113" s="15" t="s">
        <v>58</v>
      </c>
      <c r="Y113" s="19" t="n">
        <f>2910</f>
        <v>2910.0</v>
      </c>
      <c r="Z113" s="20" t="n">
        <f>46</f>
        <v>46.0</v>
      </c>
    </row>
    <row r="114">
      <c r="A114" s="12" t="s">
        <v>42</v>
      </c>
      <c r="B114" s="13" t="s">
        <v>655</v>
      </c>
      <c r="C114" s="13" t="s">
        <v>656</v>
      </c>
      <c r="D114" s="13" t="s">
        <v>59</v>
      </c>
      <c r="E114" s="14" t="s">
        <v>71</v>
      </c>
      <c r="F114" s="14" t="s">
        <v>61</v>
      </c>
      <c r="G114" s="15" t="s">
        <v>48</v>
      </c>
      <c r="H114" s="16" t="s">
        <v>663</v>
      </c>
      <c r="I114" s="15" t="s">
        <v>68</v>
      </c>
      <c r="J114" s="16" t="s">
        <v>664</v>
      </c>
      <c r="K114" s="15" t="s">
        <v>68</v>
      </c>
      <c r="L114" s="16" t="s">
        <v>665</v>
      </c>
      <c r="M114" s="15" t="s">
        <v>129</v>
      </c>
      <c r="N114" s="16" t="s">
        <v>666</v>
      </c>
      <c r="O114" s="15" t="s">
        <v>129</v>
      </c>
      <c r="P114" s="16" t="s">
        <v>667</v>
      </c>
      <c r="Q114" s="15" t="s">
        <v>68</v>
      </c>
      <c r="R114" s="16" t="s">
        <v>668</v>
      </c>
      <c r="S114" s="17" t="n">
        <f>794.78</f>
        <v>794.78</v>
      </c>
      <c r="T114" s="18" t="n">
        <f>398715</f>
        <v>398715.0</v>
      </c>
      <c r="U114" s="18" t="n">
        <v>36149.0</v>
      </c>
      <c r="V114" s="18" t="n">
        <f>313979639530</f>
        <v>3.1397963953E11</v>
      </c>
      <c r="W114" s="18" t="n">
        <v>2.924020803E10</v>
      </c>
      <c r="X114" s="15" t="s">
        <v>58</v>
      </c>
      <c r="Y114" s="19" t="n">
        <f>3700</f>
        <v>3700.0</v>
      </c>
      <c r="Z114" s="20" t="n">
        <f>106</f>
        <v>106.0</v>
      </c>
    </row>
    <row r="115">
      <c r="A115" s="12" t="s">
        <v>42</v>
      </c>
      <c r="B115" s="13" t="s">
        <v>655</v>
      </c>
      <c r="C115" s="13" t="s">
        <v>656</v>
      </c>
      <c r="D115" s="13" t="s">
        <v>70</v>
      </c>
      <c r="E115" s="14" t="s">
        <v>218</v>
      </c>
      <c r="F115" s="14" t="s">
        <v>72</v>
      </c>
      <c r="G115" s="15" t="s">
        <v>669</v>
      </c>
      <c r="H115" s="16" t="s">
        <v>670</v>
      </c>
      <c r="I115" s="15" t="s">
        <v>75</v>
      </c>
      <c r="J115" s="16" t="s">
        <v>671</v>
      </c>
      <c r="K115" s="15" t="s">
        <v>75</v>
      </c>
      <c r="L115" s="16" t="s">
        <v>672</v>
      </c>
      <c r="M115" s="15" t="s">
        <v>65</v>
      </c>
      <c r="N115" s="16" t="s">
        <v>673</v>
      </c>
      <c r="O115" s="15" t="s">
        <v>674</v>
      </c>
      <c r="P115" s="16" t="s">
        <v>675</v>
      </c>
      <c r="Q115" s="15" t="s">
        <v>79</v>
      </c>
      <c r="R115" s="16" t="s">
        <v>676</v>
      </c>
      <c r="S115" s="17" t="n">
        <f>887.35</f>
        <v>887.35</v>
      </c>
      <c r="T115" s="18" t="n">
        <f>470900</f>
        <v>470900.0</v>
      </c>
      <c r="U115" s="18" t="n">
        <v>38710.0</v>
      </c>
      <c r="V115" s="18" t="n">
        <f>481136275268</f>
        <v>4.81136275268E11</v>
      </c>
      <c r="W115" s="18" t="n">
        <v>4.0735149768E10</v>
      </c>
      <c r="X115" s="15" t="s">
        <v>58</v>
      </c>
      <c r="Y115" s="19" t="n">
        <f>4917</f>
        <v>4917.0</v>
      </c>
      <c r="Z115" s="20" t="n">
        <f>132</f>
        <v>132.0</v>
      </c>
    </row>
    <row r="116">
      <c r="A116" s="12" t="s">
        <v>42</v>
      </c>
      <c r="B116" s="13" t="s">
        <v>655</v>
      </c>
      <c r="C116" s="13" t="s">
        <v>656</v>
      </c>
      <c r="D116" s="13" t="s">
        <v>81</v>
      </c>
      <c r="E116" s="14" t="s">
        <v>94</v>
      </c>
      <c r="F116" s="14" t="s">
        <v>83</v>
      </c>
      <c r="G116" s="15" t="s">
        <v>677</v>
      </c>
      <c r="H116" s="16" t="s">
        <v>678</v>
      </c>
      <c r="I116" s="15" t="s">
        <v>679</v>
      </c>
      <c r="J116" s="16" t="s">
        <v>680</v>
      </c>
      <c r="K116" s="15" t="s">
        <v>681</v>
      </c>
      <c r="L116" s="16" t="s">
        <v>682</v>
      </c>
      <c r="M116" s="15" t="s">
        <v>677</v>
      </c>
      <c r="N116" s="16" t="s">
        <v>678</v>
      </c>
      <c r="O116" s="15" t="s">
        <v>683</v>
      </c>
      <c r="P116" s="16" t="s">
        <v>684</v>
      </c>
      <c r="Q116" s="15" t="s">
        <v>91</v>
      </c>
      <c r="R116" s="16" t="s">
        <v>685</v>
      </c>
      <c r="S116" s="17" t="n">
        <f>978.52</f>
        <v>978.52</v>
      </c>
      <c r="T116" s="18" t="n">
        <f>520433</f>
        <v>520433.0</v>
      </c>
      <c r="U116" s="18" t="n">
        <v>50327.0</v>
      </c>
      <c r="V116" s="18" t="n">
        <f>625689921110</f>
        <v>6.2568992111E11</v>
      </c>
      <c r="W116" s="18" t="n">
        <v>5.918404211E10</v>
      </c>
      <c r="X116" s="15" t="s">
        <v>58</v>
      </c>
      <c r="Y116" s="19" t="n">
        <f>12476</f>
        <v>12476.0</v>
      </c>
      <c r="Z116" s="20" t="n">
        <f>135</f>
        <v>135.0</v>
      </c>
    </row>
    <row r="117">
      <c r="A117" s="12" t="s">
        <v>42</v>
      </c>
      <c r="B117" s="13" t="s">
        <v>655</v>
      </c>
      <c r="C117" s="13" t="s">
        <v>656</v>
      </c>
      <c r="D117" s="13" t="s">
        <v>93</v>
      </c>
      <c r="E117" s="14" t="s">
        <v>224</v>
      </c>
      <c r="F117" s="14" t="s">
        <v>95</v>
      </c>
      <c r="G117" s="15" t="s">
        <v>48</v>
      </c>
      <c r="H117" s="16" t="s">
        <v>686</v>
      </c>
      <c r="I117" s="15" t="s">
        <v>681</v>
      </c>
      <c r="J117" s="16" t="s">
        <v>687</v>
      </c>
      <c r="K117" s="15" t="s">
        <v>97</v>
      </c>
      <c r="L117" s="16" t="s">
        <v>688</v>
      </c>
      <c r="M117" s="15" t="s">
        <v>100</v>
      </c>
      <c r="N117" s="16" t="s">
        <v>689</v>
      </c>
      <c r="O117" s="15" t="s">
        <v>430</v>
      </c>
      <c r="P117" s="16" t="s">
        <v>690</v>
      </c>
      <c r="Q117" s="15" t="s">
        <v>97</v>
      </c>
      <c r="R117" s="16" t="s">
        <v>691</v>
      </c>
      <c r="S117" s="17" t="n">
        <f>989.77</f>
        <v>989.77</v>
      </c>
      <c r="T117" s="18" t="n">
        <f>103337</f>
        <v>103337.0</v>
      </c>
      <c r="U117" s="18" t="n">
        <v>17273.0</v>
      </c>
      <c r="V117" s="18" t="n">
        <f>118917701240</f>
        <v>1.1891770124E11</v>
      </c>
      <c r="W117" s="18" t="n">
        <v>1.993907274E10</v>
      </c>
      <c r="X117" s="15"/>
      <c r="Y117" s="19" t="n">
        <f>19659</f>
        <v>19659.0</v>
      </c>
      <c r="Z117" s="20" t="n">
        <f>96</f>
        <v>96.0</v>
      </c>
    </row>
    <row r="118">
      <c r="A118" s="12" t="s">
        <v>42</v>
      </c>
      <c r="B118" s="13" t="s">
        <v>655</v>
      </c>
      <c r="C118" s="13" t="s">
        <v>656</v>
      </c>
      <c r="D118" s="13" t="s">
        <v>103</v>
      </c>
      <c r="E118" s="14" t="s">
        <v>113</v>
      </c>
      <c r="F118" s="14" t="s">
        <v>105</v>
      </c>
      <c r="G118" s="15" t="s">
        <v>163</v>
      </c>
      <c r="H118" s="16" t="s">
        <v>692</v>
      </c>
      <c r="I118" s="15" t="s">
        <v>693</v>
      </c>
      <c r="J118" s="16" t="s">
        <v>694</v>
      </c>
      <c r="K118" s="15"/>
      <c r="L118" s="16"/>
      <c r="M118" s="15" t="s">
        <v>163</v>
      </c>
      <c r="N118" s="16" t="s">
        <v>692</v>
      </c>
      <c r="O118" s="15"/>
      <c r="P118" s="16"/>
      <c r="Q118" s="15" t="s">
        <v>97</v>
      </c>
      <c r="R118" s="16" t="s">
        <v>695</v>
      </c>
      <c r="S118" s="17" t="n">
        <f>1030.71</f>
        <v>1030.71</v>
      </c>
      <c r="T118" s="18" t="n">
        <f>167</f>
        <v>167.0</v>
      </c>
      <c r="U118" s="18"/>
      <c r="V118" s="18" t="n">
        <f>190304000</f>
        <v>1.90304E8</v>
      </c>
      <c r="W118" s="18"/>
      <c r="X118" s="15"/>
      <c r="Y118" s="19" t="n">
        <f>69</f>
        <v>69.0</v>
      </c>
      <c r="Z118" s="20" t="n">
        <f>24</f>
        <v>24.0</v>
      </c>
    </row>
    <row r="119">
      <c r="A119" s="12" t="s">
        <v>42</v>
      </c>
      <c r="B119" s="13" t="s">
        <v>655</v>
      </c>
      <c r="C119" s="13" t="s">
        <v>656</v>
      </c>
      <c r="D119" s="13" t="s">
        <v>112</v>
      </c>
      <c r="E119" s="14" t="s">
        <v>227</v>
      </c>
      <c r="F119" s="14" t="s">
        <v>114</v>
      </c>
      <c r="G119" s="15" t="s">
        <v>696</v>
      </c>
      <c r="H119" s="16" t="s">
        <v>697</v>
      </c>
      <c r="I119" s="15" t="s">
        <v>696</v>
      </c>
      <c r="J119" s="16" t="s">
        <v>697</v>
      </c>
      <c r="K119" s="15"/>
      <c r="L119" s="16"/>
      <c r="M119" s="15" t="s">
        <v>696</v>
      </c>
      <c r="N119" s="16" t="s">
        <v>697</v>
      </c>
      <c r="O119" s="15"/>
      <c r="P119" s="16"/>
      <c r="Q119" s="15" t="s">
        <v>696</v>
      </c>
      <c r="R119" s="16" t="s">
        <v>697</v>
      </c>
      <c r="S119" s="17" t="n">
        <f>1141.56</f>
        <v>1141.56</v>
      </c>
      <c r="T119" s="18" t="n">
        <f>1</f>
        <v>1.0</v>
      </c>
      <c r="U119" s="18"/>
      <c r="V119" s="18" t="n">
        <f>1158000</f>
        <v>1158000.0</v>
      </c>
      <c r="W119" s="18"/>
      <c r="X119" s="15"/>
      <c r="Y119" s="19" t="n">
        <f>1</f>
        <v>1.0</v>
      </c>
      <c r="Z119" s="20" t="n">
        <f>1</f>
        <v>1.0</v>
      </c>
    </row>
    <row r="120">
      <c r="A120" s="12" t="s">
        <v>42</v>
      </c>
      <c r="B120" s="13" t="s">
        <v>655</v>
      </c>
      <c r="C120" s="13" t="s">
        <v>656</v>
      </c>
      <c r="D120" s="13" t="s">
        <v>122</v>
      </c>
      <c r="E120" s="14" t="s">
        <v>135</v>
      </c>
      <c r="F120" s="14" t="s">
        <v>124</v>
      </c>
      <c r="G120" s="15" t="s">
        <v>120</v>
      </c>
      <c r="H120" s="16" t="s">
        <v>694</v>
      </c>
      <c r="I120" s="15" t="s">
        <v>120</v>
      </c>
      <c r="J120" s="16" t="s">
        <v>694</v>
      </c>
      <c r="K120" s="15"/>
      <c r="L120" s="16"/>
      <c r="M120" s="15" t="s">
        <v>120</v>
      </c>
      <c r="N120" s="16" t="s">
        <v>694</v>
      </c>
      <c r="O120" s="15"/>
      <c r="P120" s="16"/>
      <c r="Q120" s="15" t="s">
        <v>120</v>
      </c>
      <c r="R120" s="16" t="s">
        <v>694</v>
      </c>
      <c r="S120" s="17" t="n">
        <f>1220.88</f>
        <v>1220.88</v>
      </c>
      <c r="T120" s="18" t="n">
        <f>1</f>
        <v>1.0</v>
      </c>
      <c r="U120" s="18"/>
      <c r="V120" s="18" t="n">
        <f>1240000</f>
        <v>1240000.0</v>
      </c>
      <c r="W120" s="18"/>
      <c r="X120" s="15"/>
      <c r="Y120" s="19" t="n">
        <f>1</f>
        <v>1.0</v>
      </c>
      <c r="Z120" s="20" t="n">
        <f>1</f>
        <v>1.0</v>
      </c>
    </row>
    <row r="121">
      <c r="A121" s="12" t="s">
        <v>42</v>
      </c>
      <c r="B121" s="13" t="s">
        <v>655</v>
      </c>
      <c r="C121" s="13" t="s">
        <v>656</v>
      </c>
      <c r="D121" s="13" t="s">
        <v>134</v>
      </c>
      <c r="E121" s="14" t="s">
        <v>230</v>
      </c>
      <c r="F121" s="14" t="s">
        <v>136</v>
      </c>
      <c r="G121" s="15"/>
      <c r="H121" s="16" t="s">
        <v>208</v>
      </c>
      <c r="I121" s="15"/>
      <c r="J121" s="16" t="s">
        <v>208</v>
      </c>
      <c r="K121" s="15"/>
      <c r="L121" s="16"/>
      <c r="M121" s="15"/>
      <c r="N121" s="16" t="s">
        <v>208</v>
      </c>
      <c r="O121" s="15"/>
      <c r="P121" s="16"/>
      <c r="Q121" s="15"/>
      <c r="R121" s="16" t="s">
        <v>208</v>
      </c>
      <c r="S121" s="17" t="n">
        <f>1173.5</f>
        <v>1173.5</v>
      </c>
      <c r="T121" s="18" t="str">
        <f>"－"</f>
        <v>－</v>
      </c>
      <c r="U121" s="18"/>
      <c r="V121" s="18" t="str">
        <f>"－"</f>
        <v>－</v>
      </c>
      <c r="W121" s="18"/>
      <c r="X121" s="15"/>
      <c r="Y121" s="19" t="str">
        <f>"－"</f>
        <v>－</v>
      </c>
      <c r="Z121" s="20" t="str">
        <f>"－"</f>
        <v>－</v>
      </c>
    </row>
    <row r="122">
      <c r="A122" s="12" t="s">
        <v>42</v>
      </c>
      <c r="B122" s="13" t="s">
        <v>698</v>
      </c>
      <c r="C122" s="13" t="s">
        <v>699</v>
      </c>
      <c r="D122" s="13" t="s">
        <v>45</v>
      </c>
      <c r="E122" s="14" t="s">
        <v>700</v>
      </c>
      <c r="F122" s="14" t="s">
        <v>701</v>
      </c>
      <c r="G122" s="15" t="s">
        <v>48</v>
      </c>
      <c r="H122" s="16" t="s">
        <v>702</v>
      </c>
      <c r="I122" s="15" t="s">
        <v>254</v>
      </c>
      <c r="J122" s="16" t="s">
        <v>703</v>
      </c>
      <c r="K122" s="15" t="s">
        <v>254</v>
      </c>
      <c r="L122" s="16" t="s">
        <v>704</v>
      </c>
      <c r="M122" s="15" t="s">
        <v>89</v>
      </c>
      <c r="N122" s="16" t="s">
        <v>705</v>
      </c>
      <c r="O122" s="15" t="s">
        <v>89</v>
      </c>
      <c r="P122" s="16" t="s">
        <v>706</v>
      </c>
      <c r="Q122" s="15" t="s">
        <v>89</v>
      </c>
      <c r="R122" s="16" t="s">
        <v>707</v>
      </c>
      <c r="S122" s="17" t="n">
        <f>27319.67</f>
        <v>27319.67</v>
      </c>
      <c r="T122" s="18" t="n">
        <f>138971</f>
        <v>138971.0</v>
      </c>
      <c r="U122" s="18" t="n">
        <v>18324.0</v>
      </c>
      <c r="V122" s="18" t="n">
        <f>367620307300</f>
        <v>3.676203073E11</v>
      </c>
      <c r="W122" s="18" t="n">
        <v>4.72607786E10</v>
      </c>
      <c r="X122" s="15" t="s">
        <v>58</v>
      </c>
      <c r="Y122" s="19" t="n">
        <f>2838</f>
        <v>2838.0</v>
      </c>
      <c r="Z122" s="20" t="n">
        <f>51</f>
        <v>51.0</v>
      </c>
    </row>
    <row r="123">
      <c r="A123" s="12" t="s">
        <v>42</v>
      </c>
      <c r="B123" s="13" t="s">
        <v>698</v>
      </c>
      <c r="C123" s="13" t="s">
        <v>699</v>
      </c>
      <c r="D123" s="13" t="s">
        <v>59</v>
      </c>
      <c r="E123" s="14" t="s">
        <v>708</v>
      </c>
      <c r="F123" s="14" t="s">
        <v>709</v>
      </c>
      <c r="G123" s="15" t="s">
        <v>125</v>
      </c>
      <c r="H123" s="16" t="s">
        <v>710</v>
      </c>
      <c r="I123" s="15" t="s">
        <v>287</v>
      </c>
      <c r="J123" s="16" t="s">
        <v>711</v>
      </c>
      <c r="K123" s="15" t="s">
        <v>566</v>
      </c>
      <c r="L123" s="16" t="s">
        <v>712</v>
      </c>
      <c r="M123" s="15" t="s">
        <v>151</v>
      </c>
      <c r="N123" s="16" t="s">
        <v>713</v>
      </c>
      <c r="O123" s="15" t="s">
        <v>151</v>
      </c>
      <c r="P123" s="16" t="s">
        <v>714</v>
      </c>
      <c r="Q123" s="15" t="s">
        <v>715</v>
      </c>
      <c r="R123" s="16" t="s">
        <v>716</v>
      </c>
      <c r="S123" s="17" t="n">
        <f>25375.14</f>
        <v>25375.14</v>
      </c>
      <c r="T123" s="18" t="n">
        <f>87047</f>
        <v>87047.0</v>
      </c>
      <c r="U123" s="18" t="n">
        <v>11423.0</v>
      </c>
      <c r="V123" s="18" t="n">
        <f>210787992900</f>
        <v>2.107879929E11</v>
      </c>
      <c r="W123" s="18" t="n">
        <v>2.62038291E10</v>
      </c>
      <c r="X123" s="15" t="s">
        <v>58</v>
      </c>
      <c r="Y123" s="19" t="n">
        <f>644</f>
        <v>644.0</v>
      </c>
      <c r="Z123" s="20" t="n">
        <f>110</f>
        <v>110.0</v>
      </c>
    </row>
    <row r="124">
      <c r="A124" s="12" t="s">
        <v>42</v>
      </c>
      <c r="B124" s="13" t="s">
        <v>698</v>
      </c>
      <c r="C124" s="13" t="s">
        <v>699</v>
      </c>
      <c r="D124" s="13" t="s">
        <v>70</v>
      </c>
      <c r="E124" s="14" t="s">
        <v>717</v>
      </c>
      <c r="F124" s="14" t="s">
        <v>718</v>
      </c>
      <c r="G124" s="15" t="s">
        <v>442</v>
      </c>
      <c r="H124" s="16" t="s">
        <v>719</v>
      </c>
      <c r="I124" s="15" t="s">
        <v>632</v>
      </c>
      <c r="J124" s="16" t="s">
        <v>720</v>
      </c>
      <c r="K124" s="15" t="s">
        <v>632</v>
      </c>
      <c r="L124" s="16" t="s">
        <v>721</v>
      </c>
      <c r="M124" s="15" t="s">
        <v>151</v>
      </c>
      <c r="N124" s="16" t="s">
        <v>722</v>
      </c>
      <c r="O124" s="15" t="s">
        <v>723</v>
      </c>
      <c r="P124" s="16" t="s">
        <v>724</v>
      </c>
      <c r="Q124" s="15" t="s">
        <v>137</v>
      </c>
      <c r="R124" s="16" t="s">
        <v>725</v>
      </c>
      <c r="S124" s="17" t="n">
        <f>25840.39</f>
        <v>25840.39</v>
      </c>
      <c r="T124" s="18" t="n">
        <f>73199</f>
        <v>73199.0</v>
      </c>
      <c r="U124" s="18" t="n">
        <v>5161.0</v>
      </c>
      <c r="V124" s="18" t="n">
        <f>198326425580</f>
        <v>1.9832642558E11</v>
      </c>
      <c r="W124" s="18" t="n">
        <v>1.402031668E10</v>
      </c>
      <c r="X124" s="15" t="s">
        <v>58</v>
      </c>
      <c r="Y124" s="19" t="n">
        <f>855</f>
        <v>855.0</v>
      </c>
      <c r="Z124" s="20" t="n">
        <f>125</f>
        <v>125.0</v>
      </c>
    </row>
    <row r="125">
      <c r="A125" s="12" t="s">
        <v>42</v>
      </c>
      <c r="B125" s="13" t="s">
        <v>698</v>
      </c>
      <c r="C125" s="13" t="s">
        <v>699</v>
      </c>
      <c r="D125" s="13" t="s">
        <v>81</v>
      </c>
      <c r="E125" s="14" t="s">
        <v>726</v>
      </c>
      <c r="F125" s="14" t="s">
        <v>727</v>
      </c>
      <c r="G125" s="15" t="s">
        <v>238</v>
      </c>
      <c r="H125" s="16" t="s">
        <v>728</v>
      </c>
      <c r="I125" s="15" t="s">
        <v>146</v>
      </c>
      <c r="J125" s="16" t="s">
        <v>729</v>
      </c>
      <c r="K125" s="15" t="s">
        <v>146</v>
      </c>
      <c r="L125" s="16" t="s">
        <v>730</v>
      </c>
      <c r="M125" s="15" t="s">
        <v>89</v>
      </c>
      <c r="N125" s="16" t="s">
        <v>731</v>
      </c>
      <c r="O125" s="15" t="s">
        <v>361</v>
      </c>
      <c r="P125" s="16" t="s">
        <v>732</v>
      </c>
      <c r="Q125" s="15" t="s">
        <v>146</v>
      </c>
      <c r="R125" s="16" t="s">
        <v>733</v>
      </c>
      <c r="S125" s="17" t="n">
        <f>26476.02</f>
        <v>26476.02</v>
      </c>
      <c r="T125" s="18" t="n">
        <f>79045</f>
        <v>79045.0</v>
      </c>
      <c r="U125" s="18" t="n">
        <v>6583.0</v>
      </c>
      <c r="V125" s="18" t="n">
        <f>224487050200</f>
        <v>2.244870502E11</v>
      </c>
      <c r="W125" s="18" t="n">
        <v>1.8959714E10</v>
      </c>
      <c r="X125" s="15" t="s">
        <v>58</v>
      </c>
      <c r="Y125" s="19" t="n">
        <f>745</f>
        <v>745.0</v>
      </c>
      <c r="Z125" s="20" t="n">
        <f>123</f>
        <v>123.0</v>
      </c>
    </row>
    <row r="126">
      <c r="A126" s="12" t="s">
        <v>42</v>
      </c>
      <c r="B126" s="13" t="s">
        <v>698</v>
      </c>
      <c r="C126" s="13" t="s">
        <v>699</v>
      </c>
      <c r="D126" s="13" t="s">
        <v>93</v>
      </c>
      <c r="E126" s="14" t="s">
        <v>734</v>
      </c>
      <c r="F126" s="14" t="s">
        <v>735</v>
      </c>
      <c r="G126" s="15" t="s">
        <v>736</v>
      </c>
      <c r="H126" s="16" t="s">
        <v>737</v>
      </c>
      <c r="I126" s="15" t="s">
        <v>97</v>
      </c>
      <c r="J126" s="16" t="s">
        <v>738</v>
      </c>
      <c r="K126" s="15" t="s">
        <v>188</v>
      </c>
      <c r="L126" s="16" t="s">
        <v>739</v>
      </c>
      <c r="M126" s="15" t="s">
        <v>736</v>
      </c>
      <c r="N126" s="16" t="s">
        <v>737</v>
      </c>
      <c r="O126" s="15" t="s">
        <v>430</v>
      </c>
      <c r="P126" s="16" t="s">
        <v>740</v>
      </c>
      <c r="Q126" s="15" t="s">
        <v>97</v>
      </c>
      <c r="R126" s="16" t="s">
        <v>741</v>
      </c>
      <c r="S126" s="17" t="n">
        <f>26460.37</f>
        <v>26460.37</v>
      </c>
      <c r="T126" s="18" t="n">
        <f>10199</f>
        <v>10199.0</v>
      </c>
      <c r="U126" s="18" t="n">
        <v>4414.0</v>
      </c>
      <c r="V126" s="18" t="n">
        <f>30712122800</f>
        <v>3.07121228E10</v>
      </c>
      <c r="W126" s="18" t="n">
        <v>1.33657398E10</v>
      </c>
      <c r="X126" s="15"/>
      <c r="Y126" s="19" t="n">
        <f>924</f>
        <v>924.0</v>
      </c>
      <c r="Z126" s="20" t="n">
        <f>54</f>
        <v>54.0</v>
      </c>
    </row>
    <row r="127">
      <c r="A127" s="12" t="s">
        <v>42</v>
      </c>
      <c r="B127" s="13" t="s">
        <v>698</v>
      </c>
      <c r="C127" s="13" t="s">
        <v>699</v>
      </c>
      <c r="D127" s="13" t="s">
        <v>103</v>
      </c>
      <c r="E127" s="14" t="s">
        <v>742</v>
      </c>
      <c r="F127" s="14" t="s">
        <v>743</v>
      </c>
      <c r="G127" s="15" t="s">
        <v>153</v>
      </c>
      <c r="H127" s="16" t="s">
        <v>744</v>
      </c>
      <c r="I127" s="15" t="s">
        <v>153</v>
      </c>
      <c r="J127" s="16" t="s">
        <v>744</v>
      </c>
      <c r="K127" s="15"/>
      <c r="L127" s="16"/>
      <c r="M127" s="15" t="s">
        <v>153</v>
      </c>
      <c r="N127" s="16" t="s">
        <v>744</v>
      </c>
      <c r="O127" s="15"/>
      <c r="P127" s="16"/>
      <c r="Q127" s="15" t="s">
        <v>153</v>
      </c>
      <c r="R127" s="16" t="s">
        <v>744</v>
      </c>
      <c r="S127" s="17" t="n">
        <f>27984.77</f>
        <v>27984.77</v>
      </c>
      <c r="T127" s="18" t="n">
        <f>1</f>
        <v>1.0</v>
      </c>
      <c r="U127" s="18"/>
      <c r="V127" s="18" t="n">
        <f>3000000</f>
        <v>3000000.0</v>
      </c>
      <c r="W127" s="18"/>
      <c r="X127" s="15"/>
      <c r="Y127" s="19" t="n">
        <f>1</f>
        <v>1.0</v>
      </c>
      <c r="Z127" s="20" t="n">
        <f>1</f>
        <v>1.0</v>
      </c>
    </row>
    <row r="128">
      <c r="A128" s="12" t="s">
        <v>42</v>
      </c>
      <c r="B128" s="13" t="s">
        <v>698</v>
      </c>
      <c r="C128" s="13" t="s">
        <v>699</v>
      </c>
      <c r="D128" s="13" t="s">
        <v>112</v>
      </c>
      <c r="E128" s="14" t="s">
        <v>745</v>
      </c>
      <c r="F128" s="14" t="s">
        <v>746</v>
      </c>
      <c r="G128" s="15" t="s">
        <v>747</v>
      </c>
      <c r="H128" s="16" t="s">
        <v>748</v>
      </c>
      <c r="I128" s="15" t="s">
        <v>749</v>
      </c>
      <c r="J128" s="16" t="s">
        <v>750</v>
      </c>
      <c r="K128" s="15"/>
      <c r="L128" s="16"/>
      <c r="M128" s="15" t="s">
        <v>747</v>
      </c>
      <c r="N128" s="16" t="s">
        <v>748</v>
      </c>
      <c r="O128" s="15"/>
      <c r="P128" s="16"/>
      <c r="Q128" s="15" t="s">
        <v>749</v>
      </c>
      <c r="R128" s="16" t="s">
        <v>750</v>
      </c>
      <c r="S128" s="17" t="n">
        <f>29027.86</f>
        <v>29027.86</v>
      </c>
      <c r="T128" s="18" t="n">
        <f>2</f>
        <v>2.0</v>
      </c>
      <c r="U128" s="18"/>
      <c r="V128" s="18" t="n">
        <f>5360000</f>
        <v>5360000.0</v>
      </c>
      <c r="W128" s="18"/>
      <c r="X128" s="15"/>
      <c r="Y128" s="19" t="str">
        <f>"－"</f>
        <v>－</v>
      </c>
      <c r="Z128" s="20" t="n">
        <f>2</f>
        <v>2.0</v>
      </c>
    </row>
    <row r="129">
      <c r="A129" s="12" t="s">
        <v>42</v>
      </c>
      <c r="B129" s="13" t="s">
        <v>698</v>
      </c>
      <c r="C129" s="13" t="s">
        <v>699</v>
      </c>
      <c r="D129" s="13" t="s">
        <v>122</v>
      </c>
      <c r="E129" s="14" t="s">
        <v>751</v>
      </c>
      <c r="F129" s="14" t="s">
        <v>752</v>
      </c>
      <c r="G129" s="15"/>
      <c r="H129" s="16" t="s">
        <v>208</v>
      </c>
      <c r="I129" s="15"/>
      <c r="J129" s="16" t="s">
        <v>208</v>
      </c>
      <c r="K129" s="15"/>
      <c r="L129" s="16"/>
      <c r="M129" s="15"/>
      <c r="N129" s="16" t="s">
        <v>208</v>
      </c>
      <c r="O129" s="15"/>
      <c r="P129" s="16"/>
      <c r="Q129" s="15"/>
      <c r="R129" s="16" t="s">
        <v>208</v>
      </c>
      <c r="S129" s="17" t="n">
        <f>30502.25</f>
        <v>30502.25</v>
      </c>
      <c r="T129" s="18" t="str">
        <f>"－"</f>
        <v>－</v>
      </c>
      <c r="U129" s="18"/>
      <c r="V129" s="18" t="str">
        <f>"－"</f>
        <v>－</v>
      </c>
      <c r="W129" s="18"/>
      <c r="X129" s="15"/>
      <c r="Y129" s="19" t="str">
        <f>"－"</f>
        <v>－</v>
      </c>
      <c r="Z129" s="20" t="str">
        <f>"－"</f>
        <v>－</v>
      </c>
    </row>
    <row r="130">
      <c r="A130" s="12" t="s">
        <v>42</v>
      </c>
      <c r="B130" s="13" t="s">
        <v>753</v>
      </c>
      <c r="C130" s="13" t="s">
        <v>754</v>
      </c>
      <c r="D130" s="13" t="s">
        <v>234</v>
      </c>
      <c r="E130" s="14" t="s">
        <v>755</v>
      </c>
      <c r="F130" s="14" t="s">
        <v>756</v>
      </c>
      <c r="G130" s="15" t="s">
        <v>48</v>
      </c>
      <c r="H130" s="16" t="s">
        <v>757</v>
      </c>
      <c r="I130" s="15" t="s">
        <v>48</v>
      </c>
      <c r="J130" s="16" t="s">
        <v>758</v>
      </c>
      <c r="K130" s="15"/>
      <c r="L130" s="16"/>
      <c r="M130" s="15" t="s">
        <v>48</v>
      </c>
      <c r="N130" s="16" t="s">
        <v>757</v>
      </c>
      <c r="O130" s="15"/>
      <c r="P130" s="16"/>
      <c r="Q130" s="15" t="s">
        <v>48</v>
      </c>
      <c r="R130" s="16" t="s">
        <v>758</v>
      </c>
      <c r="S130" s="17" t="n">
        <f>11961.67</f>
        <v>11961.67</v>
      </c>
      <c r="T130" s="18" t="n">
        <f>20</f>
        <v>20.0</v>
      </c>
      <c r="U130" s="18"/>
      <c r="V130" s="18" t="n">
        <f>24028500</f>
        <v>2.40285E7</v>
      </c>
      <c r="W130" s="18"/>
      <c r="X130" s="15" t="s">
        <v>58</v>
      </c>
      <c r="Y130" s="19" t="str">
        <f>"－"</f>
        <v>－</v>
      </c>
      <c r="Z130" s="20" t="n">
        <f>1</f>
        <v>1.0</v>
      </c>
    </row>
    <row r="131">
      <c r="A131" s="12" t="s">
        <v>42</v>
      </c>
      <c r="B131" s="13" t="s">
        <v>753</v>
      </c>
      <c r="C131" s="13" t="s">
        <v>754</v>
      </c>
      <c r="D131" s="13" t="s">
        <v>245</v>
      </c>
      <c r="E131" s="14" t="s">
        <v>759</v>
      </c>
      <c r="F131" s="14" t="s">
        <v>760</v>
      </c>
      <c r="G131" s="15" t="s">
        <v>287</v>
      </c>
      <c r="H131" s="16" t="s">
        <v>761</v>
      </c>
      <c r="I131" s="15" t="s">
        <v>287</v>
      </c>
      <c r="J131" s="16" t="s">
        <v>762</v>
      </c>
      <c r="K131" s="15"/>
      <c r="L131" s="16"/>
      <c r="M131" s="15" t="s">
        <v>669</v>
      </c>
      <c r="N131" s="16" t="s">
        <v>763</v>
      </c>
      <c r="O131" s="15"/>
      <c r="P131" s="16"/>
      <c r="Q131" s="15" t="s">
        <v>669</v>
      </c>
      <c r="R131" s="16" t="s">
        <v>763</v>
      </c>
      <c r="S131" s="17" t="n">
        <f>11857.33</f>
        <v>11857.33</v>
      </c>
      <c r="T131" s="18" t="n">
        <f>15</f>
        <v>15.0</v>
      </c>
      <c r="U131" s="18"/>
      <c r="V131" s="18" t="n">
        <f>17628500</f>
        <v>1.76285E7</v>
      </c>
      <c r="W131" s="18"/>
      <c r="X131" s="15" t="s">
        <v>58</v>
      </c>
      <c r="Y131" s="19" t="str">
        <f>"－"</f>
        <v>－</v>
      </c>
      <c r="Z131" s="20" t="n">
        <f>2</f>
        <v>2.0</v>
      </c>
    </row>
    <row r="132">
      <c r="A132" s="12" t="s">
        <v>42</v>
      </c>
      <c r="B132" s="13" t="s">
        <v>753</v>
      </c>
      <c r="C132" s="13" t="s">
        <v>754</v>
      </c>
      <c r="D132" s="13" t="s">
        <v>45</v>
      </c>
      <c r="E132" s="14" t="s">
        <v>764</v>
      </c>
      <c r="F132" s="14" t="s">
        <v>765</v>
      </c>
      <c r="G132" s="15" t="s">
        <v>766</v>
      </c>
      <c r="H132" s="16" t="s">
        <v>767</v>
      </c>
      <c r="I132" s="15" t="s">
        <v>768</v>
      </c>
      <c r="J132" s="16" t="s">
        <v>769</v>
      </c>
      <c r="K132" s="15"/>
      <c r="L132" s="16"/>
      <c r="M132" s="15" t="s">
        <v>65</v>
      </c>
      <c r="N132" s="16" t="s">
        <v>770</v>
      </c>
      <c r="O132" s="15"/>
      <c r="P132" s="16"/>
      <c r="Q132" s="15" t="s">
        <v>65</v>
      </c>
      <c r="R132" s="16" t="s">
        <v>771</v>
      </c>
      <c r="S132" s="17" t="n">
        <f>11534.06</f>
        <v>11534.06</v>
      </c>
      <c r="T132" s="18" t="n">
        <f>117</f>
        <v>117.0</v>
      </c>
      <c r="U132" s="18"/>
      <c r="V132" s="18" t="n">
        <f>121991300</f>
        <v>1.219913E8</v>
      </c>
      <c r="W132" s="18"/>
      <c r="X132" s="15" t="s">
        <v>58</v>
      </c>
      <c r="Y132" s="19" t="n">
        <f>5</f>
        <v>5.0</v>
      </c>
      <c r="Z132" s="20" t="n">
        <f>8</f>
        <v>8.0</v>
      </c>
    </row>
    <row r="133">
      <c r="A133" s="12" t="s">
        <v>42</v>
      </c>
      <c r="B133" s="13" t="s">
        <v>753</v>
      </c>
      <c r="C133" s="13" t="s">
        <v>754</v>
      </c>
      <c r="D133" s="13" t="s">
        <v>260</v>
      </c>
      <c r="E133" s="14" t="s">
        <v>772</v>
      </c>
      <c r="F133" s="14" t="s">
        <v>773</v>
      </c>
      <c r="G133" s="15" t="s">
        <v>411</v>
      </c>
      <c r="H133" s="16" t="s">
        <v>774</v>
      </c>
      <c r="I133" s="15" t="s">
        <v>775</v>
      </c>
      <c r="J133" s="16" t="s">
        <v>776</v>
      </c>
      <c r="K133" s="15"/>
      <c r="L133" s="16"/>
      <c r="M133" s="15" t="s">
        <v>89</v>
      </c>
      <c r="N133" s="16" t="s">
        <v>777</v>
      </c>
      <c r="O133" s="15"/>
      <c r="P133" s="16"/>
      <c r="Q133" s="15" t="s">
        <v>775</v>
      </c>
      <c r="R133" s="16" t="s">
        <v>776</v>
      </c>
      <c r="S133" s="17" t="n">
        <f>10311.71</f>
        <v>10311.71</v>
      </c>
      <c r="T133" s="18" t="n">
        <f>182</f>
        <v>182.0</v>
      </c>
      <c r="U133" s="18"/>
      <c r="V133" s="18" t="n">
        <f>169094600</f>
        <v>1.690946E8</v>
      </c>
      <c r="W133" s="18"/>
      <c r="X133" s="15" t="s">
        <v>58</v>
      </c>
      <c r="Y133" s="19" t="str">
        <f>"－"</f>
        <v>－</v>
      </c>
      <c r="Z133" s="20" t="n">
        <f>8</f>
        <v>8.0</v>
      </c>
    </row>
    <row r="134">
      <c r="A134" s="12" t="s">
        <v>42</v>
      </c>
      <c r="B134" s="13" t="s">
        <v>753</v>
      </c>
      <c r="C134" s="13" t="s">
        <v>754</v>
      </c>
      <c r="D134" s="13" t="s">
        <v>269</v>
      </c>
      <c r="E134" s="14" t="s">
        <v>778</v>
      </c>
      <c r="F134" s="14" t="s">
        <v>779</v>
      </c>
      <c r="G134" s="15"/>
      <c r="H134" s="16" t="s">
        <v>208</v>
      </c>
      <c r="I134" s="15"/>
      <c r="J134" s="16" t="s">
        <v>208</v>
      </c>
      <c r="K134" s="15"/>
      <c r="L134" s="16"/>
      <c r="M134" s="15"/>
      <c r="N134" s="16" t="s">
        <v>208</v>
      </c>
      <c r="O134" s="15"/>
      <c r="P134" s="16"/>
      <c r="Q134" s="15"/>
      <c r="R134" s="16" t="s">
        <v>208</v>
      </c>
      <c r="S134" s="17" t="n">
        <f>10143.75</f>
        <v>10143.75</v>
      </c>
      <c r="T134" s="18" t="str">
        <f>"－"</f>
        <v>－</v>
      </c>
      <c r="U134" s="18"/>
      <c r="V134" s="18" t="str">
        <f>"－"</f>
        <v>－</v>
      </c>
      <c r="W134" s="18"/>
      <c r="X134" s="15" t="s">
        <v>58</v>
      </c>
      <c r="Y134" s="19" t="str">
        <f>"－"</f>
        <v>－</v>
      </c>
      <c r="Z134" s="20" t="str">
        <f>"－"</f>
        <v>－</v>
      </c>
    </row>
    <row r="135">
      <c r="A135" s="12" t="s">
        <v>42</v>
      </c>
      <c r="B135" s="13" t="s">
        <v>753</v>
      </c>
      <c r="C135" s="13" t="s">
        <v>754</v>
      </c>
      <c r="D135" s="13" t="s">
        <v>59</v>
      </c>
      <c r="E135" s="14" t="s">
        <v>780</v>
      </c>
      <c r="F135" s="14" t="s">
        <v>781</v>
      </c>
      <c r="G135" s="15" t="s">
        <v>782</v>
      </c>
      <c r="H135" s="16" t="s">
        <v>783</v>
      </c>
      <c r="I135" s="15" t="s">
        <v>784</v>
      </c>
      <c r="J135" s="16" t="s">
        <v>785</v>
      </c>
      <c r="K135" s="15"/>
      <c r="L135" s="16"/>
      <c r="M135" s="15" t="s">
        <v>782</v>
      </c>
      <c r="N135" s="16" t="s">
        <v>786</v>
      </c>
      <c r="O135" s="15"/>
      <c r="P135" s="16"/>
      <c r="Q135" s="15" t="s">
        <v>571</v>
      </c>
      <c r="R135" s="16" t="s">
        <v>787</v>
      </c>
      <c r="S135" s="17" t="n">
        <f>10968.52</f>
        <v>10968.52</v>
      </c>
      <c r="T135" s="18" t="n">
        <f>89</f>
        <v>89.0</v>
      </c>
      <c r="U135" s="18"/>
      <c r="V135" s="18" t="n">
        <f>100063700</f>
        <v>1.000637E8</v>
      </c>
      <c r="W135" s="18"/>
      <c r="X135" s="15" t="s">
        <v>58</v>
      </c>
      <c r="Y135" s="19" t="n">
        <f>6</f>
        <v>6.0</v>
      </c>
      <c r="Z135" s="20" t="n">
        <f>8</f>
        <v>8.0</v>
      </c>
    </row>
    <row r="136">
      <c r="A136" s="12" t="s">
        <v>42</v>
      </c>
      <c r="B136" s="13" t="s">
        <v>753</v>
      </c>
      <c r="C136" s="13" t="s">
        <v>754</v>
      </c>
      <c r="D136" s="13" t="s">
        <v>284</v>
      </c>
      <c r="E136" s="14" t="s">
        <v>788</v>
      </c>
      <c r="F136" s="14" t="s">
        <v>789</v>
      </c>
      <c r="G136" s="15" t="s">
        <v>715</v>
      </c>
      <c r="H136" s="16" t="s">
        <v>790</v>
      </c>
      <c r="I136" s="15" t="s">
        <v>329</v>
      </c>
      <c r="J136" s="16" t="s">
        <v>791</v>
      </c>
      <c r="K136" s="15"/>
      <c r="L136" s="16"/>
      <c r="M136" s="15" t="s">
        <v>792</v>
      </c>
      <c r="N136" s="16" t="s">
        <v>793</v>
      </c>
      <c r="O136" s="15"/>
      <c r="P136" s="16"/>
      <c r="Q136" s="15" t="s">
        <v>794</v>
      </c>
      <c r="R136" s="16" t="s">
        <v>795</v>
      </c>
      <c r="S136" s="17" t="n">
        <f>11455.13</f>
        <v>11455.13</v>
      </c>
      <c r="T136" s="18" t="n">
        <f>55</f>
        <v>55.0</v>
      </c>
      <c r="U136" s="18"/>
      <c r="V136" s="18" t="n">
        <f>65139300</f>
        <v>6.51393E7</v>
      </c>
      <c r="W136" s="18"/>
      <c r="X136" s="15" t="s">
        <v>58</v>
      </c>
      <c r="Y136" s="19" t="n">
        <f>5</f>
        <v>5.0</v>
      </c>
      <c r="Z136" s="20" t="n">
        <f>6</f>
        <v>6.0</v>
      </c>
    </row>
    <row r="137">
      <c r="A137" s="12" t="s">
        <v>42</v>
      </c>
      <c r="B137" s="13" t="s">
        <v>753</v>
      </c>
      <c r="C137" s="13" t="s">
        <v>754</v>
      </c>
      <c r="D137" s="13" t="s">
        <v>295</v>
      </c>
      <c r="E137" s="14" t="s">
        <v>796</v>
      </c>
      <c r="F137" s="14" t="s">
        <v>797</v>
      </c>
      <c r="G137" s="15" t="s">
        <v>798</v>
      </c>
      <c r="H137" s="16" t="s">
        <v>799</v>
      </c>
      <c r="I137" s="15" t="s">
        <v>798</v>
      </c>
      <c r="J137" s="16" t="s">
        <v>799</v>
      </c>
      <c r="K137" s="15"/>
      <c r="L137" s="16"/>
      <c r="M137" s="15" t="s">
        <v>798</v>
      </c>
      <c r="N137" s="16" t="s">
        <v>800</v>
      </c>
      <c r="O137" s="15"/>
      <c r="P137" s="16"/>
      <c r="Q137" s="15" t="s">
        <v>798</v>
      </c>
      <c r="R137" s="16" t="s">
        <v>800</v>
      </c>
      <c r="S137" s="17" t="n">
        <f>12133.26</f>
        <v>12133.26</v>
      </c>
      <c r="T137" s="18" t="n">
        <f>30</f>
        <v>30.0</v>
      </c>
      <c r="U137" s="18"/>
      <c r="V137" s="18" t="n">
        <f>37961500</f>
        <v>3.79615E7</v>
      </c>
      <c r="W137" s="18"/>
      <c r="X137" s="15" t="s">
        <v>58</v>
      </c>
      <c r="Y137" s="19" t="str">
        <f>"－"</f>
        <v>－</v>
      </c>
      <c r="Z137" s="20" t="n">
        <f>1</f>
        <v>1.0</v>
      </c>
    </row>
    <row r="138">
      <c r="A138" s="12" t="s">
        <v>42</v>
      </c>
      <c r="B138" s="13" t="s">
        <v>753</v>
      </c>
      <c r="C138" s="13" t="s">
        <v>754</v>
      </c>
      <c r="D138" s="13" t="s">
        <v>70</v>
      </c>
      <c r="E138" s="14" t="s">
        <v>801</v>
      </c>
      <c r="F138" s="14" t="s">
        <v>802</v>
      </c>
      <c r="G138" s="15" t="s">
        <v>204</v>
      </c>
      <c r="H138" s="16" t="s">
        <v>803</v>
      </c>
      <c r="I138" s="15" t="s">
        <v>600</v>
      </c>
      <c r="J138" s="16" t="s">
        <v>804</v>
      </c>
      <c r="K138" s="15"/>
      <c r="L138" s="16"/>
      <c r="M138" s="15" t="s">
        <v>204</v>
      </c>
      <c r="N138" s="16" t="s">
        <v>805</v>
      </c>
      <c r="O138" s="15"/>
      <c r="P138" s="16"/>
      <c r="Q138" s="15" t="s">
        <v>395</v>
      </c>
      <c r="R138" s="16" t="s">
        <v>806</v>
      </c>
      <c r="S138" s="17" t="n">
        <f>11477.89</f>
        <v>11477.89</v>
      </c>
      <c r="T138" s="18" t="n">
        <f>128</f>
        <v>128.0</v>
      </c>
      <c r="U138" s="18"/>
      <c r="V138" s="18" t="n">
        <f>160764000</f>
        <v>1.60764E8</v>
      </c>
      <c r="W138" s="18"/>
      <c r="X138" s="15" t="s">
        <v>58</v>
      </c>
      <c r="Y138" s="19" t="str">
        <f>"－"</f>
        <v>－</v>
      </c>
      <c r="Z138" s="20" t="n">
        <f>10</f>
        <v>10.0</v>
      </c>
    </row>
    <row r="139">
      <c r="A139" s="12" t="s">
        <v>42</v>
      </c>
      <c r="B139" s="13" t="s">
        <v>753</v>
      </c>
      <c r="C139" s="13" t="s">
        <v>754</v>
      </c>
      <c r="D139" s="13" t="s">
        <v>314</v>
      </c>
      <c r="E139" s="14" t="s">
        <v>807</v>
      </c>
      <c r="F139" s="14" t="s">
        <v>808</v>
      </c>
      <c r="G139" s="15" t="s">
        <v>809</v>
      </c>
      <c r="H139" s="16" t="s">
        <v>810</v>
      </c>
      <c r="I139" s="15" t="s">
        <v>811</v>
      </c>
      <c r="J139" s="16" t="s">
        <v>812</v>
      </c>
      <c r="K139" s="15"/>
      <c r="L139" s="16"/>
      <c r="M139" s="15" t="s">
        <v>809</v>
      </c>
      <c r="N139" s="16" t="s">
        <v>813</v>
      </c>
      <c r="O139" s="15"/>
      <c r="P139" s="16"/>
      <c r="Q139" s="15" t="s">
        <v>679</v>
      </c>
      <c r="R139" s="16" t="s">
        <v>814</v>
      </c>
      <c r="S139" s="17" t="n">
        <f>12668.26</f>
        <v>12668.26</v>
      </c>
      <c r="T139" s="18" t="n">
        <f>55</f>
        <v>55.0</v>
      </c>
      <c r="U139" s="18"/>
      <c r="V139" s="18" t="n">
        <f>68847000</f>
        <v>6.8847E7</v>
      </c>
      <c r="W139" s="18"/>
      <c r="X139" s="15" t="s">
        <v>58</v>
      </c>
      <c r="Y139" s="19" t="n">
        <f>5</f>
        <v>5.0</v>
      </c>
      <c r="Z139" s="20" t="n">
        <f>4</f>
        <v>4.0</v>
      </c>
    </row>
    <row r="140">
      <c r="A140" s="12" t="s">
        <v>42</v>
      </c>
      <c r="B140" s="13" t="s">
        <v>753</v>
      </c>
      <c r="C140" s="13" t="s">
        <v>754</v>
      </c>
      <c r="D140" s="13" t="s">
        <v>326</v>
      </c>
      <c r="E140" s="14" t="s">
        <v>815</v>
      </c>
      <c r="F140" s="14" t="s">
        <v>816</v>
      </c>
      <c r="G140" s="15" t="s">
        <v>693</v>
      </c>
      <c r="H140" s="16" t="s">
        <v>817</v>
      </c>
      <c r="I140" s="15" t="s">
        <v>331</v>
      </c>
      <c r="J140" s="16" t="s">
        <v>818</v>
      </c>
      <c r="K140" s="15"/>
      <c r="L140" s="16"/>
      <c r="M140" s="15" t="s">
        <v>693</v>
      </c>
      <c r="N140" s="16" t="s">
        <v>819</v>
      </c>
      <c r="O140" s="15"/>
      <c r="P140" s="16"/>
      <c r="Q140" s="15" t="s">
        <v>331</v>
      </c>
      <c r="R140" s="16" t="s">
        <v>820</v>
      </c>
      <c r="S140" s="17" t="n">
        <f>12801.93</f>
        <v>12801.93</v>
      </c>
      <c r="T140" s="18" t="n">
        <f>20</f>
        <v>20.0</v>
      </c>
      <c r="U140" s="18"/>
      <c r="V140" s="18" t="n">
        <f>25983500</f>
        <v>2.59835E7</v>
      </c>
      <c r="W140" s="18"/>
      <c r="X140" s="15" t="s">
        <v>58</v>
      </c>
      <c r="Y140" s="19" t="str">
        <f>"－"</f>
        <v>－</v>
      </c>
      <c r="Z140" s="20" t="n">
        <f>2</f>
        <v>2.0</v>
      </c>
    </row>
    <row r="141">
      <c r="A141" s="12" t="s">
        <v>42</v>
      </c>
      <c r="B141" s="13" t="s">
        <v>753</v>
      </c>
      <c r="C141" s="13" t="s">
        <v>754</v>
      </c>
      <c r="D141" s="13" t="s">
        <v>81</v>
      </c>
      <c r="E141" s="14" t="s">
        <v>821</v>
      </c>
      <c r="F141" s="14" t="s">
        <v>822</v>
      </c>
      <c r="G141" s="15" t="s">
        <v>548</v>
      </c>
      <c r="H141" s="16" t="s">
        <v>823</v>
      </c>
      <c r="I141" s="15" t="s">
        <v>91</v>
      </c>
      <c r="J141" s="16" t="s">
        <v>824</v>
      </c>
      <c r="K141" s="15"/>
      <c r="L141" s="16"/>
      <c r="M141" s="15" t="s">
        <v>548</v>
      </c>
      <c r="N141" s="16" t="s">
        <v>825</v>
      </c>
      <c r="O141" s="15"/>
      <c r="P141" s="16"/>
      <c r="Q141" s="15" t="s">
        <v>91</v>
      </c>
      <c r="R141" s="16" t="s">
        <v>826</v>
      </c>
      <c r="S141" s="17" t="n">
        <f>11940.1</f>
        <v>11940.1</v>
      </c>
      <c r="T141" s="18" t="n">
        <f>40</f>
        <v>40.0</v>
      </c>
      <c r="U141" s="18"/>
      <c r="V141" s="18" t="n">
        <f>55859500</f>
        <v>5.58595E7</v>
      </c>
      <c r="W141" s="18"/>
      <c r="X141" s="15" t="s">
        <v>58</v>
      </c>
      <c r="Y141" s="19" t="str">
        <f>"－"</f>
        <v>－</v>
      </c>
      <c r="Z141" s="20" t="n">
        <f>4</f>
        <v>4.0</v>
      </c>
    </row>
    <row r="142">
      <c r="A142" s="12" t="s">
        <v>42</v>
      </c>
      <c r="B142" s="13" t="s">
        <v>753</v>
      </c>
      <c r="C142" s="13" t="s">
        <v>754</v>
      </c>
      <c r="D142" s="13" t="s">
        <v>344</v>
      </c>
      <c r="E142" s="14" t="s">
        <v>827</v>
      </c>
      <c r="F142" s="14" t="s">
        <v>828</v>
      </c>
      <c r="G142" s="15" t="s">
        <v>829</v>
      </c>
      <c r="H142" s="16" t="s">
        <v>830</v>
      </c>
      <c r="I142" s="15" t="s">
        <v>430</v>
      </c>
      <c r="J142" s="16" t="s">
        <v>831</v>
      </c>
      <c r="K142" s="15"/>
      <c r="L142" s="16"/>
      <c r="M142" s="15" t="s">
        <v>160</v>
      </c>
      <c r="N142" s="16" t="s">
        <v>832</v>
      </c>
      <c r="O142" s="15"/>
      <c r="P142" s="16"/>
      <c r="Q142" s="15" t="s">
        <v>430</v>
      </c>
      <c r="R142" s="16" t="s">
        <v>831</v>
      </c>
      <c r="S142" s="17" t="n">
        <f>14093.07</f>
        <v>14093.07</v>
      </c>
      <c r="T142" s="18" t="n">
        <f>40</f>
        <v>40.0</v>
      </c>
      <c r="U142" s="18"/>
      <c r="V142" s="18" t="n">
        <f>56704000</f>
        <v>5.6704E7</v>
      </c>
      <c r="W142" s="18"/>
      <c r="X142" s="15"/>
      <c r="Y142" s="19" t="str">
        <f>"－"</f>
        <v>－</v>
      </c>
      <c r="Z142" s="20" t="n">
        <f>3</f>
        <v>3.0</v>
      </c>
    </row>
    <row r="143">
      <c r="A143" s="12" t="s">
        <v>42</v>
      </c>
      <c r="B143" s="13" t="s">
        <v>753</v>
      </c>
      <c r="C143" s="13" t="s">
        <v>754</v>
      </c>
      <c r="D143" s="13" t="s">
        <v>355</v>
      </c>
      <c r="E143" s="14" t="s">
        <v>833</v>
      </c>
      <c r="F143" s="14" t="s">
        <v>834</v>
      </c>
      <c r="G143" s="15"/>
      <c r="H143" s="16" t="s">
        <v>208</v>
      </c>
      <c r="I143" s="15"/>
      <c r="J143" s="16" t="s">
        <v>208</v>
      </c>
      <c r="K143" s="15"/>
      <c r="L143" s="16"/>
      <c r="M143" s="15"/>
      <c r="N143" s="16" t="s">
        <v>208</v>
      </c>
      <c r="O143" s="15"/>
      <c r="P143" s="16"/>
      <c r="Q143" s="15"/>
      <c r="R143" s="16" t="s">
        <v>208</v>
      </c>
      <c r="S143" s="17" t="n">
        <f>14278.91</f>
        <v>14278.91</v>
      </c>
      <c r="T143" s="18" t="str">
        <f>"－"</f>
        <v>－</v>
      </c>
      <c r="U143" s="18"/>
      <c r="V143" s="18" t="str">
        <f>"－"</f>
        <v>－</v>
      </c>
      <c r="W143" s="18"/>
      <c r="X143" s="15"/>
      <c r="Y143" s="19" t="str">
        <f>"－"</f>
        <v>－</v>
      </c>
      <c r="Z143" s="20" t="str">
        <f>"－"</f>
        <v>－</v>
      </c>
    </row>
    <row r="144">
      <c r="A144" s="12" t="s">
        <v>42</v>
      </c>
      <c r="B144" s="13" t="s">
        <v>753</v>
      </c>
      <c r="C144" s="13" t="s">
        <v>754</v>
      </c>
      <c r="D144" s="13" t="s">
        <v>93</v>
      </c>
      <c r="E144" s="14" t="s">
        <v>835</v>
      </c>
      <c r="F144" s="14" t="s">
        <v>836</v>
      </c>
      <c r="G144" s="15"/>
      <c r="H144" s="16" t="s">
        <v>208</v>
      </c>
      <c r="I144" s="15"/>
      <c r="J144" s="16" t="s">
        <v>208</v>
      </c>
      <c r="K144" s="15"/>
      <c r="L144" s="16"/>
      <c r="M144" s="15"/>
      <c r="N144" s="16" t="s">
        <v>208</v>
      </c>
      <c r="O144" s="15"/>
      <c r="P144" s="16"/>
      <c r="Q144" s="15"/>
      <c r="R144" s="16" t="s">
        <v>208</v>
      </c>
      <c r="S144" s="17" t="n">
        <f>12459.87</f>
        <v>12459.87</v>
      </c>
      <c r="T144" s="18" t="str">
        <f>"－"</f>
        <v>－</v>
      </c>
      <c r="U144" s="18"/>
      <c r="V144" s="18" t="str">
        <f>"－"</f>
        <v>－</v>
      </c>
      <c r="W144" s="18"/>
      <c r="X144" s="15"/>
      <c r="Y144" s="19" t="str">
        <f>"－"</f>
        <v>－</v>
      </c>
      <c r="Z144" s="20" t="str">
        <f>"－"</f>
        <v>－</v>
      </c>
    </row>
    <row r="145">
      <c r="A145" s="12" t="s">
        <v>42</v>
      </c>
      <c r="B145" s="13" t="s">
        <v>753</v>
      </c>
      <c r="C145" s="13" t="s">
        <v>754</v>
      </c>
      <c r="D145" s="13" t="s">
        <v>103</v>
      </c>
      <c r="E145" s="14" t="s">
        <v>837</v>
      </c>
      <c r="F145" s="14" t="s">
        <v>838</v>
      </c>
      <c r="G145" s="15"/>
      <c r="H145" s="16" t="s">
        <v>208</v>
      </c>
      <c r="I145" s="15"/>
      <c r="J145" s="16" t="s">
        <v>208</v>
      </c>
      <c r="K145" s="15"/>
      <c r="L145" s="16"/>
      <c r="M145" s="15"/>
      <c r="N145" s="16" t="s">
        <v>208</v>
      </c>
      <c r="O145" s="15"/>
      <c r="P145" s="16"/>
      <c r="Q145" s="15"/>
      <c r="R145" s="16" t="s">
        <v>208</v>
      </c>
      <c r="S145" s="17" t="n">
        <f>13146.1</f>
        <v>13146.1</v>
      </c>
      <c r="T145" s="18" t="str">
        <f>"－"</f>
        <v>－</v>
      </c>
      <c r="U145" s="18"/>
      <c r="V145" s="18" t="str">
        <f>"－"</f>
        <v>－</v>
      </c>
      <c r="W145" s="18"/>
      <c r="X145" s="15"/>
      <c r="Y145" s="19" t="str">
        <f>"－"</f>
        <v>－</v>
      </c>
      <c r="Z145" s="20" t="str">
        <f>"－"</f>
        <v>－</v>
      </c>
    </row>
    <row r="146">
      <c r="A146" s="12" t="s">
        <v>42</v>
      </c>
      <c r="B146" s="13" t="s">
        <v>753</v>
      </c>
      <c r="C146" s="13" t="s">
        <v>754</v>
      </c>
      <c r="D146" s="13" t="s">
        <v>112</v>
      </c>
      <c r="E146" s="14" t="s">
        <v>839</v>
      </c>
      <c r="F146" s="14" t="s">
        <v>840</v>
      </c>
      <c r="G146" s="15"/>
      <c r="H146" s="16" t="s">
        <v>208</v>
      </c>
      <c r="I146" s="15"/>
      <c r="J146" s="16" t="s">
        <v>208</v>
      </c>
      <c r="K146" s="15"/>
      <c r="L146" s="16"/>
      <c r="M146" s="15"/>
      <c r="N146" s="16" t="s">
        <v>208</v>
      </c>
      <c r="O146" s="15"/>
      <c r="P146" s="16"/>
      <c r="Q146" s="15"/>
      <c r="R146" s="16" t="s">
        <v>208</v>
      </c>
      <c r="S146" s="17" t="n">
        <f>13733.67</f>
        <v>13733.67</v>
      </c>
      <c r="T146" s="18" t="str">
        <f>"－"</f>
        <v>－</v>
      </c>
      <c r="U146" s="18"/>
      <c r="V146" s="18" t="str">
        <f>"－"</f>
        <v>－</v>
      </c>
      <c r="W146" s="18"/>
      <c r="X146" s="15"/>
      <c r="Y146" s="19" t="str">
        <f>"－"</f>
        <v>－</v>
      </c>
      <c r="Z146" s="20" t="str">
        <f>"－"</f>
        <v>－</v>
      </c>
    </row>
    <row r="147">
      <c r="A147" s="12" t="s">
        <v>42</v>
      </c>
      <c r="B147" s="13" t="s">
        <v>841</v>
      </c>
      <c r="C147" s="13" t="s">
        <v>842</v>
      </c>
      <c r="D147" s="13" t="s">
        <v>234</v>
      </c>
      <c r="E147" s="14" t="s">
        <v>843</v>
      </c>
      <c r="F147" s="14" t="s">
        <v>844</v>
      </c>
      <c r="G147" s="15"/>
      <c r="H147" s="16" t="s">
        <v>208</v>
      </c>
      <c r="I147" s="15"/>
      <c r="J147" s="16" t="s">
        <v>208</v>
      </c>
      <c r="K147" s="15"/>
      <c r="L147" s="16"/>
      <c r="M147" s="15"/>
      <c r="N147" s="16" t="s">
        <v>208</v>
      </c>
      <c r="O147" s="15"/>
      <c r="P147" s="16"/>
      <c r="Q147" s="15"/>
      <c r="R147" s="16" t="s">
        <v>208</v>
      </c>
      <c r="S147" s="17" t="n">
        <f>19548.33</f>
        <v>19548.33</v>
      </c>
      <c r="T147" s="18" t="str">
        <f>"－"</f>
        <v>－</v>
      </c>
      <c r="U147" s="18"/>
      <c r="V147" s="18" t="str">
        <f>"－"</f>
        <v>－</v>
      </c>
      <c r="W147" s="18"/>
      <c r="X147" s="15" t="s">
        <v>58</v>
      </c>
      <c r="Y147" s="19" t="str">
        <f>"－"</f>
        <v>－</v>
      </c>
      <c r="Z147" s="20" t="str">
        <f>"－"</f>
        <v>－</v>
      </c>
    </row>
    <row r="148">
      <c r="A148" s="12" t="s">
        <v>42</v>
      </c>
      <c r="B148" s="13" t="s">
        <v>841</v>
      </c>
      <c r="C148" s="13" t="s">
        <v>842</v>
      </c>
      <c r="D148" s="13" t="s">
        <v>245</v>
      </c>
      <c r="E148" s="14" t="s">
        <v>845</v>
      </c>
      <c r="F148" s="14" t="s">
        <v>846</v>
      </c>
      <c r="G148" s="15"/>
      <c r="H148" s="16" t="s">
        <v>208</v>
      </c>
      <c r="I148" s="15"/>
      <c r="J148" s="16" t="s">
        <v>208</v>
      </c>
      <c r="K148" s="15"/>
      <c r="L148" s="16"/>
      <c r="M148" s="15"/>
      <c r="N148" s="16" t="s">
        <v>208</v>
      </c>
      <c r="O148" s="15"/>
      <c r="P148" s="16"/>
      <c r="Q148" s="15"/>
      <c r="R148" s="16" t="s">
        <v>208</v>
      </c>
      <c r="S148" s="17" t="n">
        <f>19129.44</f>
        <v>19129.44</v>
      </c>
      <c r="T148" s="18" t="str">
        <f>"－"</f>
        <v>－</v>
      </c>
      <c r="U148" s="18"/>
      <c r="V148" s="18" t="str">
        <f>"－"</f>
        <v>－</v>
      </c>
      <c r="W148" s="18"/>
      <c r="X148" s="15" t="s">
        <v>58</v>
      </c>
      <c r="Y148" s="19" t="str">
        <f>"－"</f>
        <v>－</v>
      </c>
      <c r="Z148" s="20" t="str">
        <f>"－"</f>
        <v>－</v>
      </c>
    </row>
    <row r="149">
      <c r="A149" s="12" t="s">
        <v>42</v>
      </c>
      <c r="B149" s="13" t="s">
        <v>841</v>
      </c>
      <c r="C149" s="13" t="s">
        <v>842</v>
      </c>
      <c r="D149" s="13" t="s">
        <v>45</v>
      </c>
      <c r="E149" s="14" t="s">
        <v>847</v>
      </c>
      <c r="F149" s="14" t="s">
        <v>848</v>
      </c>
      <c r="G149" s="15"/>
      <c r="H149" s="16" t="s">
        <v>208</v>
      </c>
      <c r="I149" s="15"/>
      <c r="J149" s="16" t="s">
        <v>208</v>
      </c>
      <c r="K149" s="15"/>
      <c r="L149" s="16"/>
      <c r="M149" s="15"/>
      <c r="N149" s="16" t="s">
        <v>208</v>
      </c>
      <c r="O149" s="15"/>
      <c r="P149" s="16"/>
      <c r="Q149" s="15"/>
      <c r="R149" s="16" t="s">
        <v>208</v>
      </c>
      <c r="S149" s="17" t="n">
        <f>18358.51</f>
        <v>18358.51</v>
      </c>
      <c r="T149" s="18" t="str">
        <f>"－"</f>
        <v>－</v>
      </c>
      <c r="U149" s="18"/>
      <c r="V149" s="18" t="str">
        <f>"－"</f>
        <v>－</v>
      </c>
      <c r="W149" s="18"/>
      <c r="X149" s="15" t="s">
        <v>58</v>
      </c>
      <c r="Y149" s="19" t="str">
        <f>"－"</f>
        <v>－</v>
      </c>
      <c r="Z149" s="20" t="str">
        <f>"－"</f>
        <v>－</v>
      </c>
    </row>
    <row r="150">
      <c r="A150" s="12" t="s">
        <v>42</v>
      </c>
      <c r="B150" s="13" t="s">
        <v>841</v>
      </c>
      <c r="C150" s="13" t="s">
        <v>842</v>
      </c>
      <c r="D150" s="13" t="s">
        <v>260</v>
      </c>
      <c r="E150" s="14" t="s">
        <v>849</v>
      </c>
      <c r="F150" s="14" t="s">
        <v>850</v>
      </c>
      <c r="G150" s="15"/>
      <c r="H150" s="16" t="s">
        <v>208</v>
      </c>
      <c r="I150" s="15"/>
      <c r="J150" s="16" t="s">
        <v>208</v>
      </c>
      <c r="K150" s="15"/>
      <c r="L150" s="16"/>
      <c r="M150" s="15"/>
      <c r="N150" s="16" t="s">
        <v>208</v>
      </c>
      <c r="O150" s="15"/>
      <c r="P150" s="16"/>
      <c r="Q150" s="15"/>
      <c r="R150" s="16" t="s">
        <v>208</v>
      </c>
      <c r="S150" s="17" t="n">
        <f>17060.12</f>
        <v>17060.12</v>
      </c>
      <c r="T150" s="18" t="str">
        <f>"－"</f>
        <v>－</v>
      </c>
      <c r="U150" s="18"/>
      <c r="V150" s="18" t="str">
        <f>"－"</f>
        <v>－</v>
      </c>
      <c r="W150" s="18"/>
      <c r="X150" s="15" t="s">
        <v>58</v>
      </c>
      <c r="Y150" s="19" t="str">
        <f>"－"</f>
        <v>－</v>
      </c>
      <c r="Z150" s="20" t="str">
        <f>"－"</f>
        <v>－</v>
      </c>
    </row>
    <row r="151">
      <c r="A151" s="12" t="s">
        <v>42</v>
      </c>
      <c r="B151" s="13" t="s">
        <v>841</v>
      </c>
      <c r="C151" s="13" t="s">
        <v>842</v>
      </c>
      <c r="D151" s="13" t="s">
        <v>269</v>
      </c>
      <c r="E151" s="14" t="s">
        <v>851</v>
      </c>
      <c r="F151" s="14" t="s">
        <v>852</v>
      </c>
      <c r="G151" s="15"/>
      <c r="H151" s="16" t="s">
        <v>208</v>
      </c>
      <c r="I151" s="15"/>
      <c r="J151" s="16" t="s">
        <v>208</v>
      </c>
      <c r="K151" s="15"/>
      <c r="L151" s="16"/>
      <c r="M151" s="15"/>
      <c r="N151" s="16" t="s">
        <v>208</v>
      </c>
      <c r="O151" s="15"/>
      <c r="P151" s="16"/>
      <c r="Q151" s="15"/>
      <c r="R151" s="16" t="s">
        <v>208</v>
      </c>
      <c r="S151" s="17" t="n">
        <f>17219.62</f>
        <v>17219.62</v>
      </c>
      <c r="T151" s="18" t="str">
        <f>"－"</f>
        <v>－</v>
      </c>
      <c r="U151" s="18"/>
      <c r="V151" s="18" t="str">
        <f>"－"</f>
        <v>－</v>
      </c>
      <c r="W151" s="18"/>
      <c r="X151" s="15" t="s">
        <v>58</v>
      </c>
      <c r="Y151" s="19" t="str">
        <f>"－"</f>
        <v>－</v>
      </c>
      <c r="Z151" s="20" t="str">
        <f>"－"</f>
        <v>－</v>
      </c>
    </row>
    <row r="152">
      <c r="A152" s="12" t="s">
        <v>42</v>
      </c>
      <c r="B152" s="13" t="s">
        <v>841</v>
      </c>
      <c r="C152" s="13" t="s">
        <v>842</v>
      </c>
      <c r="D152" s="13" t="s">
        <v>59</v>
      </c>
      <c r="E152" s="14" t="s">
        <v>853</v>
      </c>
      <c r="F152" s="14" t="s">
        <v>854</v>
      </c>
      <c r="G152" s="15"/>
      <c r="H152" s="16" t="s">
        <v>208</v>
      </c>
      <c r="I152" s="15"/>
      <c r="J152" s="16" t="s">
        <v>208</v>
      </c>
      <c r="K152" s="15"/>
      <c r="L152" s="16"/>
      <c r="M152" s="15"/>
      <c r="N152" s="16" t="s">
        <v>208</v>
      </c>
      <c r="O152" s="15"/>
      <c r="P152" s="16"/>
      <c r="Q152" s="15"/>
      <c r="R152" s="16" t="s">
        <v>208</v>
      </c>
      <c r="S152" s="17" t="n">
        <f>17909.11</f>
        <v>17909.11</v>
      </c>
      <c r="T152" s="18" t="str">
        <f>"－"</f>
        <v>－</v>
      </c>
      <c r="U152" s="18"/>
      <c r="V152" s="18" t="str">
        <f>"－"</f>
        <v>－</v>
      </c>
      <c r="W152" s="18"/>
      <c r="X152" s="15" t="s">
        <v>58</v>
      </c>
      <c r="Y152" s="19" t="str">
        <f>"－"</f>
        <v>－</v>
      </c>
      <c r="Z152" s="20" t="str">
        <f>"－"</f>
        <v>－</v>
      </c>
    </row>
    <row r="153">
      <c r="A153" s="12" t="s">
        <v>42</v>
      </c>
      <c r="B153" s="13" t="s">
        <v>841</v>
      </c>
      <c r="C153" s="13" t="s">
        <v>842</v>
      </c>
      <c r="D153" s="13" t="s">
        <v>284</v>
      </c>
      <c r="E153" s="14" t="s">
        <v>855</v>
      </c>
      <c r="F153" s="14" t="s">
        <v>856</v>
      </c>
      <c r="G153" s="15" t="s">
        <v>674</v>
      </c>
      <c r="H153" s="16" t="s">
        <v>857</v>
      </c>
      <c r="I153" s="15" t="s">
        <v>293</v>
      </c>
      <c r="J153" s="16" t="s">
        <v>858</v>
      </c>
      <c r="K153" s="15"/>
      <c r="L153" s="16"/>
      <c r="M153" s="15" t="s">
        <v>674</v>
      </c>
      <c r="N153" s="16" t="s">
        <v>857</v>
      </c>
      <c r="O153" s="15"/>
      <c r="P153" s="16"/>
      <c r="Q153" s="15" t="s">
        <v>293</v>
      </c>
      <c r="R153" s="16" t="s">
        <v>858</v>
      </c>
      <c r="S153" s="17" t="n">
        <f>18409.88</f>
        <v>18409.88</v>
      </c>
      <c r="T153" s="18" t="n">
        <f>15</f>
        <v>15.0</v>
      </c>
      <c r="U153" s="18"/>
      <c r="V153" s="18" t="n">
        <f>27488000</f>
        <v>2.7488E7</v>
      </c>
      <c r="W153" s="18"/>
      <c r="X153" s="15" t="s">
        <v>58</v>
      </c>
      <c r="Y153" s="19" t="n">
        <f>1</f>
        <v>1.0</v>
      </c>
      <c r="Z153" s="20" t="n">
        <f>4</f>
        <v>4.0</v>
      </c>
    </row>
    <row r="154">
      <c r="A154" s="12" t="s">
        <v>42</v>
      </c>
      <c r="B154" s="13" t="s">
        <v>841</v>
      </c>
      <c r="C154" s="13" t="s">
        <v>842</v>
      </c>
      <c r="D154" s="13" t="s">
        <v>295</v>
      </c>
      <c r="E154" s="14" t="s">
        <v>859</v>
      </c>
      <c r="F154" s="14" t="s">
        <v>860</v>
      </c>
      <c r="G154" s="15"/>
      <c r="H154" s="16" t="s">
        <v>208</v>
      </c>
      <c r="I154" s="15"/>
      <c r="J154" s="16" t="s">
        <v>208</v>
      </c>
      <c r="K154" s="15"/>
      <c r="L154" s="16"/>
      <c r="M154" s="15"/>
      <c r="N154" s="16" t="s">
        <v>208</v>
      </c>
      <c r="O154" s="15"/>
      <c r="P154" s="16"/>
      <c r="Q154" s="15"/>
      <c r="R154" s="16" t="s">
        <v>208</v>
      </c>
      <c r="S154" s="17" t="n">
        <f>19007.93</f>
        <v>19007.93</v>
      </c>
      <c r="T154" s="18" t="str">
        <f>"－"</f>
        <v>－</v>
      </c>
      <c r="U154" s="18"/>
      <c r="V154" s="18" t="str">
        <f>"－"</f>
        <v>－</v>
      </c>
      <c r="W154" s="18"/>
      <c r="X154" s="15" t="s">
        <v>58</v>
      </c>
      <c r="Y154" s="19" t="str">
        <f>"－"</f>
        <v>－</v>
      </c>
      <c r="Z154" s="20" t="str">
        <f>"－"</f>
        <v>－</v>
      </c>
    </row>
    <row r="155">
      <c r="A155" s="12" t="s">
        <v>42</v>
      </c>
      <c r="B155" s="13" t="s">
        <v>841</v>
      </c>
      <c r="C155" s="13" t="s">
        <v>842</v>
      </c>
      <c r="D155" s="13" t="s">
        <v>70</v>
      </c>
      <c r="E155" s="14" t="s">
        <v>861</v>
      </c>
      <c r="F155" s="14" t="s">
        <v>862</v>
      </c>
      <c r="G155" s="15" t="s">
        <v>395</v>
      </c>
      <c r="H155" s="16" t="s">
        <v>198</v>
      </c>
      <c r="I155" s="15" t="s">
        <v>467</v>
      </c>
      <c r="J155" s="16" t="s">
        <v>863</v>
      </c>
      <c r="K155" s="15"/>
      <c r="L155" s="16"/>
      <c r="M155" s="15" t="s">
        <v>395</v>
      </c>
      <c r="N155" s="16" t="s">
        <v>198</v>
      </c>
      <c r="O155" s="15"/>
      <c r="P155" s="16"/>
      <c r="Q155" s="15" t="s">
        <v>467</v>
      </c>
      <c r="R155" s="16" t="s">
        <v>863</v>
      </c>
      <c r="S155" s="17" t="n">
        <f>18126.15</f>
        <v>18126.15</v>
      </c>
      <c r="T155" s="18" t="n">
        <f>15</f>
        <v>15.0</v>
      </c>
      <c r="U155" s="18"/>
      <c r="V155" s="18" t="n">
        <f>28470000</f>
        <v>2.847E7</v>
      </c>
      <c r="W155" s="18"/>
      <c r="X155" s="15" t="s">
        <v>58</v>
      </c>
      <c r="Y155" s="19" t="n">
        <f>5</f>
        <v>5.0</v>
      </c>
      <c r="Z155" s="20" t="n">
        <f>2</f>
        <v>2.0</v>
      </c>
    </row>
    <row r="156">
      <c r="A156" s="12" t="s">
        <v>42</v>
      </c>
      <c r="B156" s="13" t="s">
        <v>841</v>
      </c>
      <c r="C156" s="13" t="s">
        <v>842</v>
      </c>
      <c r="D156" s="13" t="s">
        <v>314</v>
      </c>
      <c r="E156" s="14" t="s">
        <v>864</v>
      </c>
      <c r="F156" s="14" t="s">
        <v>865</v>
      </c>
      <c r="G156" s="15"/>
      <c r="H156" s="16" t="s">
        <v>208</v>
      </c>
      <c r="I156" s="15"/>
      <c r="J156" s="16" t="s">
        <v>208</v>
      </c>
      <c r="K156" s="15"/>
      <c r="L156" s="16"/>
      <c r="M156" s="15"/>
      <c r="N156" s="16" t="s">
        <v>208</v>
      </c>
      <c r="O156" s="15"/>
      <c r="P156" s="16"/>
      <c r="Q156" s="15"/>
      <c r="R156" s="16" t="s">
        <v>208</v>
      </c>
      <c r="S156" s="17" t="n">
        <f>19053.45</f>
        <v>19053.45</v>
      </c>
      <c r="T156" s="18" t="str">
        <f>"－"</f>
        <v>－</v>
      </c>
      <c r="U156" s="18"/>
      <c r="V156" s="18" t="str">
        <f>"－"</f>
        <v>－</v>
      </c>
      <c r="W156" s="18"/>
      <c r="X156" s="15" t="s">
        <v>58</v>
      </c>
      <c r="Y156" s="19" t="str">
        <f>"－"</f>
        <v>－</v>
      </c>
      <c r="Z156" s="20" t="str">
        <f>"－"</f>
        <v>－</v>
      </c>
    </row>
    <row r="157">
      <c r="A157" s="12" t="s">
        <v>42</v>
      </c>
      <c r="B157" s="13" t="s">
        <v>841</v>
      </c>
      <c r="C157" s="13" t="s">
        <v>842</v>
      </c>
      <c r="D157" s="13" t="s">
        <v>326</v>
      </c>
      <c r="E157" s="14" t="s">
        <v>866</v>
      </c>
      <c r="F157" s="14" t="s">
        <v>867</v>
      </c>
      <c r="G157" s="15"/>
      <c r="H157" s="16" t="s">
        <v>208</v>
      </c>
      <c r="I157" s="15"/>
      <c r="J157" s="16" t="s">
        <v>208</v>
      </c>
      <c r="K157" s="15"/>
      <c r="L157" s="16"/>
      <c r="M157" s="15"/>
      <c r="N157" s="16" t="s">
        <v>208</v>
      </c>
      <c r="O157" s="15"/>
      <c r="P157" s="16"/>
      <c r="Q157" s="15"/>
      <c r="R157" s="16" t="s">
        <v>208</v>
      </c>
      <c r="S157" s="17" t="n">
        <f>19871.71</f>
        <v>19871.71</v>
      </c>
      <c r="T157" s="18" t="str">
        <f>"－"</f>
        <v>－</v>
      </c>
      <c r="U157" s="18"/>
      <c r="V157" s="18" t="str">
        <f>"－"</f>
        <v>－</v>
      </c>
      <c r="W157" s="18"/>
      <c r="X157" s="15" t="s">
        <v>58</v>
      </c>
      <c r="Y157" s="19" t="str">
        <f>"－"</f>
        <v>－</v>
      </c>
      <c r="Z157" s="20" t="str">
        <f>"－"</f>
        <v>－</v>
      </c>
    </row>
    <row r="158">
      <c r="A158" s="12" t="s">
        <v>42</v>
      </c>
      <c r="B158" s="13" t="s">
        <v>841</v>
      </c>
      <c r="C158" s="13" t="s">
        <v>842</v>
      </c>
      <c r="D158" s="13" t="s">
        <v>81</v>
      </c>
      <c r="E158" s="14" t="s">
        <v>868</v>
      </c>
      <c r="F158" s="14" t="s">
        <v>869</v>
      </c>
      <c r="G158" s="15" t="s">
        <v>91</v>
      </c>
      <c r="H158" s="16" t="s">
        <v>870</v>
      </c>
      <c r="I158" s="15" t="s">
        <v>696</v>
      </c>
      <c r="J158" s="16" t="s">
        <v>871</v>
      </c>
      <c r="K158" s="15"/>
      <c r="L158" s="16"/>
      <c r="M158" s="15" t="s">
        <v>153</v>
      </c>
      <c r="N158" s="16" t="s">
        <v>872</v>
      </c>
      <c r="O158" s="15"/>
      <c r="P158" s="16"/>
      <c r="Q158" s="15" t="s">
        <v>153</v>
      </c>
      <c r="R158" s="16" t="s">
        <v>872</v>
      </c>
      <c r="S158" s="17" t="n">
        <f>19091.67</f>
        <v>19091.67</v>
      </c>
      <c r="T158" s="18" t="n">
        <f>32</f>
        <v>32.0</v>
      </c>
      <c r="U158" s="18"/>
      <c r="V158" s="18" t="n">
        <f>64966000</f>
        <v>6.4966E7</v>
      </c>
      <c r="W158" s="18"/>
      <c r="X158" s="15" t="s">
        <v>58</v>
      </c>
      <c r="Y158" s="19" t="str">
        <f>"－"</f>
        <v>－</v>
      </c>
      <c r="Z158" s="20" t="n">
        <f>5</f>
        <v>5.0</v>
      </c>
    </row>
    <row r="159">
      <c r="A159" s="12" t="s">
        <v>42</v>
      </c>
      <c r="B159" s="13" t="s">
        <v>841</v>
      </c>
      <c r="C159" s="13" t="s">
        <v>842</v>
      </c>
      <c r="D159" s="13" t="s">
        <v>344</v>
      </c>
      <c r="E159" s="14" t="s">
        <v>873</v>
      </c>
      <c r="F159" s="14" t="s">
        <v>874</v>
      </c>
      <c r="G159" s="15"/>
      <c r="H159" s="16" t="s">
        <v>208</v>
      </c>
      <c r="I159" s="15"/>
      <c r="J159" s="16" t="s">
        <v>208</v>
      </c>
      <c r="K159" s="15"/>
      <c r="L159" s="16"/>
      <c r="M159" s="15"/>
      <c r="N159" s="16" t="s">
        <v>208</v>
      </c>
      <c r="O159" s="15"/>
      <c r="P159" s="16"/>
      <c r="Q159" s="15"/>
      <c r="R159" s="16" t="s">
        <v>208</v>
      </c>
      <c r="S159" s="17" t="n">
        <f>20451.74</f>
        <v>20451.74</v>
      </c>
      <c r="T159" s="18" t="str">
        <f>"－"</f>
        <v>－</v>
      </c>
      <c r="U159" s="18"/>
      <c r="V159" s="18" t="str">
        <f>"－"</f>
        <v>－</v>
      </c>
      <c r="W159" s="18"/>
      <c r="X159" s="15"/>
      <c r="Y159" s="19" t="str">
        <f>"－"</f>
        <v>－</v>
      </c>
      <c r="Z159" s="20" t="str">
        <f>"－"</f>
        <v>－</v>
      </c>
    </row>
    <row r="160">
      <c r="A160" s="12" t="s">
        <v>42</v>
      </c>
      <c r="B160" s="13" t="s">
        <v>841</v>
      </c>
      <c r="C160" s="13" t="s">
        <v>842</v>
      </c>
      <c r="D160" s="13" t="s">
        <v>93</v>
      </c>
      <c r="E160" s="14" t="s">
        <v>875</v>
      </c>
      <c r="F160" s="14" t="s">
        <v>876</v>
      </c>
      <c r="G160" s="15"/>
      <c r="H160" s="16" t="s">
        <v>208</v>
      </c>
      <c r="I160" s="15"/>
      <c r="J160" s="16" t="s">
        <v>208</v>
      </c>
      <c r="K160" s="15"/>
      <c r="L160" s="16"/>
      <c r="M160" s="15"/>
      <c r="N160" s="16" t="s">
        <v>208</v>
      </c>
      <c r="O160" s="15"/>
      <c r="P160" s="16"/>
      <c r="Q160" s="15"/>
      <c r="R160" s="16" t="s">
        <v>208</v>
      </c>
      <c r="S160" s="17" t="n">
        <f>19670.05</f>
        <v>19670.05</v>
      </c>
      <c r="T160" s="18" t="str">
        <f>"－"</f>
        <v>－</v>
      </c>
      <c r="U160" s="18"/>
      <c r="V160" s="18" t="str">
        <f>"－"</f>
        <v>－</v>
      </c>
      <c r="W160" s="18"/>
      <c r="X160" s="15"/>
      <c r="Y160" s="19" t="str">
        <f>"－"</f>
        <v>－</v>
      </c>
      <c r="Z160" s="20" t="str">
        <f>"－"</f>
        <v>－</v>
      </c>
    </row>
    <row r="161">
      <c r="A161" s="12" t="s">
        <v>42</v>
      </c>
      <c r="B161" s="13" t="s">
        <v>841</v>
      </c>
      <c r="C161" s="13" t="s">
        <v>842</v>
      </c>
      <c r="D161" s="13" t="s">
        <v>103</v>
      </c>
      <c r="E161" s="14" t="s">
        <v>877</v>
      </c>
      <c r="F161" s="14" t="s">
        <v>878</v>
      </c>
      <c r="G161" s="15"/>
      <c r="H161" s="16" t="s">
        <v>208</v>
      </c>
      <c r="I161" s="15"/>
      <c r="J161" s="16" t="s">
        <v>208</v>
      </c>
      <c r="K161" s="15"/>
      <c r="L161" s="16"/>
      <c r="M161" s="15"/>
      <c r="N161" s="16" t="s">
        <v>208</v>
      </c>
      <c r="O161" s="15"/>
      <c r="P161" s="16"/>
      <c r="Q161" s="15"/>
      <c r="R161" s="16" t="s">
        <v>208</v>
      </c>
      <c r="S161" s="17" t="n">
        <f>20534.88</f>
        <v>20534.88</v>
      </c>
      <c r="T161" s="18" t="str">
        <f>"－"</f>
        <v>－</v>
      </c>
      <c r="U161" s="18"/>
      <c r="V161" s="18" t="str">
        <f>"－"</f>
        <v>－</v>
      </c>
      <c r="W161" s="18"/>
      <c r="X161" s="15"/>
      <c r="Y161" s="19" t="str">
        <f>"－"</f>
        <v>－</v>
      </c>
      <c r="Z161" s="20" t="str">
        <f>"－"</f>
        <v>－</v>
      </c>
    </row>
    <row r="162">
      <c r="A162" s="12" t="s">
        <v>42</v>
      </c>
      <c r="B162" s="13" t="s">
        <v>879</v>
      </c>
      <c r="C162" s="13" t="s">
        <v>880</v>
      </c>
      <c r="D162" s="13" t="s">
        <v>881</v>
      </c>
      <c r="E162" s="14" t="s">
        <v>882</v>
      </c>
      <c r="F162" s="14" t="s">
        <v>851</v>
      </c>
      <c r="G162" s="15" t="s">
        <v>883</v>
      </c>
      <c r="H162" s="16" t="s">
        <v>884</v>
      </c>
      <c r="I162" s="15" t="s">
        <v>883</v>
      </c>
      <c r="J162" s="16" t="s">
        <v>884</v>
      </c>
      <c r="K162" s="15"/>
      <c r="L162" s="16"/>
      <c r="M162" s="15" t="s">
        <v>885</v>
      </c>
      <c r="N162" s="16" t="s">
        <v>886</v>
      </c>
      <c r="O162" s="15"/>
      <c r="P162" s="16"/>
      <c r="Q162" s="15" t="s">
        <v>885</v>
      </c>
      <c r="R162" s="16" t="s">
        <v>886</v>
      </c>
      <c r="S162" s="17" t="n">
        <f>458.79</f>
        <v>458.79</v>
      </c>
      <c r="T162" s="18" t="n">
        <f>2</f>
        <v>2.0</v>
      </c>
      <c r="U162" s="18"/>
      <c r="V162" s="18" t="n">
        <f>918000</f>
        <v>918000.0</v>
      </c>
      <c r="W162" s="18"/>
      <c r="X162" s="15" t="s">
        <v>58</v>
      </c>
      <c r="Y162" s="19" t="n">
        <f>2</f>
        <v>2.0</v>
      </c>
      <c r="Z162" s="20" t="n">
        <f>2</f>
        <v>2.0</v>
      </c>
    </row>
    <row r="163">
      <c r="A163" s="12" t="s">
        <v>42</v>
      </c>
      <c r="B163" s="13" t="s">
        <v>879</v>
      </c>
      <c r="C163" s="13" t="s">
        <v>880</v>
      </c>
      <c r="D163" s="13" t="s">
        <v>81</v>
      </c>
      <c r="E163" s="14" t="s">
        <v>887</v>
      </c>
      <c r="F163" s="14" t="s">
        <v>888</v>
      </c>
      <c r="G163" s="15" t="s">
        <v>883</v>
      </c>
      <c r="H163" s="16" t="s">
        <v>889</v>
      </c>
      <c r="I163" s="15" t="s">
        <v>883</v>
      </c>
      <c r="J163" s="16" t="s">
        <v>889</v>
      </c>
      <c r="K163" s="15"/>
      <c r="L163" s="16"/>
      <c r="M163" s="15" t="s">
        <v>368</v>
      </c>
      <c r="N163" s="16" t="s">
        <v>890</v>
      </c>
      <c r="O163" s="15"/>
      <c r="P163" s="16"/>
      <c r="Q163" s="15" t="s">
        <v>891</v>
      </c>
      <c r="R163" s="16" t="s">
        <v>892</v>
      </c>
      <c r="S163" s="17" t="n">
        <f>406.5</f>
        <v>406.5</v>
      </c>
      <c r="T163" s="18" t="n">
        <f>62</f>
        <v>62.0</v>
      </c>
      <c r="U163" s="18"/>
      <c r="V163" s="18" t="n">
        <f>21274000</f>
        <v>2.1274E7</v>
      </c>
      <c r="W163" s="18"/>
      <c r="X163" s="15"/>
      <c r="Y163" s="19" t="n">
        <f>53</f>
        <v>53.0</v>
      </c>
      <c r="Z163" s="20" t="n">
        <f>4</f>
        <v>4.0</v>
      </c>
    </row>
    <row r="164">
      <c r="A164" s="12" t="s">
        <v>42</v>
      </c>
      <c r="B164" s="13" t="s">
        <v>879</v>
      </c>
      <c r="C164" s="13" t="s">
        <v>880</v>
      </c>
      <c r="D164" s="13" t="s">
        <v>122</v>
      </c>
      <c r="E164" s="14" t="s">
        <v>893</v>
      </c>
      <c r="F164" s="14" t="s">
        <v>894</v>
      </c>
      <c r="G164" s="15" t="s">
        <v>368</v>
      </c>
      <c r="H164" s="16" t="s">
        <v>895</v>
      </c>
      <c r="I164" s="15" t="s">
        <v>679</v>
      </c>
      <c r="J164" s="16" t="s">
        <v>896</v>
      </c>
      <c r="K164" s="15" t="s">
        <v>52</v>
      </c>
      <c r="L164" s="16" t="s">
        <v>897</v>
      </c>
      <c r="M164" s="15" t="s">
        <v>368</v>
      </c>
      <c r="N164" s="16" t="s">
        <v>895</v>
      </c>
      <c r="O164" s="15" t="s">
        <v>898</v>
      </c>
      <c r="P164" s="16" t="s">
        <v>899</v>
      </c>
      <c r="Q164" s="15" t="s">
        <v>679</v>
      </c>
      <c r="R164" s="16" t="s">
        <v>896</v>
      </c>
      <c r="S164" s="17" t="n">
        <f>397.97</f>
        <v>397.97</v>
      </c>
      <c r="T164" s="18" t="n">
        <f>21965</f>
        <v>21965.0</v>
      </c>
      <c r="U164" s="18" t="n">
        <v>21930.0</v>
      </c>
      <c r="V164" s="18" t="n">
        <f>9489145000</f>
        <v>9.489145E9</v>
      </c>
      <c r="W164" s="18" t="n">
        <v>9.476025E9</v>
      </c>
      <c r="X164" s="15"/>
      <c r="Y164" s="19" t="n">
        <f>30267</f>
        <v>30267.0</v>
      </c>
      <c r="Z164" s="20" t="n">
        <f>4</f>
        <v>4.0</v>
      </c>
    </row>
    <row r="165">
      <c r="A165" s="12" t="s">
        <v>42</v>
      </c>
      <c r="B165" s="13" t="s">
        <v>879</v>
      </c>
      <c r="C165" s="13" t="s">
        <v>880</v>
      </c>
      <c r="D165" s="13" t="s">
        <v>155</v>
      </c>
      <c r="E165" s="14" t="s">
        <v>900</v>
      </c>
      <c r="F165" s="14" t="s">
        <v>901</v>
      </c>
      <c r="G165" s="15"/>
      <c r="H165" s="16" t="s">
        <v>208</v>
      </c>
      <c r="I165" s="15"/>
      <c r="J165" s="16" t="s">
        <v>208</v>
      </c>
      <c r="K165" s="15"/>
      <c r="L165" s="16"/>
      <c r="M165" s="15"/>
      <c r="N165" s="16" t="s">
        <v>208</v>
      </c>
      <c r="O165" s="15"/>
      <c r="P165" s="16"/>
      <c r="Q165" s="15"/>
      <c r="R165" s="16" t="s">
        <v>208</v>
      </c>
      <c r="S165" s="17" t="n">
        <f>417.46</f>
        <v>417.46</v>
      </c>
      <c r="T165" s="18" t="str">
        <f>"－"</f>
        <v>－</v>
      </c>
      <c r="U165" s="18"/>
      <c r="V165" s="18" t="str">
        <f>"－"</f>
        <v>－</v>
      </c>
      <c r="W165" s="18"/>
      <c r="X165" s="15"/>
      <c r="Y165" s="19" t="str">
        <f>"－"</f>
        <v>－</v>
      </c>
      <c r="Z165" s="20" t="str">
        <f>"－"</f>
        <v>－</v>
      </c>
    </row>
    <row r="166">
      <c r="A166" s="12" t="s">
        <v>42</v>
      </c>
      <c r="B166" s="13" t="s">
        <v>879</v>
      </c>
      <c r="C166" s="13" t="s">
        <v>880</v>
      </c>
      <c r="D166" s="13" t="s">
        <v>180</v>
      </c>
      <c r="E166" s="14" t="s">
        <v>902</v>
      </c>
      <c r="F166" s="14" t="s">
        <v>903</v>
      </c>
      <c r="G166" s="15"/>
      <c r="H166" s="16" t="s">
        <v>208</v>
      </c>
      <c r="I166" s="15"/>
      <c r="J166" s="16" t="s">
        <v>208</v>
      </c>
      <c r="K166" s="15"/>
      <c r="L166" s="16"/>
      <c r="M166" s="15"/>
      <c r="N166" s="16" t="s">
        <v>208</v>
      </c>
      <c r="O166" s="15"/>
      <c r="P166" s="16"/>
      <c r="Q166" s="15"/>
      <c r="R166" s="16" t="s">
        <v>208</v>
      </c>
      <c r="S166" s="17" t="n">
        <f>413.28</f>
        <v>413.28</v>
      </c>
      <c r="T166" s="18" t="str">
        <f>"－"</f>
        <v>－</v>
      </c>
      <c r="U166" s="18"/>
      <c r="V166" s="18" t="str">
        <f>"－"</f>
        <v>－</v>
      </c>
      <c r="W166" s="18"/>
      <c r="X166" s="15"/>
      <c r="Y166" s="19" t="str">
        <f>"－"</f>
        <v>－</v>
      </c>
      <c r="Z166" s="20" t="str">
        <f>"－"</f>
        <v>－</v>
      </c>
    </row>
    <row r="167">
      <c r="A167" s="12" t="s">
        <v>42</v>
      </c>
      <c r="B167" s="13" t="s">
        <v>879</v>
      </c>
      <c r="C167" s="13" t="s">
        <v>880</v>
      </c>
      <c r="D167" s="13" t="s">
        <v>195</v>
      </c>
      <c r="E167" s="14" t="s">
        <v>904</v>
      </c>
      <c r="F167" s="14" t="s">
        <v>905</v>
      </c>
      <c r="G167" s="15"/>
      <c r="H167" s="16" t="s">
        <v>208</v>
      </c>
      <c r="I167" s="15"/>
      <c r="J167" s="16" t="s">
        <v>208</v>
      </c>
      <c r="K167" s="15"/>
      <c r="L167" s="16"/>
      <c r="M167" s="15"/>
      <c r="N167" s="16" t="s">
        <v>208</v>
      </c>
      <c r="O167" s="15"/>
      <c r="P167" s="16"/>
      <c r="Q167" s="15"/>
      <c r="R167" s="16" t="s">
        <v>208</v>
      </c>
      <c r="S167" s="17" t="n">
        <f>413.28</f>
        <v>413.28</v>
      </c>
      <c r="T167" s="18" t="str">
        <f>"－"</f>
        <v>－</v>
      </c>
      <c r="U167" s="18"/>
      <c r="V167" s="18" t="str">
        <f>"－"</f>
        <v>－</v>
      </c>
      <c r="W167" s="18"/>
      <c r="X167" s="15"/>
      <c r="Y167" s="19" t="str">
        <f>"－"</f>
        <v>－</v>
      </c>
      <c r="Z167" s="20" t="str">
        <f>"－"</f>
        <v>－</v>
      </c>
    </row>
    <row r="168">
      <c r="A168" s="12" t="s">
        <v>42</v>
      </c>
      <c r="B168" s="13" t="s">
        <v>879</v>
      </c>
      <c r="C168" s="13" t="s">
        <v>880</v>
      </c>
      <c r="D168" s="13" t="s">
        <v>209</v>
      </c>
      <c r="E168" s="14" t="s">
        <v>906</v>
      </c>
      <c r="F168" s="14" t="s">
        <v>907</v>
      </c>
      <c r="G168" s="15"/>
      <c r="H168" s="16" t="s">
        <v>208</v>
      </c>
      <c r="I168" s="15"/>
      <c r="J168" s="16" t="s">
        <v>208</v>
      </c>
      <c r="K168" s="15"/>
      <c r="L168" s="16"/>
      <c r="M168" s="15"/>
      <c r="N168" s="16" t="s">
        <v>208</v>
      </c>
      <c r="O168" s="15"/>
      <c r="P168" s="16"/>
      <c r="Q168" s="15"/>
      <c r="R168" s="16" t="s">
        <v>208</v>
      </c>
      <c r="S168" s="17" t="n">
        <f>413.28</f>
        <v>413.28</v>
      </c>
      <c r="T168" s="18" t="str">
        <f>"－"</f>
        <v>－</v>
      </c>
      <c r="U168" s="18"/>
      <c r="V168" s="18" t="str">
        <f>"－"</f>
        <v>－</v>
      </c>
      <c r="W168" s="18"/>
      <c r="X168" s="15"/>
      <c r="Y168" s="19" t="str">
        <f>"－"</f>
        <v>－</v>
      </c>
      <c r="Z168" s="20" t="str">
        <f>"－"</f>
        <v>－</v>
      </c>
    </row>
    <row r="169">
      <c r="A169" s="12" t="s">
        <v>42</v>
      </c>
      <c r="B169" s="13" t="s">
        <v>879</v>
      </c>
      <c r="C169" s="13" t="s">
        <v>880</v>
      </c>
      <c r="D169" s="13" t="s">
        <v>214</v>
      </c>
      <c r="E169" s="14" t="s">
        <v>908</v>
      </c>
      <c r="F169" s="14" t="s">
        <v>909</v>
      </c>
      <c r="G169" s="15"/>
      <c r="H169" s="16" t="s">
        <v>208</v>
      </c>
      <c r="I169" s="15"/>
      <c r="J169" s="16" t="s">
        <v>208</v>
      </c>
      <c r="K169" s="15"/>
      <c r="L169" s="16"/>
      <c r="M169" s="15"/>
      <c r="N169" s="16" t="s">
        <v>208</v>
      </c>
      <c r="O169" s="15"/>
      <c r="P169" s="16"/>
      <c r="Q169" s="15"/>
      <c r="R169" s="16" t="s">
        <v>208</v>
      </c>
      <c r="S169" s="17" t="n">
        <f>413.28</f>
        <v>413.28</v>
      </c>
      <c r="T169" s="18" t="str">
        <f>"－"</f>
        <v>－</v>
      </c>
      <c r="U169" s="18"/>
      <c r="V169" s="18" t="str">
        <f>"－"</f>
        <v>－</v>
      </c>
      <c r="W169" s="18"/>
      <c r="X169" s="15"/>
      <c r="Y169" s="19" t="str">
        <f>"－"</f>
        <v>－</v>
      </c>
      <c r="Z169" s="20" t="str">
        <f>"－"</f>
        <v>－</v>
      </c>
    </row>
    <row r="170">
      <c r="A170" s="12" t="s">
        <v>42</v>
      </c>
      <c r="B170" s="13" t="s">
        <v>879</v>
      </c>
      <c r="C170" s="13" t="s">
        <v>880</v>
      </c>
      <c r="D170" s="13" t="s">
        <v>223</v>
      </c>
      <c r="E170" s="14" t="s">
        <v>845</v>
      </c>
      <c r="F170" s="14" t="s">
        <v>910</v>
      </c>
      <c r="G170" s="15"/>
      <c r="H170" s="16" t="s">
        <v>208</v>
      </c>
      <c r="I170" s="15"/>
      <c r="J170" s="16" t="s">
        <v>208</v>
      </c>
      <c r="K170" s="15"/>
      <c r="L170" s="16"/>
      <c r="M170" s="15"/>
      <c r="N170" s="16" t="s">
        <v>208</v>
      </c>
      <c r="O170" s="15"/>
      <c r="P170" s="16"/>
      <c r="Q170" s="15"/>
      <c r="R170" s="16" t="s">
        <v>208</v>
      </c>
      <c r="S170" s="17" t="n">
        <f>413.28</f>
        <v>413.28</v>
      </c>
      <c r="T170" s="18" t="str">
        <f>"－"</f>
        <v>－</v>
      </c>
      <c r="U170" s="18"/>
      <c r="V170" s="18" t="str">
        <f>"－"</f>
        <v>－</v>
      </c>
      <c r="W170" s="18"/>
      <c r="X170" s="15"/>
      <c r="Y170" s="19" t="str">
        <f>"－"</f>
        <v>－</v>
      </c>
      <c r="Z170" s="20" t="str">
        <f>"－"</f>
        <v>－</v>
      </c>
    </row>
    <row r="171">
      <c r="A171" s="12" t="s">
        <v>42</v>
      </c>
      <c r="B171" s="13" t="s">
        <v>911</v>
      </c>
      <c r="C171" s="13" t="s">
        <v>912</v>
      </c>
      <c r="D171" s="13" t="s">
        <v>881</v>
      </c>
      <c r="E171" s="14" t="s">
        <v>882</v>
      </c>
      <c r="F171" s="14" t="s">
        <v>851</v>
      </c>
      <c r="G171" s="15"/>
      <c r="H171" s="16" t="s">
        <v>208</v>
      </c>
      <c r="I171" s="15"/>
      <c r="J171" s="16" t="s">
        <v>208</v>
      </c>
      <c r="K171" s="15"/>
      <c r="L171" s="16"/>
      <c r="M171" s="15"/>
      <c r="N171" s="16" t="s">
        <v>208</v>
      </c>
      <c r="O171" s="15"/>
      <c r="P171" s="16"/>
      <c r="Q171" s="15"/>
      <c r="R171" s="16" t="s">
        <v>208</v>
      </c>
      <c r="S171" s="17" t="n">
        <f>39.05</f>
        <v>39.05</v>
      </c>
      <c r="T171" s="18" t="str">
        <f>"－"</f>
        <v>－</v>
      </c>
      <c r="U171" s="18"/>
      <c r="V171" s="18" t="str">
        <f>"－"</f>
        <v>－</v>
      </c>
      <c r="W171" s="18"/>
      <c r="X171" s="15" t="s">
        <v>58</v>
      </c>
      <c r="Y171" s="19" t="str">
        <f>"－"</f>
        <v>－</v>
      </c>
      <c r="Z171" s="20" t="str">
        <f>"－"</f>
        <v>－</v>
      </c>
    </row>
    <row r="172">
      <c r="A172" s="12" t="s">
        <v>42</v>
      </c>
      <c r="B172" s="13" t="s">
        <v>911</v>
      </c>
      <c r="C172" s="13" t="s">
        <v>912</v>
      </c>
      <c r="D172" s="13" t="s">
        <v>81</v>
      </c>
      <c r="E172" s="14" t="s">
        <v>887</v>
      </c>
      <c r="F172" s="14" t="s">
        <v>888</v>
      </c>
      <c r="G172" s="15"/>
      <c r="H172" s="16" t="s">
        <v>208</v>
      </c>
      <c r="I172" s="15"/>
      <c r="J172" s="16" t="s">
        <v>208</v>
      </c>
      <c r="K172" s="15"/>
      <c r="L172" s="16"/>
      <c r="M172" s="15"/>
      <c r="N172" s="16" t="s">
        <v>208</v>
      </c>
      <c r="O172" s="15"/>
      <c r="P172" s="16"/>
      <c r="Q172" s="15"/>
      <c r="R172" s="16" t="s">
        <v>208</v>
      </c>
      <c r="S172" s="17" t="n">
        <f>37.14</f>
        <v>37.14</v>
      </c>
      <c r="T172" s="18" t="str">
        <f>"－"</f>
        <v>－</v>
      </c>
      <c r="U172" s="18"/>
      <c r="V172" s="18" t="str">
        <f>"－"</f>
        <v>－</v>
      </c>
      <c r="W172" s="18"/>
      <c r="X172" s="15"/>
      <c r="Y172" s="19" t="str">
        <f>"－"</f>
        <v>－</v>
      </c>
      <c r="Z172" s="20" t="str">
        <f>"－"</f>
        <v>－</v>
      </c>
    </row>
    <row r="173">
      <c r="A173" s="12" t="s">
        <v>42</v>
      </c>
      <c r="B173" s="13" t="s">
        <v>911</v>
      </c>
      <c r="C173" s="13" t="s">
        <v>912</v>
      </c>
      <c r="D173" s="13" t="s">
        <v>122</v>
      </c>
      <c r="E173" s="14" t="s">
        <v>893</v>
      </c>
      <c r="F173" s="14" t="s">
        <v>894</v>
      </c>
      <c r="G173" s="15"/>
      <c r="H173" s="16" t="s">
        <v>208</v>
      </c>
      <c r="I173" s="15"/>
      <c r="J173" s="16" t="s">
        <v>208</v>
      </c>
      <c r="K173" s="15"/>
      <c r="L173" s="16"/>
      <c r="M173" s="15"/>
      <c r="N173" s="16" t="s">
        <v>208</v>
      </c>
      <c r="O173" s="15"/>
      <c r="P173" s="16"/>
      <c r="Q173" s="15"/>
      <c r="R173" s="16" t="s">
        <v>208</v>
      </c>
      <c r="S173" s="17" t="n">
        <f>36.56</f>
        <v>36.56</v>
      </c>
      <c r="T173" s="18" t="str">
        <f>"－"</f>
        <v>－</v>
      </c>
      <c r="U173" s="18"/>
      <c r="V173" s="18" t="str">
        <f>"－"</f>
        <v>－</v>
      </c>
      <c r="W173" s="18"/>
      <c r="X173" s="15"/>
      <c r="Y173" s="19" t="str">
        <f>"－"</f>
        <v>－</v>
      </c>
      <c r="Z173" s="20" t="str">
        <f>"－"</f>
        <v>－</v>
      </c>
    </row>
    <row r="174">
      <c r="A174" s="12" t="s">
        <v>42</v>
      </c>
      <c r="B174" s="13" t="s">
        <v>911</v>
      </c>
      <c r="C174" s="13" t="s">
        <v>912</v>
      </c>
      <c r="D174" s="13" t="s">
        <v>155</v>
      </c>
      <c r="E174" s="14" t="s">
        <v>900</v>
      </c>
      <c r="F174" s="14" t="s">
        <v>901</v>
      </c>
      <c r="G174" s="15"/>
      <c r="H174" s="16" t="s">
        <v>208</v>
      </c>
      <c r="I174" s="15"/>
      <c r="J174" s="16" t="s">
        <v>208</v>
      </c>
      <c r="K174" s="15"/>
      <c r="L174" s="16"/>
      <c r="M174" s="15"/>
      <c r="N174" s="16" t="s">
        <v>208</v>
      </c>
      <c r="O174" s="15"/>
      <c r="P174" s="16"/>
      <c r="Q174" s="15"/>
      <c r="R174" s="16" t="s">
        <v>208</v>
      </c>
      <c r="S174" s="17" t="n">
        <f>37.89</f>
        <v>37.89</v>
      </c>
      <c r="T174" s="18" t="str">
        <f>"－"</f>
        <v>－</v>
      </c>
      <c r="U174" s="18"/>
      <c r="V174" s="18" t="str">
        <f>"－"</f>
        <v>－</v>
      </c>
      <c r="W174" s="18"/>
      <c r="X174" s="15"/>
      <c r="Y174" s="19" t="str">
        <f>"－"</f>
        <v>－</v>
      </c>
      <c r="Z174" s="20" t="str">
        <f>"－"</f>
        <v>－</v>
      </c>
    </row>
    <row r="175">
      <c r="A175" s="12" t="s">
        <v>42</v>
      </c>
      <c r="B175" s="13" t="s">
        <v>911</v>
      </c>
      <c r="C175" s="13" t="s">
        <v>912</v>
      </c>
      <c r="D175" s="13" t="s">
        <v>180</v>
      </c>
      <c r="E175" s="14" t="s">
        <v>902</v>
      </c>
      <c r="F175" s="14" t="s">
        <v>903</v>
      </c>
      <c r="G175" s="15"/>
      <c r="H175" s="16" t="s">
        <v>208</v>
      </c>
      <c r="I175" s="15"/>
      <c r="J175" s="16" t="s">
        <v>208</v>
      </c>
      <c r="K175" s="15"/>
      <c r="L175" s="16"/>
      <c r="M175" s="15"/>
      <c r="N175" s="16" t="s">
        <v>208</v>
      </c>
      <c r="O175" s="15"/>
      <c r="P175" s="16"/>
      <c r="Q175" s="15"/>
      <c r="R175" s="16" t="s">
        <v>208</v>
      </c>
      <c r="S175" s="17" t="n">
        <f>37.89</f>
        <v>37.89</v>
      </c>
      <c r="T175" s="18" t="str">
        <f>"－"</f>
        <v>－</v>
      </c>
      <c r="U175" s="18"/>
      <c r="V175" s="18" t="str">
        <f>"－"</f>
        <v>－</v>
      </c>
      <c r="W175" s="18"/>
      <c r="X175" s="15"/>
      <c r="Y175" s="19" t="str">
        <f>"－"</f>
        <v>－</v>
      </c>
      <c r="Z175" s="20" t="str">
        <f>"－"</f>
        <v>－</v>
      </c>
    </row>
    <row r="176">
      <c r="A176" s="12" t="s">
        <v>42</v>
      </c>
      <c r="B176" s="13" t="s">
        <v>911</v>
      </c>
      <c r="C176" s="13" t="s">
        <v>912</v>
      </c>
      <c r="D176" s="13" t="s">
        <v>195</v>
      </c>
      <c r="E176" s="14" t="s">
        <v>904</v>
      </c>
      <c r="F176" s="14" t="s">
        <v>905</v>
      </c>
      <c r="G176" s="15"/>
      <c r="H176" s="16" t="s">
        <v>208</v>
      </c>
      <c r="I176" s="15"/>
      <c r="J176" s="16" t="s">
        <v>208</v>
      </c>
      <c r="K176" s="15"/>
      <c r="L176" s="16"/>
      <c r="M176" s="15"/>
      <c r="N176" s="16" t="s">
        <v>208</v>
      </c>
      <c r="O176" s="15"/>
      <c r="P176" s="16"/>
      <c r="Q176" s="15"/>
      <c r="R176" s="16" t="s">
        <v>208</v>
      </c>
      <c r="S176" s="17" t="n">
        <f>37.89</f>
        <v>37.89</v>
      </c>
      <c r="T176" s="18" t="str">
        <f>"－"</f>
        <v>－</v>
      </c>
      <c r="U176" s="18"/>
      <c r="V176" s="18" t="str">
        <f>"－"</f>
        <v>－</v>
      </c>
      <c r="W176" s="18"/>
      <c r="X176" s="15"/>
      <c r="Y176" s="19" t="str">
        <f>"－"</f>
        <v>－</v>
      </c>
      <c r="Z176" s="20" t="str">
        <f>"－"</f>
        <v>－</v>
      </c>
    </row>
    <row r="177">
      <c r="A177" s="12" t="s">
        <v>42</v>
      </c>
      <c r="B177" s="13" t="s">
        <v>911</v>
      </c>
      <c r="C177" s="13" t="s">
        <v>912</v>
      </c>
      <c r="D177" s="13" t="s">
        <v>209</v>
      </c>
      <c r="E177" s="14" t="s">
        <v>906</v>
      </c>
      <c r="F177" s="14" t="s">
        <v>907</v>
      </c>
      <c r="G177" s="15"/>
      <c r="H177" s="16" t="s">
        <v>208</v>
      </c>
      <c r="I177" s="15"/>
      <c r="J177" s="16" t="s">
        <v>208</v>
      </c>
      <c r="K177" s="15"/>
      <c r="L177" s="16"/>
      <c r="M177" s="15"/>
      <c r="N177" s="16" t="s">
        <v>208</v>
      </c>
      <c r="O177" s="15"/>
      <c r="P177" s="16"/>
      <c r="Q177" s="15"/>
      <c r="R177" s="16" t="s">
        <v>208</v>
      </c>
      <c r="S177" s="17" t="n">
        <f>37.89</f>
        <v>37.89</v>
      </c>
      <c r="T177" s="18" t="str">
        <f>"－"</f>
        <v>－</v>
      </c>
      <c r="U177" s="18"/>
      <c r="V177" s="18" t="str">
        <f>"－"</f>
        <v>－</v>
      </c>
      <c r="W177" s="18"/>
      <c r="X177" s="15"/>
      <c r="Y177" s="19" t="str">
        <f>"－"</f>
        <v>－</v>
      </c>
      <c r="Z177" s="20" t="str">
        <f>"－"</f>
        <v>－</v>
      </c>
    </row>
    <row r="178">
      <c r="A178" s="12" t="s">
        <v>42</v>
      </c>
      <c r="B178" s="13" t="s">
        <v>911</v>
      </c>
      <c r="C178" s="13" t="s">
        <v>912</v>
      </c>
      <c r="D178" s="13" t="s">
        <v>214</v>
      </c>
      <c r="E178" s="14" t="s">
        <v>908</v>
      </c>
      <c r="F178" s="14" t="s">
        <v>909</v>
      </c>
      <c r="G178" s="15"/>
      <c r="H178" s="16" t="s">
        <v>208</v>
      </c>
      <c r="I178" s="15"/>
      <c r="J178" s="16" t="s">
        <v>208</v>
      </c>
      <c r="K178" s="15"/>
      <c r="L178" s="16"/>
      <c r="M178" s="15"/>
      <c r="N178" s="16" t="s">
        <v>208</v>
      </c>
      <c r="O178" s="15"/>
      <c r="P178" s="16"/>
      <c r="Q178" s="15"/>
      <c r="R178" s="16" t="s">
        <v>208</v>
      </c>
      <c r="S178" s="17" t="n">
        <f>37.89</f>
        <v>37.89</v>
      </c>
      <c r="T178" s="18" t="str">
        <f>"－"</f>
        <v>－</v>
      </c>
      <c r="U178" s="18"/>
      <c r="V178" s="18" t="str">
        <f>"－"</f>
        <v>－</v>
      </c>
      <c r="W178" s="18"/>
      <c r="X178" s="15"/>
      <c r="Y178" s="19" t="str">
        <f>"－"</f>
        <v>－</v>
      </c>
      <c r="Z178" s="20" t="str">
        <f>"－"</f>
        <v>－</v>
      </c>
    </row>
    <row r="179">
      <c r="A179" s="12" t="s">
        <v>42</v>
      </c>
      <c r="B179" s="13" t="s">
        <v>911</v>
      </c>
      <c r="C179" s="13" t="s">
        <v>912</v>
      </c>
      <c r="D179" s="13" t="s">
        <v>223</v>
      </c>
      <c r="E179" s="14" t="s">
        <v>845</v>
      </c>
      <c r="F179" s="14" t="s">
        <v>910</v>
      </c>
      <c r="G179" s="15"/>
      <c r="H179" s="16" t="s">
        <v>208</v>
      </c>
      <c r="I179" s="15"/>
      <c r="J179" s="16" t="s">
        <v>208</v>
      </c>
      <c r="K179" s="15"/>
      <c r="L179" s="16"/>
      <c r="M179" s="15"/>
      <c r="N179" s="16" t="s">
        <v>208</v>
      </c>
      <c r="O179" s="15"/>
      <c r="P179" s="16"/>
      <c r="Q179" s="15"/>
      <c r="R179" s="16" t="s">
        <v>208</v>
      </c>
      <c r="S179" s="17" t="n">
        <f>37.89</f>
        <v>37.89</v>
      </c>
      <c r="T179" s="18" t="str">
        <f>"－"</f>
        <v>－</v>
      </c>
      <c r="U179" s="18"/>
      <c r="V179" s="18" t="str">
        <f>"－"</f>
        <v>－</v>
      </c>
      <c r="W179" s="18"/>
      <c r="X179" s="15"/>
      <c r="Y179" s="19" t="str">
        <f>"－"</f>
        <v>－</v>
      </c>
      <c r="Z179" s="20" t="str">
        <f>"－"</f>
        <v>－</v>
      </c>
    </row>
    <row r="180">
      <c r="A180" s="12" t="s">
        <v>42</v>
      </c>
      <c r="B180" s="13" t="s">
        <v>913</v>
      </c>
      <c r="C180" s="13" t="s">
        <v>914</v>
      </c>
      <c r="D180" s="13" t="s">
        <v>881</v>
      </c>
      <c r="E180" s="14" t="s">
        <v>882</v>
      </c>
      <c r="F180" s="14" t="s">
        <v>851</v>
      </c>
      <c r="G180" s="15"/>
      <c r="H180" s="16" t="s">
        <v>208</v>
      </c>
      <c r="I180" s="15"/>
      <c r="J180" s="16" t="s">
        <v>208</v>
      </c>
      <c r="K180" s="15"/>
      <c r="L180" s="16"/>
      <c r="M180" s="15"/>
      <c r="N180" s="16" t="s">
        <v>208</v>
      </c>
      <c r="O180" s="15"/>
      <c r="P180" s="16"/>
      <c r="Q180" s="15"/>
      <c r="R180" s="16" t="s">
        <v>208</v>
      </c>
      <c r="S180" s="17" t="n">
        <f>21.59</f>
        <v>21.59</v>
      </c>
      <c r="T180" s="18" t="str">
        <f>"－"</f>
        <v>－</v>
      </c>
      <c r="U180" s="18"/>
      <c r="V180" s="18" t="str">
        <f>"－"</f>
        <v>－</v>
      </c>
      <c r="W180" s="18"/>
      <c r="X180" s="15" t="s">
        <v>58</v>
      </c>
      <c r="Y180" s="19" t="str">
        <f>"－"</f>
        <v>－</v>
      </c>
      <c r="Z180" s="20" t="str">
        <f>"－"</f>
        <v>－</v>
      </c>
    </row>
    <row r="181">
      <c r="A181" s="12" t="s">
        <v>42</v>
      </c>
      <c r="B181" s="13" t="s">
        <v>913</v>
      </c>
      <c r="C181" s="13" t="s">
        <v>914</v>
      </c>
      <c r="D181" s="13" t="s">
        <v>81</v>
      </c>
      <c r="E181" s="14" t="s">
        <v>887</v>
      </c>
      <c r="F181" s="14" t="s">
        <v>888</v>
      </c>
      <c r="G181" s="15"/>
      <c r="H181" s="16" t="s">
        <v>208</v>
      </c>
      <c r="I181" s="15"/>
      <c r="J181" s="16" t="s">
        <v>208</v>
      </c>
      <c r="K181" s="15"/>
      <c r="L181" s="16"/>
      <c r="M181" s="15"/>
      <c r="N181" s="16" t="s">
        <v>208</v>
      </c>
      <c r="O181" s="15"/>
      <c r="P181" s="16"/>
      <c r="Q181" s="15"/>
      <c r="R181" s="16" t="s">
        <v>208</v>
      </c>
      <c r="S181" s="17" t="n">
        <f>19.88</f>
        <v>19.88</v>
      </c>
      <c r="T181" s="18" t="str">
        <f>"－"</f>
        <v>－</v>
      </c>
      <c r="U181" s="18"/>
      <c r="V181" s="18" t="str">
        <f>"－"</f>
        <v>－</v>
      </c>
      <c r="W181" s="18"/>
      <c r="X181" s="15"/>
      <c r="Y181" s="19" t="str">
        <f>"－"</f>
        <v>－</v>
      </c>
      <c r="Z181" s="20" t="str">
        <f>"－"</f>
        <v>－</v>
      </c>
    </row>
    <row r="182">
      <c r="A182" s="12" t="s">
        <v>42</v>
      </c>
      <c r="B182" s="13" t="s">
        <v>913</v>
      </c>
      <c r="C182" s="13" t="s">
        <v>914</v>
      </c>
      <c r="D182" s="13" t="s">
        <v>122</v>
      </c>
      <c r="E182" s="14" t="s">
        <v>893</v>
      </c>
      <c r="F182" s="14" t="s">
        <v>894</v>
      </c>
      <c r="G182" s="15"/>
      <c r="H182" s="16" t="s">
        <v>208</v>
      </c>
      <c r="I182" s="15"/>
      <c r="J182" s="16" t="s">
        <v>208</v>
      </c>
      <c r="K182" s="15"/>
      <c r="L182" s="16"/>
      <c r="M182" s="15"/>
      <c r="N182" s="16" t="s">
        <v>208</v>
      </c>
      <c r="O182" s="15"/>
      <c r="P182" s="16"/>
      <c r="Q182" s="15"/>
      <c r="R182" s="16" t="s">
        <v>208</v>
      </c>
      <c r="S182" s="17" t="n">
        <f>19.59</f>
        <v>19.59</v>
      </c>
      <c r="T182" s="18" t="str">
        <f>"－"</f>
        <v>－</v>
      </c>
      <c r="U182" s="18"/>
      <c r="V182" s="18" t="str">
        <f>"－"</f>
        <v>－</v>
      </c>
      <c r="W182" s="18"/>
      <c r="X182" s="15"/>
      <c r="Y182" s="19" t="str">
        <f>"－"</f>
        <v>－</v>
      </c>
      <c r="Z182" s="20" t="str">
        <f>"－"</f>
        <v>－</v>
      </c>
    </row>
    <row r="183">
      <c r="A183" s="12" t="s">
        <v>42</v>
      </c>
      <c r="B183" s="13" t="s">
        <v>913</v>
      </c>
      <c r="C183" s="13" t="s">
        <v>914</v>
      </c>
      <c r="D183" s="13" t="s">
        <v>155</v>
      </c>
      <c r="E183" s="14" t="s">
        <v>900</v>
      </c>
      <c r="F183" s="14" t="s">
        <v>901</v>
      </c>
      <c r="G183" s="15"/>
      <c r="H183" s="16" t="s">
        <v>208</v>
      </c>
      <c r="I183" s="15"/>
      <c r="J183" s="16" t="s">
        <v>208</v>
      </c>
      <c r="K183" s="15"/>
      <c r="L183" s="16"/>
      <c r="M183" s="15"/>
      <c r="N183" s="16" t="s">
        <v>208</v>
      </c>
      <c r="O183" s="15"/>
      <c r="P183" s="16"/>
      <c r="Q183" s="15"/>
      <c r="R183" s="16" t="s">
        <v>208</v>
      </c>
      <c r="S183" s="17" t="n">
        <f>20.29</f>
        <v>20.29</v>
      </c>
      <c r="T183" s="18" t="str">
        <f>"－"</f>
        <v>－</v>
      </c>
      <c r="U183" s="18"/>
      <c r="V183" s="18" t="str">
        <f>"－"</f>
        <v>－</v>
      </c>
      <c r="W183" s="18"/>
      <c r="X183" s="15"/>
      <c r="Y183" s="19" t="str">
        <f>"－"</f>
        <v>－</v>
      </c>
      <c r="Z183" s="20" t="str">
        <f>"－"</f>
        <v>－</v>
      </c>
    </row>
    <row r="184">
      <c r="A184" s="12" t="s">
        <v>42</v>
      </c>
      <c r="B184" s="13" t="s">
        <v>913</v>
      </c>
      <c r="C184" s="13" t="s">
        <v>914</v>
      </c>
      <c r="D184" s="13" t="s">
        <v>180</v>
      </c>
      <c r="E184" s="14" t="s">
        <v>902</v>
      </c>
      <c r="F184" s="14" t="s">
        <v>903</v>
      </c>
      <c r="G184" s="15"/>
      <c r="H184" s="16" t="s">
        <v>208</v>
      </c>
      <c r="I184" s="15"/>
      <c r="J184" s="16" t="s">
        <v>208</v>
      </c>
      <c r="K184" s="15"/>
      <c r="L184" s="16"/>
      <c r="M184" s="15"/>
      <c r="N184" s="16" t="s">
        <v>208</v>
      </c>
      <c r="O184" s="15"/>
      <c r="P184" s="16"/>
      <c r="Q184" s="15"/>
      <c r="R184" s="16" t="s">
        <v>208</v>
      </c>
      <c r="S184" s="17" t="n">
        <f>20.29</f>
        <v>20.29</v>
      </c>
      <c r="T184" s="18" t="str">
        <f>"－"</f>
        <v>－</v>
      </c>
      <c r="U184" s="18"/>
      <c r="V184" s="18" t="str">
        <f>"－"</f>
        <v>－</v>
      </c>
      <c r="W184" s="18"/>
      <c r="X184" s="15"/>
      <c r="Y184" s="19" t="str">
        <f>"－"</f>
        <v>－</v>
      </c>
      <c r="Z184" s="20" t="str">
        <f>"－"</f>
        <v>－</v>
      </c>
    </row>
    <row r="185">
      <c r="A185" s="12" t="s">
        <v>42</v>
      </c>
      <c r="B185" s="13" t="s">
        <v>913</v>
      </c>
      <c r="C185" s="13" t="s">
        <v>914</v>
      </c>
      <c r="D185" s="13" t="s">
        <v>195</v>
      </c>
      <c r="E185" s="14" t="s">
        <v>904</v>
      </c>
      <c r="F185" s="14" t="s">
        <v>905</v>
      </c>
      <c r="G185" s="15"/>
      <c r="H185" s="16" t="s">
        <v>208</v>
      </c>
      <c r="I185" s="15"/>
      <c r="J185" s="16" t="s">
        <v>208</v>
      </c>
      <c r="K185" s="15"/>
      <c r="L185" s="16"/>
      <c r="M185" s="15"/>
      <c r="N185" s="16" t="s">
        <v>208</v>
      </c>
      <c r="O185" s="15"/>
      <c r="P185" s="16"/>
      <c r="Q185" s="15"/>
      <c r="R185" s="16" t="s">
        <v>208</v>
      </c>
      <c r="S185" s="17" t="n">
        <f>20.29</f>
        <v>20.29</v>
      </c>
      <c r="T185" s="18" t="str">
        <f>"－"</f>
        <v>－</v>
      </c>
      <c r="U185" s="18"/>
      <c r="V185" s="18" t="str">
        <f>"－"</f>
        <v>－</v>
      </c>
      <c r="W185" s="18"/>
      <c r="X185" s="15"/>
      <c r="Y185" s="19" t="str">
        <f>"－"</f>
        <v>－</v>
      </c>
      <c r="Z185" s="20" t="str">
        <f>"－"</f>
        <v>－</v>
      </c>
    </row>
    <row r="186">
      <c r="A186" s="12" t="s">
        <v>42</v>
      </c>
      <c r="B186" s="13" t="s">
        <v>913</v>
      </c>
      <c r="C186" s="13" t="s">
        <v>914</v>
      </c>
      <c r="D186" s="13" t="s">
        <v>209</v>
      </c>
      <c r="E186" s="14" t="s">
        <v>906</v>
      </c>
      <c r="F186" s="14" t="s">
        <v>907</v>
      </c>
      <c r="G186" s="15"/>
      <c r="H186" s="16" t="s">
        <v>208</v>
      </c>
      <c r="I186" s="15"/>
      <c r="J186" s="16" t="s">
        <v>208</v>
      </c>
      <c r="K186" s="15"/>
      <c r="L186" s="16"/>
      <c r="M186" s="15"/>
      <c r="N186" s="16" t="s">
        <v>208</v>
      </c>
      <c r="O186" s="15"/>
      <c r="P186" s="16"/>
      <c r="Q186" s="15"/>
      <c r="R186" s="16" t="s">
        <v>208</v>
      </c>
      <c r="S186" s="17" t="n">
        <f>20.29</f>
        <v>20.29</v>
      </c>
      <c r="T186" s="18" t="str">
        <f>"－"</f>
        <v>－</v>
      </c>
      <c r="U186" s="18"/>
      <c r="V186" s="18" t="str">
        <f>"－"</f>
        <v>－</v>
      </c>
      <c r="W186" s="18"/>
      <c r="X186" s="15"/>
      <c r="Y186" s="19" t="str">
        <f>"－"</f>
        <v>－</v>
      </c>
      <c r="Z186" s="20" t="str">
        <f>"－"</f>
        <v>－</v>
      </c>
    </row>
    <row r="187">
      <c r="A187" s="12" t="s">
        <v>42</v>
      </c>
      <c r="B187" s="13" t="s">
        <v>913</v>
      </c>
      <c r="C187" s="13" t="s">
        <v>914</v>
      </c>
      <c r="D187" s="13" t="s">
        <v>214</v>
      </c>
      <c r="E187" s="14" t="s">
        <v>908</v>
      </c>
      <c r="F187" s="14" t="s">
        <v>909</v>
      </c>
      <c r="G187" s="15"/>
      <c r="H187" s="16" t="s">
        <v>208</v>
      </c>
      <c r="I187" s="15"/>
      <c r="J187" s="16" t="s">
        <v>208</v>
      </c>
      <c r="K187" s="15"/>
      <c r="L187" s="16"/>
      <c r="M187" s="15"/>
      <c r="N187" s="16" t="s">
        <v>208</v>
      </c>
      <c r="O187" s="15"/>
      <c r="P187" s="16"/>
      <c r="Q187" s="15"/>
      <c r="R187" s="16" t="s">
        <v>208</v>
      </c>
      <c r="S187" s="17" t="n">
        <f>20.29</f>
        <v>20.29</v>
      </c>
      <c r="T187" s="18" t="str">
        <f>"－"</f>
        <v>－</v>
      </c>
      <c r="U187" s="18"/>
      <c r="V187" s="18" t="str">
        <f>"－"</f>
        <v>－</v>
      </c>
      <c r="W187" s="18"/>
      <c r="X187" s="15"/>
      <c r="Y187" s="19" t="str">
        <f>"－"</f>
        <v>－</v>
      </c>
      <c r="Z187" s="20" t="str">
        <f>"－"</f>
        <v>－</v>
      </c>
    </row>
    <row r="188">
      <c r="A188" s="12" t="s">
        <v>42</v>
      </c>
      <c r="B188" s="13" t="s">
        <v>913</v>
      </c>
      <c r="C188" s="13" t="s">
        <v>914</v>
      </c>
      <c r="D188" s="13" t="s">
        <v>223</v>
      </c>
      <c r="E188" s="14" t="s">
        <v>845</v>
      </c>
      <c r="F188" s="14" t="s">
        <v>910</v>
      </c>
      <c r="G188" s="15"/>
      <c r="H188" s="16" t="s">
        <v>208</v>
      </c>
      <c r="I188" s="15"/>
      <c r="J188" s="16" t="s">
        <v>208</v>
      </c>
      <c r="K188" s="15"/>
      <c r="L188" s="16"/>
      <c r="M188" s="15"/>
      <c r="N188" s="16" t="s">
        <v>208</v>
      </c>
      <c r="O188" s="15"/>
      <c r="P188" s="16"/>
      <c r="Q188" s="15"/>
      <c r="R188" s="16" t="s">
        <v>208</v>
      </c>
      <c r="S188" s="17" t="n">
        <f>20.29</f>
        <v>20.29</v>
      </c>
      <c r="T188" s="18" t="str">
        <f>"－"</f>
        <v>－</v>
      </c>
      <c r="U188" s="18"/>
      <c r="V188" s="18" t="str">
        <f>"－"</f>
        <v>－</v>
      </c>
      <c r="W188" s="18"/>
      <c r="X188" s="15"/>
      <c r="Y188" s="19" t="str">
        <f>"－"</f>
        <v>－</v>
      </c>
      <c r="Z188" s="20" t="str">
        <f>"－"</f>
        <v>－</v>
      </c>
    </row>
    <row r="189">
      <c r="A189" s="12" t="s">
        <v>42</v>
      </c>
      <c r="B189" s="13" t="s">
        <v>915</v>
      </c>
      <c r="C189" s="13" t="s">
        <v>916</v>
      </c>
      <c r="D189" s="13" t="s">
        <v>234</v>
      </c>
      <c r="E189" s="14" t="s">
        <v>917</v>
      </c>
      <c r="F189" s="14" t="s">
        <v>756</v>
      </c>
      <c r="G189" s="15" t="s">
        <v>48</v>
      </c>
      <c r="H189" s="16" t="s">
        <v>918</v>
      </c>
      <c r="I189" s="15" t="s">
        <v>241</v>
      </c>
      <c r="J189" s="16" t="s">
        <v>919</v>
      </c>
      <c r="K189" s="15"/>
      <c r="L189" s="16"/>
      <c r="M189" s="15" t="s">
        <v>145</v>
      </c>
      <c r="N189" s="16" t="s">
        <v>920</v>
      </c>
      <c r="O189" s="15"/>
      <c r="P189" s="16"/>
      <c r="Q189" s="15" t="s">
        <v>145</v>
      </c>
      <c r="R189" s="16" t="s">
        <v>921</v>
      </c>
      <c r="S189" s="17" t="n">
        <f>15.19</f>
        <v>15.19</v>
      </c>
      <c r="T189" s="18" t="n">
        <f>1641</f>
        <v>1641.0</v>
      </c>
      <c r="U189" s="18"/>
      <c r="V189" s="18" t="n">
        <f>248133000</f>
        <v>2.48133E8</v>
      </c>
      <c r="W189" s="18"/>
      <c r="X189" s="15" t="s">
        <v>58</v>
      </c>
      <c r="Y189" s="19" t="n">
        <f>1542</f>
        <v>1542.0</v>
      </c>
      <c r="Z189" s="20" t="n">
        <f>6</f>
        <v>6.0</v>
      </c>
    </row>
    <row r="190">
      <c r="A190" s="12" t="s">
        <v>42</v>
      </c>
      <c r="B190" s="13" t="s">
        <v>915</v>
      </c>
      <c r="C190" s="13" t="s">
        <v>916</v>
      </c>
      <c r="D190" s="13" t="s">
        <v>245</v>
      </c>
      <c r="E190" s="14" t="s">
        <v>922</v>
      </c>
      <c r="F190" s="14" t="s">
        <v>923</v>
      </c>
      <c r="G190" s="15" t="s">
        <v>48</v>
      </c>
      <c r="H190" s="16" t="s">
        <v>924</v>
      </c>
      <c r="I190" s="15" t="s">
        <v>251</v>
      </c>
      <c r="J190" s="16" t="s">
        <v>925</v>
      </c>
      <c r="K190" s="15"/>
      <c r="L190" s="16"/>
      <c r="M190" s="15" t="s">
        <v>435</v>
      </c>
      <c r="N190" s="16" t="s">
        <v>926</v>
      </c>
      <c r="O190" s="15"/>
      <c r="P190" s="16"/>
      <c r="Q190" s="15" t="s">
        <v>927</v>
      </c>
      <c r="R190" s="16" t="s">
        <v>928</v>
      </c>
      <c r="S190" s="17" t="n">
        <f>16.37</f>
        <v>16.37</v>
      </c>
      <c r="T190" s="18" t="n">
        <f>3646</f>
        <v>3646.0</v>
      </c>
      <c r="U190" s="18"/>
      <c r="V190" s="18" t="n">
        <f>589557500</f>
        <v>5.895575E8</v>
      </c>
      <c r="W190" s="18"/>
      <c r="X190" s="15" t="s">
        <v>58</v>
      </c>
      <c r="Y190" s="19" t="n">
        <f>1316</f>
        <v>1316.0</v>
      </c>
      <c r="Z190" s="20" t="n">
        <f>25</f>
        <v>25.0</v>
      </c>
    </row>
    <row r="191">
      <c r="A191" s="12" t="s">
        <v>42</v>
      </c>
      <c r="B191" s="13" t="s">
        <v>915</v>
      </c>
      <c r="C191" s="13" t="s">
        <v>916</v>
      </c>
      <c r="D191" s="13" t="s">
        <v>45</v>
      </c>
      <c r="E191" s="14" t="s">
        <v>929</v>
      </c>
      <c r="F191" s="14" t="s">
        <v>930</v>
      </c>
      <c r="G191" s="15" t="s">
        <v>171</v>
      </c>
      <c r="H191" s="16" t="s">
        <v>931</v>
      </c>
      <c r="I191" s="15" t="s">
        <v>485</v>
      </c>
      <c r="J191" s="16" t="s">
        <v>932</v>
      </c>
      <c r="K191" s="15"/>
      <c r="L191" s="16"/>
      <c r="M191" s="15" t="s">
        <v>274</v>
      </c>
      <c r="N191" s="16" t="s">
        <v>933</v>
      </c>
      <c r="O191" s="15"/>
      <c r="P191" s="16"/>
      <c r="Q191" s="15" t="s">
        <v>485</v>
      </c>
      <c r="R191" s="16" t="s">
        <v>934</v>
      </c>
      <c r="S191" s="17" t="n">
        <f>19.83</f>
        <v>19.83</v>
      </c>
      <c r="T191" s="18" t="n">
        <f>4285</f>
        <v>4285.0</v>
      </c>
      <c r="U191" s="18"/>
      <c r="V191" s="18" t="n">
        <f>1066734000</f>
        <v>1.066734E9</v>
      </c>
      <c r="W191" s="18"/>
      <c r="X191" s="15" t="s">
        <v>58</v>
      </c>
      <c r="Y191" s="19" t="n">
        <f>383</f>
        <v>383.0</v>
      </c>
      <c r="Z191" s="20" t="n">
        <f>38</f>
        <v>38.0</v>
      </c>
    </row>
    <row r="192">
      <c r="A192" s="12" t="s">
        <v>42</v>
      </c>
      <c r="B192" s="13" t="s">
        <v>915</v>
      </c>
      <c r="C192" s="13" t="s">
        <v>916</v>
      </c>
      <c r="D192" s="13" t="s">
        <v>260</v>
      </c>
      <c r="E192" s="14" t="s">
        <v>935</v>
      </c>
      <c r="F192" s="14" t="s">
        <v>936</v>
      </c>
      <c r="G192" s="15" t="s">
        <v>435</v>
      </c>
      <c r="H192" s="16" t="s">
        <v>937</v>
      </c>
      <c r="I192" s="15" t="s">
        <v>89</v>
      </c>
      <c r="J192" s="16" t="s">
        <v>938</v>
      </c>
      <c r="K192" s="15"/>
      <c r="L192" s="16"/>
      <c r="M192" s="15" t="s">
        <v>254</v>
      </c>
      <c r="N192" s="16" t="s">
        <v>939</v>
      </c>
      <c r="O192" s="15"/>
      <c r="P192" s="16"/>
      <c r="Q192" s="15" t="s">
        <v>775</v>
      </c>
      <c r="R192" s="16" t="s">
        <v>940</v>
      </c>
      <c r="S192" s="17" t="n">
        <f>28.27</f>
        <v>28.27</v>
      </c>
      <c r="T192" s="18" t="n">
        <f>5292</f>
        <v>5292.0</v>
      </c>
      <c r="U192" s="18"/>
      <c r="V192" s="18" t="n">
        <f>2161125000</f>
        <v>2.161125E9</v>
      </c>
      <c r="W192" s="18"/>
      <c r="X192" s="15" t="s">
        <v>58</v>
      </c>
      <c r="Y192" s="19" t="n">
        <f>199</f>
        <v>199.0</v>
      </c>
      <c r="Z192" s="20" t="n">
        <f>43</f>
        <v>43.0</v>
      </c>
    </row>
    <row r="193">
      <c r="A193" s="12" t="s">
        <v>42</v>
      </c>
      <c r="B193" s="13" t="s">
        <v>915</v>
      </c>
      <c r="C193" s="13" t="s">
        <v>916</v>
      </c>
      <c r="D193" s="13" t="s">
        <v>269</v>
      </c>
      <c r="E193" s="14" t="s">
        <v>941</v>
      </c>
      <c r="F193" s="14" t="s">
        <v>942</v>
      </c>
      <c r="G193" s="15" t="s">
        <v>943</v>
      </c>
      <c r="H193" s="16" t="s">
        <v>944</v>
      </c>
      <c r="I193" s="15" t="s">
        <v>89</v>
      </c>
      <c r="J193" s="16" t="s">
        <v>945</v>
      </c>
      <c r="K193" s="15"/>
      <c r="L193" s="16"/>
      <c r="M193" s="15" t="s">
        <v>943</v>
      </c>
      <c r="N193" s="16" t="s">
        <v>944</v>
      </c>
      <c r="O193" s="15"/>
      <c r="P193" s="16"/>
      <c r="Q193" s="15" t="s">
        <v>946</v>
      </c>
      <c r="R193" s="16" t="s">
        <v>947</v>
      </c>
      <c r="S193" s="17" t="n">
        <f>29.92</f>
        <v>29.92</v>
      </c>
      <c r="T193" s="18" t="n">
        <f>2263</f>
        <v>2263.0</v>
      </c>
      <c r="U193" s="18"/>
      <c r="V193" s="18" t="n">
        <f>1039380000</f>
        <v>1.03938E9</v>
      </c>
      <c r="W193" s="18"/>
      <c r="X193" s="15" t="s">
        <v>58</v>
      </c>
      <c r="Y193" s="19" t="n">
        <f>98</f>
        <v>98.0</v>
      </c>
      <c r="Z193" s="20" t="n">
        <f>41</f>
        <v>41.0</v>
      </c>
    </row>
    <row r="194">
      <c r="A194" s="12" t="s">
        <v>42</v>
      </c>
      <c r="B194" s="13" t="s">
        <v>915</v>
      </c>
      <c r="C194" s="13" t="s">
        <v>916</v>
      </c>
      <c r="D194" s="13" t="s">
        <v>59</v>
      </c>
      <c r="E194" s="14" t="s">
        <v>948</v>
      </c>
      <c r="F194" s="14" t="s">
        <v>949</v>
      </c>
      <c r="G194" s="15" t="s">
        <v>562</v>
      </c>
      <c r="H194" s="16" t="s">
        <v>950</v>
      </c>
      <c r="I194" s="15" t="s">
        <v>89</v>
      </c>
      <c r="J194" s="16" t="s">
        <v>951</v>
      </c>
      <c r="K194" s="15"/>
      <c r="L194" s="16"/>
      <c r="M194" s="15" t="s">
        <v>562</v>
      </c>
      <c r="N194" s="16" t="s">
        <v>950</v>
      </c>
      <c r="O194" s="15"/>
      <c r="P194" s="16"/>
      <c r="Q194" s="15" t="s">
        <v>566</v>
      </c>
      <c r="R194" s="16" t="s">
        <v>952</v>
      </c>
      <c r="S194" s="17" t="n">
        <f>28.59</f>
        <v>28.59</v>
      </c>
      <c r="T194" s="18" t="n">
        <f>628</f>
        <v>628.0</v>
      </c>
      <c r="U194" s="18"/>
      <c r="V194" s="18" t="n">
        <f>216657500</f>
        <v>2.166575E8</v>
      </c>
      <c r="W194" s="18"/>
      <c r="X194" s="15" t="s">
        <v>58</v>
      </c>
      <c r="Y194" s="19" t="n">
        <f>41</f>
        <v>41.0</v>
      </c>
      <c r="Z194" s="20" t="n">
        <f>44</f>
        <v>44.0</v>
      </c>
    </row>
    <row r="195">
      <c r="A195" s="12" t="s">
        <v>42</v>
      </c>
      <c r="B195" s="13" t="s">
        <v>915</v>
      </c>
      <c r="C195" s="13" t="s">
        <v>916</v>
      </c>
      <c r="D195" s="13" t="s">
        <v>284</v>
      </c>
      <c r="E195" s="14" t="s">
        <v>953</v>
      </c>
      <c r="F195" s="14" t="s">
        <v>789</v>
      </c>
      <c r="G195" s="15" t="s">
        <v>954</v>
      </c>
      <c r="H195" s="16" t="s">
        <v>955</v>
      </c>
      <c r="I195" s="15" t="s">
        <v>421</v>
      </c>
      <c r="J195" s="16" t="s">
        <v>956</v>
      </c>
      <c r="K195" s="15"/>
      <c r="L195" s="16"/>
      <c r="M195" s="15" t="s">
        <v>957</v>
      </c>
      <c r="N195" s="16" t="s">
        <v>958</v>
      </c>
      <c r="O195" s="15"/>
      <c r="P195" s="16"/>
      <c r="Q195" s="15" t="s">
        <v>794</v>
      </c>
      <c r="R195" s="16" t="s">
        <v>959</v>
      </c>
      <c r="S195" s="17" t="n">
        <f>24.97</f>
        <v>24.97</v>
      </c>
      <c r="T195" s="18" t="n">
        <f>895</f>
        <v>895.0</v>
      </c>
      <c r="U195" s="18"/>
      <c r="V195" s="18" t="n">
        <f>258834000</f>
        <v>2.58834E8</v>
      </c>
      <c r="W195" s="18"/>
      <c r="X195" s="15" t="s">
        <v>58</v>
      </c>
      <c r="Y195" s="19" t="n">
        <f>164</f>
        <v>164.0</v>
      </c>
      <c r="Z195" s="20" t="n">
        <f>45</f>
        <v>45.0</v>
      </c>
    </row>
    <row r="196">
      <c r="A196" s="12" t="s">
        <v>42</v>
      </c>
      <c r="B196" s="13" t="s">
        <v>915</v>
      </c>
      <c r="C196" s="13" t="s">
        <v>916</v>
      </c>
      <c r="D196" s="13" t="s">
        <v>295</v>
      </c>
      <c r="E196" s="14" t="s">
        <v>960</v>
      </c>
      <c r="F196" s="14" t="s">
        <v>961</v>
      </c>
      <c r="G196" s="15" t="s">
        <v>962</v>
      </c>
      <c r="H196" s="16" t="s">
        <v>963</v>
      </c>
      <c r="I196" s="15" t="s">
        <v>421</v>
      </c>
      <c r="J196" s="16" t="s">
        <v>964</v>
      </c>
      <c r="K196" s="15"/>
      <c r="L196" s="16"/>
      <c r="M196" s="15" t="s">
        <v>965</v>
      </c>
      <c r="N196" s="16" t="s">
        <v>966</v>
      </c>
      <c r="O196" s="15"/>
      <c r="P196" s="16"/>
      <c r="Q196" s="15" t="s">
        <v>965</v>
      </c>
      <c r="R196" s="16" t="s">
        <v>967</v>
      </c>
      <c r="S196" s="17" t="n">
        <f>23.27</f>
        <v>23.27</v>
      </c>
      <c r="T196" s="18" t="n">
        <f>1077</f>
        <v>1077.0</v>
      </c>
      <c r="U196" s="18"/>
      <c r="V196" s="18" t="n">
        <f>292997000</f>
        <v>2.92997E8</v>
      </c>
      <c r="W196" s="18"/>
      <c r="X196" s="15" t="s">
        <v>58</v>
      </c>
      <c r="Y196" s="19" t="n">
        <f>24</f>
        <v>24.0</v>
      </c>
      <c r="Z196" s="20" t="n">
        <f>42</f>
        <v>42.0</v>
      </c>
    </row>
    <row r="197">
      <c r="A197" s="12" t="s">
        <v>42</v>
      </c>
      <c r="B197" s="13" t="s">
        <v>915</v>
      </c>
      <c r="C197" s="13" t="s">
        <v>916</v>
      </c>
      <c r="D197" s="13" t="s">
        <v>70</v>
      </c>
      <c r="E197" s="14" t="s">
        <v>821</v>
      </c>
      <c r="F197" s="14" t="s">
        <v>968</v>
      </c>
      <c r="G197" s="15" t="s">
        <v>969</v>
      </c>
      <c r="H197" s="16" t="s">
        <v>970</v>
      </c>
      <c r="I197" s="15" t="s">
        <v>969</v>
      </c>
      <c r="J197" s="16" t="s">
        <v>971</v>
      </c>
      <c r="K197" s="15"/>
      <c r="L197" s="16"/>
      <c r="M197" s="15" t="s">
        <v>972</v>
      </c>
      <c r="N197" s="16" t="s">
        <v>973</v>
      </c>
      <c r="O197" s="15"/>
      <c r="P197" s="16"/>
      <c r="Q197" s="15" t="s">
        <v>463</v>
      </c>
      <c r="R197" s="16" t="s">
        <v>974</v>
      </c>
      <c r="S197" s="17" t="n">
        <f>20.92</f>
        <v>20.92</v>
      </c>
      <c r="T197" s="18" t="n">
        <f>1717</f>
        <v>1717.0</v>
      </c>
      <c r="U197" s="18"/>
      <c r="V197" s="18" t="n">
        <f>393344000</f>
        <v>3.93344E8</v>
      </c>
      <c r="W197" s="18"/>
      <c r="X197" s="15" t="s">
        <v>58</v>
      </c>
      <c r="Y197" s="19" t="n">
        <f>200</f>
        <v>200.0</v>
      </c>
      <c r="Z197" s="20" t="n">
        <f>36</f>
        <v>36.0</v>
      </c>
    </row>
    <row r="198">
      <c r="A198" s="12" t="s">
        <v>42</v>
      </c>
      <c r="B198" s="13" t="s">
        <v>915</v>
      </c>
      <c r="C198" s="13" t="s">
        <v>916</v>
      </c>
      <c r="D198" s="13" t="s">
        <v>314</v>
      </c>
      <c r="E198" s="14" t="s">
        <v>975</v>
      </c>
      <c r="F198" s="14" t="s">
        <v>976</v>
      </c>
      <c r="G198" s="15" t="s">
        <v>977</v>
      </c>
      <c r="H198" s="16" t="s">
        <v>978</v>
      </c>
      <c r="I198" s="15" t="s">
        <v>979</v>
      </c>
      <c r="J198" s="16" t="s">
        <v>980</v>
      </c>
      <c r="K198" s="15"/>
      <c r="L198" s="16"/>
      <c r="M198" s="15" t="s">
        <v>981</v>
      </c>
      <c r="N198" s="16" t="s">
        <v>982</v>
      </c>
      <c r="O198" s="15"/>
      <c r="P198" s="16"/>
      <c r="Q198" s="15" t="s">
        <v>981</v>
      </c>
      <c r="R198" s="16" t="s">
        <v>983</v>
      </c>
      <c r="S198" s="17" t="n">
        <f>21.03</f>
        <v>21.03</v>
      </c>
      <c r="T198" s="18" t="n">
        <f>2683</f>
        <v>2683.0</v>
      </c>
      <c r="U198" s="18"/>
      <c r="V198" s="18" t="n">
        <f>664906500</f>
        <v>6.649065E8</v>
      </c>
      <c r="W198" s="18"/>
      <c r="X198" s="15" t="s">
        <v>58</v>
      </c>
      <c r="Y198" s="19" t="n">
        <f>124</f>
        <v>124.0</v>
      </c>
      <c r="Z198" s="20" t="n">
        <f>43</f>
        <v>43.0</v>
      </c>
    </row>
    <row r="199">
      <c r="A199" s="12" t="s">
        <v>42</v>
      </c>
      <c r="B199" s="13" t="s">
        <v>915</v>
      </c>
      <c r="C199" s="13" t="s">
        <v>916</v>
      </c>
      <c r="D199" s="13" t="s">
        <v>326</v>
      </c>
      <c r="E199" s="14" t="s">
        <v>984</v>
      </c>
      <c r="F199" s="14" t="s">
        <v>985</v>
      </c>
      <c r="G199" s="15" t="s">
        <v>603</v>
      </c>
      <c r="H199" s="16" t="s">
        <v>986</v>
      </c>
      <c r="I199" s="15" t="s">
        <v>603</v>
      </c>
      <c r="J199" s="16" t="s">
        <v>986</v>
      </c>
      <c r="K199" s="15"/>
      <c r="L199" s="16"/>
      <c r="M199" s="15" t="s">
        <v>987</v>
      </c>
      <c r="N199" s="16" t="s">
        <v>988</v>
      </c>
      <c r="O199" s="15"/>
      <c r="P199" s="16"/>
      <c r="Q199" s="15" t="s">
        <v>331</v>
      </c>
      <c r="R199" s="16" t="s">
        <v>989</v>
      </c>
      <c r="S199" s="17" t="n">
        <f>20.46</f>
        <v>20.46</v>
      </c>
      <c r="T199" s="18" t="n">
        <f>2284</f>
        <v>2284.0</v>
      </c>
      <c r="U199" s="18"/>
      <c r="V199" s="18" t="n">
        <f>535551000</f>
        <v>5.35551E8</v>
      </c>
      <c r="W199" s="18"/>
      <c r="X199" s="15" t="s">
        <v>58</v>
      </c>
      <c r="Y199" s="19" t="n">
        <f>437</f>
        <v>437.0</v>
      </c>
      <c r="Z199" s="20" t="n">
        <f>42</f>
        <v>42.0</v>
      </c>
    </row>
    <row r="200">
      <c r="A200" s="12" t="s">
        <v>42</v>
      </c>
      <c r="B200" s="13" t="s">
        <v>915</v>
      </c>
      <c r="C200" s="13" t="s">
        <v>916</v>
      </c>
      <c r="D200" s="13" t="s">
        <v>81</v>
      </c>
      <c r="E200" s="14" t="s">
        <v>990</v>
      </c>
      <c r="F200" s="14" t="s">
        <v>991</v>
      </c>
      <c r="G200" s="15" t="s">
        <v>579</v>
      </c>
      <c r="H200" s="16" t="s">
        <v>992</v>
      </c>
      <c r="I200" s="15" t="s">
        <v>467</v>
      </c>
      <c r="J200" s="16" t="s">
        <v>993</v>
      </c>
      <c r="K200" s="15"/>
      <c r="L200" s="16"/>
      <c r="M200" s="15" t="s">
        <v>579</v>
      </c>
      <c r="N200" s="16" t="s">
        <v>992</v>
      </c>
      <c r="O200" s="15"/>
      <c r="P200" s="16"/>
      <c r="Q200" s="15" t="s">
        <v>513</v>
      </c>
      <c r="R200" s="16" t="s">
        <v>988</v>
      </c>
      <c r="S200" s="17" t="n">
        <f>19.64</f>
        <v>19.64</v>
      </c>
      <c r="T200" s="18" t="n">
        <f>2689</f>
        <v>2689.0</v>
      </c>
      <c r="U200" s="18"/>
      <c r="V200" s="18" t="n">
        <f>564207500</f>
        <v>5.642075E8</v>
      </c>
      <c r="W200" s="18"/>
      <c r="X200" s="15" t="s">
        <v>58</v>
      </c>
      <c r="Y200" s="19" t="n">
        <f>680</f>
        <v>680.0</v>
      </c>
      <c r="Z200" s="20" t="n">
        <f>41</f>
        <v>41.0</v>
      </c>
    </row>
    <row r="201">
      <c r="A201" s="12" t="s">
        <v>42</v>
      </c>
      <c r="B201" s="13" t="s">
        <v>915</v>
      </c>
      <c r="C201" s="13" t="s">
        <v>916</v>
      </c>
      <c r="D201" s="13" t="s">
        <v>344</v>
      </c>
      <c r="E201" s="14" t="s">
        <v>994</v>
      </c>
      <c r="F201" s="14" t="s">
        <v>995</v>
      </c>
      <c r="G201" s="15" t="s">
        <v>140</v>
      </c>
      <c r="H201" s="16" t="s">
        <v>996</v>
      </c>
      <c r="I201" s="15" t="s">
        <v>997</v>
      </c>
      <c r="J201" s="16" t="s">
        <v>998</v>
      </c>
      <c r="K201" s="15"/>
      <c r="L201" s="16"/>
      <c r="M201" s="15" t="s">
        <v>146</v>
      </c>
      <c r="N201" s="16" t="s">
        <v>999</v>
      </c>
      <c r="O201" s="15"/>
      <c r="P201" s="16"/>
      <c r="Q201" s="15" t="s">
        <v>97</v>
      </c>
      <c r="R201" s="16" t="s">
        <v>1000</v>
      </c>
      <c r="S201" s="17" t="n">
        <f>19.57</f>
        <v>19.57</v>
      </c>
      <c r="T201" s="18" t="n">
        <f>2256</f>
        <v>2256.0</v>
      </c>
      <c r="U201" s="18"/>
      <c r="V201" s="18" t="n">
        <f>462964500</f>
        <v>4.629645E8</v>
      </c>
      <c r="W201" s="18"/>
      <c r="X201" s="15"/>
      <c r="Y201" s="19" t="n">
        <f>653</f>
        <v>653.0</v>
      </c>
      <c r="Z201" s="20" t="n">
        <f>37</f>
        <v>37.0</v>
      </c>
    </row>
    <row r="202">
      <c r="A202" s="12" t="s">
        <v>42</v>
      </c>
      <c r="B202" s="13" t="s">
        <v>915</v>
      </c>
      <c r="C202" s="13" t="s">
        <v>916</v>
      </c>
      <c r="D202" s="13" t="s">
        <v>355</v>
      </c>
      <c r="E202" s="14" t="s">
        <v>1001</v>
      </c>
      <c r="F202" s="14" t="s">
        <v>1002</v>
      </c>
      <c r="G202" s="15" t="s">
        <v>681</v>
      </c>
      <c r="H202" s="16" t="s">
        <v>1003</v>
      </c>
      <c r="I202" s="15" t="s">
        <v>430</v>
      </c>
      <c r="J202" s="16" t="s">
        <v>1004</v>
      </c>
      <c r="K202" s="15"/>
      <c r="L202" s="16"/>
      <c r="M202" s="15" t="s">
        <v>681</v>
      </c>
      <c r="N202" s="16" t="s">
        <v>1003</v>
      </c>
      <c r="O202" s="15"/>
      <c r="P202" s="16"/>
      <c r="Q202" s="15" t="s">
        <v>97</v>
      </c>
      <c r="R202" s="16" t="s">
        <v>958</v>
      </c>
      <c r="S202" s="17" t="n">
        <f>19.19</f>
        <v>19.19</v>
      </c>
      <c r="T202" s="18" t="n">
        <f>698</f>
        <v>698.0</v>
      </c>
      <c r="U202" s="18"/>
      <c r="V202" s="18" t="n">
        <f>152863500</f>
        <v>1.528635E8</v>
      </c>
      <c r="W202" s="18"/>
      <c r="X202" s="15"/>
      <c r="Y202" s="19" t="n">
        <f>411</f>
        <v>411.0</v>
      </c>
      <c r="Z202" s="20" t="n">
        <f>18</f>
        <v>18.0</v>
      </c>
    </row>
    <row r="203">
      <c r="A203" s="12" t="s">
        <v>42</v>
      </c>
      <c r="B203" s="13" t="s">
        <v>915</v>
      </c>
      <c r="C203" s="13" t="s">
        <v>916</v>
      </c>
      <c r="D203" s="13" t="s">
        <v>93</v>
      </c>
      <c r="E203" s="14" t="s">
        <v>837</v>
      </c>
      <c r="F203" s="14" t="s">
        <v>1005</v>
      </c>
      <c r="G203" s="15"/>
      <c r="H203" s="16" t="s">
        <v>208</v>
      </c>
      <c r="I203" s="15"/>
      <c r="J203" s="16" t="s">
        <v>208</v>
      </c>
      <c r="K203" s="15"/>
      <c r="L203" s="16"/>
      <c r="M203" s="15"/>
      <c r="N203" s="16" t="s">
        <v>208</v>
      </c>
      <c r="O203" s="15"/>
      <c r="P203" s="16"/>
      <c r="Q203" s="15"/>
      <c r="R203" s="16" t="s">
        <v>208</v>
      </c>
      <c r="S203" s="17" t="n">
        <f>19.24</f>
        <v>19.24</v>
      </c>
      <c r="T203" s="18" t="str">
        <f>"－"</f>
        <v>－</v>
      </c>
      <c r="U203" s="18"/>
      <c r="V203" s="18" t="str">
        <f>"－"</f>
        <v>－</v>
      </c>
      <c r="W203" s="18"/>
      <c r="X203" s="15"/>
      <c r="Y203" s="19" t="str">
        <f>"－"</f>
        <v>－</v>
      </c>
      <c r="Z203" s="20" t="str">
        <f>"－"</f>
        <v>－</v>
      </c>
    </row>
    <row r="204">
      <c r="A204" s="12" t="s">
        <v>42</v>
      </c>
      <c r="B204" s="13" t="s">
        <v>915</v>
      </c>
      <c r="C204" s="13" t="s">
        <v>916</v>
      </c>
      <c r="D204" s="13" t="s">
        <v>370</v>
      </c>
      <c r="E204" s="14" t="s">
        <v>1006</v>
      </c>
      <c r="F204" s="14" t="s">
        <v>1007</v>
      </c>
      <c r="G204" s="15"/>
      <c r="H204" s="16" t="s">
        <v>208</v>
      </c>
      <c r="I204" s="15"/>
      <c r="J204" s="16" t="s">
        <v>208</v>
      </c>
      <c r="K204" s="15"/>
      <c r="L204" s="16"/>
      <c r="M204" s="15"/>
      <c r="N204" s="16" t="s">
        <v>208</v>
      </c>
      <c r="O204" s="15"/>
      <c r="P204" s="16"/>
      <c r="Q204" s="15"/>
      <c r="R204" s="16" t="s">
        <v>208</v>
      </c>
      <c r="S204" s="17" t="n">
        <f>18.39</f>
        <v>18.39</v>
      </c>
      <c r="T204" s="18" t="str">
        <f>"－"</f>
        <v>－</v>
      </c>
      <c r="U204" s="18"/>
      <c r="V204" s="18" t="str">
        <f>"－"</f>
        <v>－</v>
      </c>
      <c r="W204" s="18"/>
      <c r="X204" s="15"/>
      <c r="Y204" s="19" t="str">
        <f>"－"</f>
        <v>－</v>
      </c>
      <c r="Z204" s="20" t="str">
        <f>"－"</f>
        <v>－</v>
      </c>
    </row>
    <row r="205">
      <c r="A205" s="12" t="s">
        <v>42</v>
      </c>
      <c r="B205" s="13" t="s">
        <v>915</v>
      </c>
      <c r="C205" s="13" t="s">
        <v>916</v>
      </c>
      <c r="D205" s="13" t="s">
        <v>1008</v>
      </c>
      <c r="E205" s="14" t="s">
        <v>1009</v>
      </c>
      <c r="F205" s="14" t="s">
        <v>1010</v>
      </c>
      <c r="G205" s="15" t="s">
        <v>981</v>
      </c>
      <c r="H205" s="16" t="s">
        <v>1011</v>
      </c>
      <c r="I205" s="15" t="s">
        <v>981</v>
      </c>
      <c r="J205" s="16" t="s">
        <v>1011</v>
      </c>
      <c r="K205" s="15"/>
      <c r="L205" s="16"/>
      <c r="M205" s="15" t="s">
        <v>981</v>
      </c>
      <c r="N205" s="16" t="s">
        <v>1011</v>
      </c>
      <c r="O205" s="15"/>
      <c r="P205" s="16"/>
      <c r="Q205" s="15" t="s">
        <v>981</v>
      </c>
      <c r="R205" s="16" t="s">
        <v>1011</v>
      </c>
      <c r="S205" s="17" t="n">
        <f>21.74</f>
        <v>21.74</v>
      </c>
      <c r="T205" s="18" t="n">
        <f>2</f>
        <v>2.0</v>
      </c>
      <c r="U205" s="18"/>
      <c r="V205" s="18" t="n">
        <f>484000</f>
        <v>484000.0</v>
      </c>
      <c r="W205" s="18"/>
      <c r="X205" s="15"/>
      <c r="Y205" s="19" t="n">
        <f>2</f>
        <v>2.0</v>
      </c>
      <c r="Z205" s="20" t="n">
        <f>1</f>
        <v>1.0</v>
      </c>
    </row>
    <row r="206">
      <c r="A206" s="12" t="s">
        <v>42</v>
      </c>
      <c r="B206" s="13" t="s">
        <v>915</v>
      </c>
      <c r="C206" s="13" t="s">
        <v>916</v>
      </c>
      <c r="D206" s="13" t="s">
        <v>103</v>
      </c>
      <c r="E206" s="14" t="s">
        <v>1012</v>
      </c>
      <c r="F206" s="14" t="s">
        <v>1013</v>
      </c>
      <c r="G206" s="15"/>
      <c r="H206" s="16" t="s">
        <v>208</v>
      </c>
      <c r="I206" s="15"/>
      <c r="J206" s="16" t="s">
        <v>208</v>
      </c>
      <c r="K206" s="15"/>
      <c r="L206" s="16"/>
      <c r="M206" s="15"/>
      <c r="N206" s="16" t="s">
        <v>208</v>
      </c>
      <c r="O206" s="15"/>
      <c r="P206" s="16"/>
      <c r="Q206" s="15"/>
      <c r="R206" s="16" t="s">
        <v>208</v>
      </c>
      <c r="S206" s="17" t="n">
        <f>24.46</f>
        <v>24.46</v>
      </c>
      <c r="T206" s="18" t="str">
        <f>"－"</f>
        <v>－</v>
      </c>
      <c r="U206" s="18"/>
      <c r="V206" s="18" t="str">
        <f>"－"</f>
        <v>－</v>
      </c>
      <c r="W206" s="18"/>
      <c r="X206" s="15"/>
      <c r="Y206" s="19" t="str">
        <f>"－"</f>
        <v>－</v>
      </c>
      <c r="Z206" s="20" t="str">
        <f>"－"</f>
        <v>－</v>
      </c>
    </row>
    <row r="207">
      <c r="A207" s="12" t="s">
        <v>42</v>
      </c>
      <c r="B207" s="13" t="s">
        <v>915</v>
      </c>
      <c r="C207" s="13" t="s">
        <v>916</v>
      </c>
      <c r="D207" s="13" t="s">
        <v>1014</v>
      </c>
      <c r="E207" s="14" t="s">
        <v>1015</v>
      </c>
      <c r="F207" s="14" t="s">
        <v>1016</v>
      </c>
      <c r="G207" s="15"/>
      <c r="H207" s="16" t="s">
        <v>208</v>
      </c>
      <c r="I207" s="15"/>
      <c r="J207" s="16" t="s">
        <v>208</v>
      </c>
      <c r="K207" s="15"/>
      <c r="L207" s="16"/>
      <c r="M207" s="15"/>
      <c r="N207" s="16" t="s">
        <v>208</v>
      </c>
      <c r="O207" s="15"/>
      <c r="P207" s="16"/>
      <c r="Q207" s="15"/>
      <c r="R207" s="16" t="s">
        <v>208</v>
      </c>
      <c r="S207" s="17" t="n">
        <f>24.41</f>
        <v>24.41</v>
      </c>
      <c r="T207" s="18" t="str">
        <f>"－"</f>
        <v>－</v>
      </c>
      <c r="U207" s="18"/>
      <c r="V207" s="18" t="str">
        <f>"－"</f>
        <v>－</v>
      </c>
      <c r="W207" s="18"/>
      <c r="X207" s="15"/>
      <c r="Y207" s="19" t="str">
        <f>"－"</f>
        <v>－</v>
      </c>
      <c r="Z207" s="20" t="str">
        <f>"－"</f>
        <v>－</v>
      </c>
    </row>
    <row r="208">
      <c r="A208" s="12" t="s">
        <v>42</v>
      </c>
      <c r="B208" s="13" t="s">
        <v>915</v>
      </c>
      <c r="C208" s="13" t="s">
        <v>916</v>
      </c>
      <c r="D208" s="13" t="s">
        <v>1017</v>
      </c>
      <c r="E208" s="14" t="s">
        <v>1018</v>
      </c>
      <c r="F208" s="14" t="s">
        <v>1019</v>
      </c>
      <c r="G208" s="15"/>
      <c r="H208" s="16" t="s">
        <v>208</v>
      </c>
      <c r="I208" s="15"/>
      <c r="J208" s="16" t="s">
        <v>208</v>
      </c>
      <c r="K208" s="15"/>
      <c r="L208" s="16"/>
      <c r="M208" s="15"/>
      <c r="N208" s="16" t="s">
        <v>208</v>
      </c>
      <c r="O208" s="15"/>
      <c r="P208" s="16"/>
      <c r="Q208" s="15"/>
      <c r="R208" s="16" t="s">
        <v>208</v>
      </c>
      <c r="S208" s="17" t="n">
        <f>24.14</f>
        <v>24.14</v>
      </c>
      <c r="T208" s="18" t="str">
        <f>"－"</f>
        <v>－</v>
      </c>
      <c r="U208" s="18"/>
      <c r="V208" s="18" t="str">
        <f>"－"</f>
        <v>－</v>
      </c>
      <c r="W208" s="18"/>
      <c r="X208" s="15"/>
      <c r="Y208" s="19" t="str">
        <f>"－"</f>
        <v>－</v>
      </c>
      <c r="Z208" s="20" t="str">
        <f>"－"</f>
        <v>－</v>
      </c>
    </row>
  </sheetData>
  <mergeCells count="29">
    <mergeCell ref="X6:Y6"/>
    <mergeCell ref="X3:Y5"/>
    <mergeCell ref="W4:W5"/>
    <mergeCell ref="O4:P4"/>
    <mergeCell ref="U4:U5"/>
    <mergeCell ref="V4:V5"/>
    <mergeCell ref="E6:F6"/>
    <mergeCell ref="A2:C2"/>
    <mergeCell ref="A1:J1"/>
    <mergeCell ref="A3:A5"/>
    <mergeCell ref="G3:R3"/>
    <mergeCell ref="I4:I5"/>
    <mergeCell ref="J4:J5"/>
    <mergeCell ref="M4:M5"/>
    <mergeCell ref="N4:N5"/>
    <mergeCell ref="Q4:Q5"/>
    <mergeCell ref="R4:R5"/>
    <mergeCell ref="B3:B6"/>
    <mergeCell ref="C3:C6"/>
    <mergeCell ref="D3:D5"/>
    <mergeCell ref="E3:F5"/>
    <mergeCell ref="K4:L4"/>
    <mergeCell ref="Z3:Z5"/>
    <mergeCell ref="T4:T5"/>
    <mergeCell ref="S3:S5"/>
    <mergeCell ref="T3:U3"/>
    <mergeCell ref="V3:W3"/>
    <mergeCell ref="G4:G5"/>
    <mergeCell ref="H4:H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1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BO_DY0000</vt:lpstr>
      <vt:lpstr>BO_DY0000!Print_Titles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2018-03-22T09:16:28Z</cp:lastPrinted>
  <dcterms:modified xsi:type="dcterms:W3CDTF">2020-09-04T01:55:51Z</dcterms:modified>
</cp:coreProperties>
</file>