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-suzuki\Desktop\"/>
    </mc:Choice>
  </mc:AlternateContent>
  <xr:revisionPtr revIDLastSave="0" documentId="13_ncr:1_{167698FF-7AFE-4CFF-9E7B-802A0D016C30}" xr6:coauthVersionLast="46" xr6:coauthVersionMax="46" xr10:uidLastSave="{00000000-0000-0000-0000-000000000000}"/>
  <bookViews>
    <workbookView xWindow="-120" yWindow="-120" windowWidth="20760" windowHeight="13320" activeTab="1" xr2:uid="{00000000-000D-0000-FFFF-FFFF00000000}"/>
  </bookViews>
  <sheets>
    <sheet name="BO_DY0005" sheetId="9" r:id="rId1"/>
    <sheet name="BO_DY0007" sheetId="10" r:id="rId2"/>
  </sheets>
  <definedNames>
    <definedName name="_xlnm._FilterDatabase" localSheetId="0" hidden="1">BO_DY0005!$A$6:$AC$7</definedName>
    <definedName name="_xlnm._FilterDatabase" localSheetId="1" hidden="1">BO_DY0007!#REF!</definedName>
    <definedName name="_xlnm.Print_Titles" localSheetId="0">BO_DY0005!$1:$6</definedName>
    <definedName name="_xlnm.Print_Titles" localSheetId="1">BO_DY0007!$1:$6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28" i="10" l="1"/>
  <c r="AC228" i="10"/>
  <c r="AB228" i="10"/>
  <c r="X228" i="10"/>
  <c r="U228" i="10"/>
  <c r="T228" i="10"/>
  <c r="AD227" i="10"/>
  <c r="AC227" i="10"/>
  <c r="AB227" i="10"/>
  <c r="X227" i="10"/>
  <c r="U227" i="10"/>
  <c r="T227" i="10"/>
  <c r="AD226" i="10"/>
  <c r="AC226" i="10"/>
  <c r="AB226" i="10"/>
  <c r="X226" i="10"/>
  <c r="U226" i="10"/>
  <c r="T226" i="10"/>
  <c r="AD225" i="10"/>
  <c r="AC225" i="10"/>
  <c r="AB225" i="10"/>
  <c r="X225" i="10"/>
  <c r="U225" i="10"/>
  <c r="T225" i="10"/>
  <c r="AD224" i="10"/>
  <c r="AC224" i="10"/>
  <c r="AB224" i="10"/>
  <c r="X224" i="10"/>
  <c r="U224" i="10"/>
  <c r="T224" i="10"/>
  <c r="AD223" i="10"/>
  <c r="AC223" i="10"/>
  <c r="AB223" i="10"/>
  <c r="X223" i="10"/>
  <c r="U223" i="10"/>
  <c r="T223" i="10"/>
  <c r="AD222" i="10"/>
  <c r="AC222" i="10"/>
  <c r="AB222" i="10"/>
  <c r="X222" i="10"/>
  <c r="U222" i="10"/>
  <c r="T222" i="10"/>
  <c r="AD221" i="10"/>
  <c r="AC221" i="10"/>
  <c r="AB221" i="10"/>
  <c r="X221" i="10"/>
  <c r="U221" i="10"/>
  <c r="T221" i="10"/>
  <c r="AD220" i="10"/>
  <c r="AC220" i="10"/>
  <c r="AB220" i="10"/>
  <c r="X220" i="10"/>
  <c r="U220" i="10"/>
  <c r="T220" i="10"/>
  <c r="AD219" i="10"/>
  <c r="AC219" i="10"/>
  <c r="AB219" i="10"/>
  <c r="X219" i="10"/>
  <c r="U219" i="10"/>
  <c r="T219" i="10"/>
  <c r="AD218" i="10"/>
  <c r="AC218" i="10"/>
  <c r="AB218" i="10"/>
  <c r="X218" i="10"/>
  <c r="U218" i="10"/>
  <c r="T218" i="10"/>
  <c r="AD217" i="10"/>
  <c r="AC217" i="10"/>
  <c r="AB217" i="10"/>
  <c r="X217" i="10"/>
  <c r="U217" i="10"/>
  <c r="T217" i="10"/>
  <c r="AD216" i="10"/>
  <c r="AC216" i="10"/>
  <c r="AB216" i="10"/>
  <c r="X216" i="10"/>
  <c r="U216" i="10"/>
  <c r="T216" i="10"/>
  <c r="AD215" i="10"/>
  <c r="AC215" i="10"/>
  <c r="AB215" i="10"/>
  <c r="X215" i="10"/>
  <c r="U215" i="10"/>
  <c r="T215" i="10"/>
  <c r="AD214" i="10"/>
  <c r="AC214" i="10"/>
  <c r="AB214" i="10"/>
  <c r="X214" i="10"/>
  <c r="U214" i="10"/>
  <c r="T214" i="10"/>
  <c r="AD213" i="10"/>
  <c r="AC213" i="10"/>
  <c r="AB213" i="10"/>
  <c r="X213" i="10"/>
  <c r="U213" i="10"/>
  <c r="T213" i="10"/>
  <c r="AD212" i="10"/>
  <c r="AC212" i="10"/>
  <c r="AB212" i="10"/>
  <c r="X212" i="10"/>
  <c r="U212" i="10"/>
  <c r="T212" i="10"/>
  <c r="AD211" i="10"/>
  <c r="AC211" i="10"/>
  <c r="AB211" i="10"/>
  <c r="X211" i="10"/>
  <c r="U211" i="10"/>
  <c r="T211" i="10"/>
  <c r="AD210" i="10"/>
  <c r="AC210" i="10"/>
  <c r="AB210" i="10"/>
  <c r="X210" i="10"/>
  <c r="U210" i="10"/>
  <c r="T210" i="10"/>
  <c r="AD209" i="10"/>
  <c r="AC209" i="10"/>
  <c r="AB209" i="10"/>
  <c r="X209" i="10"/>
  <c r="U209" i="10"/>
  <c r="T209" i="10"/>
  <c r="AD208" i="10"/>
  <c r="AC208" i="10"/>
  <c r="AB208" i="10"/>
  <c r="X208" i="10"/>
  <c r="U208" i="10"/>
  <c r="T208" i="10"/>
  <c r="AD207" i="10"/>
  <c r="AC207" i="10"/>
  <c r="AB207" i="10"/>
  <c r="X207" i="10"/>
  <c r="U207" i="10"/>
  <c r="T207" i="10"/>
  <c r="AD206" i="10"/>
  <c r="AC206" i="10"/>
  <c r="AB206" i="10"/>
  <c r="X206" i="10"/>
  <c r="U206" i="10"/>
  <c r="T206" i="10"/>
  <c r="AD205" i="10"/>
  <c r="AC205" i="10"/>
  <c r="AB205" i="10"/>
  <c r="X205" i="10"/>
  <c r="U205" i="10"/>
  <c r="T205" i="10"/>
  <c r="AD204" i="10"/>
  <c r="AC204" i="10"/>
  <c r="AB204" i="10"/>
  <c r="X204" i="10"/>
  <c r="U204" i="10"/>
  <c r="T204" i="10"/>
  <c r="AD203" i="10"/>
  <c r="AC203" i="10"/>
  <c r="AB203" i="10"/>
  <c r="X203" i="10"/>
  <c r="U203" i="10"/>
  <c r="T203" i="10"/>
  <c r="AD202" i="10"/>
  <c r="AC202" i="10"/>
  <c r="AB202" i="10"/>
  <c r="X202" i="10"/>
  <c r="U202" i="10"/>
  <c r="T202" i="10"/>
  <c r="AD201" i="10"/>
  <c r="AC201" i="10"/>
  <c r="AB201" i="10"/>
  <c r="X201" i="10"/>
  <c r="U201" i="10"/>
  <c r="T201" i="10"/>
  <c r="AD200" i="10"/>
  <c r="AC200" i="10"/>
  <c r="AB200" i="10"/>
  <c r="X200" i="10"/>
  <c r="U200" i="10"/>
  <c r="T200" i="10"/>
  <c r="AD199" i="10"/>
  <c r="AC199" i="10"/>
  <c r="AB199" i="10"/>
  <c r="X199" i="10"/>
  <c r="U199" i="10"/>
  <c r="T199" i="10"/>
  <c r="AD198" i="10"/>
  <c r="AC198" i="10"/>
  <c r="AB198" i="10"/>
  <c r="X198" i="10"/>
  <c r="U198" i="10"/>
  <c r="T198" i="10"/>
  <c r="AD197" i="10"/>
  <c r="AC197" i="10"/>
  <c r="AB197" i="10"/>
  <c r="X197" i="10"/>
  <c r="U197" i="10"/>
  <c r="T197" i="10"/>
  <c r="AD196" i="10"/>
  <c r="AC196" i="10"/>
  <c r="AB196" i="10"/>
  <c r="X196" i="10"/>
  <c r="U196" i="10"/>
  <c r="T196" i="10"/>
  <c r="AD195" i="10"/>
  <c r="AC195" i="10"/>
  <c r="AB195" i="10"/>
  <c r="X195" i="10"/>
  <c r="U195" i="10"/>
  <c r="T195" i="10"/>
  <c r="AD194" i="10"/>
  <c r="AC194" i="10"/>
  <c r="AB194" i="10"/>
  <c r="X194" i="10"/>
  <c r="U194" i="10"/>
  <c r="T194" i="10"/>
  <c r="AD193" i="10"/>
  <c r="AC193" i="10"/>
  <c r="AB193" i="10"/>
  <c r="X193" i="10"/>
  <c r="U193" i="10"/>
  <c r="T193" i="10"/>
  <c r="AD192" i="10"/>
  <c r="AC192" i="10"/>
  <c r="AB192" i="10"/>
  <c r="X192" i="10"/>
  <c r="U192" i="10"/>
  <c r="T192" i="10"/>
  <c r="AD191" i="10"/>
  <c r="AC191" i="10"/>
  <c r="AB191" i="10"/>
  <c r="X191" i="10"/>
  <c r="U191" i="10"/>
  <c r="T191" i="10"/>
  <c r="AD190" i="10"/>
  <c r="AC190" i="10"/>
  <c r="AB190" i="10"/>
  <c r="X190" i="10"/>
  <c r="U190" i="10"/>
  <c r="T190" i="10"/>
  <c r="AD189" i="10"/>
  <c r="AC189" i="10"/>
  <c r="AB189" i="10"/>
  <c r="X189" i="10"/>
  <c r="U189" i="10"/>
  <c r="T189" i="10"/>
  <c r="AD188" i="10"/>
  <c r="AC188" i="10"/>
  <c r="AB188" i="10"/>
  <c r="X188" i="10"/>
  <c r="U188" i="10"/>
  <c r="T188" i="10"/>
  <c r="AD187" i="10"/>
  <c r="AC187" i="10"/>
  <c r="AB187" i="10"/>
  <c r="X187" i="10"/>
  <c r="U187" i="10"/>
  <c r="T187" i="10"/>
  <c r="AD186" i="10"/>
  <c r="AC186" i="10"/>
  <c r="AB186" i="10"/>
  <c r="X186" i="10"/>
  <c r="U186" i="10"/>
  <c r="T186" i="10"/>
  <c r="AD185" i="10"/>
  <c r="AC185" i="10"/>
  <c r="AB185" i="10"/>
  <c r="X185" i="10"/>
  <c r="U185" i="10"/>
  <c r="T185" i="10"/>
  <c r="AD184" i="10"/>
  <c r="AC184" i="10"/>
  <c r="AB184" i="10"/>
  <c r="X184" i="10"/>
  <c r="U184" i="10"/>
  <c r="T184" i="10"/>
  <c r="AD183" i="10"/>
  <c r="AC183" i="10"/>
  <c r="AB183" i="10"/>
  <c r="X183" i="10"/>
  <c r="U183" i="10"/>
  <c r="T183" i="10"/>
  <c r="AD182" i="10"/>
  <c r="AC182" i="10"/>
  <c r="AB182" i="10"/>
  <c r="X182" i="10"/>
  <c r="U182" i="10"/>
  <c r="T182" i="10"/>
  <c r="AD181" i="10"/>
  <c r="AC181" i="10"/>
  <c r="AB181" i="10"/>
  <c r="X181" i="10"/>
  <c r="U181" i="10"/>
  <c r="T181" i="10"/>
  <c r="AD180" i="10"/>
  <c r="AC180" i="10"/>
  <c r="AB180" i="10"/>
  <c r="X180" i="10"/>
  <c r="U180" i="10"/>
  <c r="T180" i="10"/>
  <c r="AD179" i="10"/>
  <c r="AC179" i="10"/>
  <c r="AB179" i="10"/>
  <c r="X179" i="10"/>
  <c r="U179" i="10"/>
  <c r="T179" i="10"/>
  <c r="AD178" i="10"/>
  <c r="AC178" i="10"/>
  <c r="AB178" i="10"/>
  <c r="X178" i="10"/>
  <c r="U178" i="10"/>
  <c r="T178" i="10"/>
  <c r="AD177" i="10"/>
  <c r="AC177" i="10"/>
  <c r="AB177" i="10"/>
  <c r="X177" i="10"/>
  <c r="U177" i="10"/>
  <c r="T177" i="10"/>
  <c r="AD176" i="10"/>
  <c r="AC176" i="10"/>
  <c r="AB176" i="10"/>
  <c r="X176" i="10"/>
  <c r="U176" i="10"/>
  <c r="T176" i="10"/>
  <c r="AD175" i="10"/>
  <c r="AC175" i="10"/>
  <c r="AB175" i="10"/>
  <c r="X175" i="10"/>
  <c r="U175" i="10"/>
  <c r="T175" i="10"/>
  <c r="AD174" i="10"/>
  <c r="AC174" i="10"/>
  <c r="AB174" i="10"/>
  <c r="X174" i="10"/>
  <c r="U174" i="10"/>
  <c r="T174" i="10"/>
  <c r="AD173" i="10"/>
  <c r="AC173" i="10"/>
  <c r="AB173" i="10"/>
  <c r="X173" i="10"/>
  <c r="U173" i="10"/>
  <c r="T173" i="10"/>
  <c r="AD172" i="10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78" i="9"/>
  <c r="AB178" i="9"/>
  <c r="AA178" i="9"/>
  <c r="W178" i="9"/>
  <c r="T178" i="9"/>
  <c r="S178" i="9"/>
  <c r="AC177" i="9"/>
  <c r="AB177" i="9"/>
  <c r="AA177" i="9"/>
  <c r="W177" i="9"/>
  <c r="T177" i="9"/>
  <c r="S177" i="9"/>
  <c r="AC176" i="9"/>
  <c r="AB176" i="9"/>
  <c r="AA176" i="9"/>
  <c r="W176" i="9"/>
  <c r="T176" i="9"/>
  <c r="S176" i="9"/>
  <c r="AC175" i="9"/>
  <c r="AB175" i="9"/>
  <c r="AA175" i="9"/>
  <c r="W175" i="9"/>
  <c r="T175" i="9"/>
  <c r="S175" i="9"/>
  <c r="AC174" i="9"/>
  <c r="AB174" i="9"/>
  <c r="AA174" i="9"/>
  <c r="W174" i="9"/>
  <c r="T174" i="9"/>
  <c r="S174" i="9"/>
  <c r="AC173" i="9"/>
  <c r="AB173" i="9"/>
  <c r="AA173" i="9"/>
  <c r="W173" i="9"/>
  <c r="T173" i="9"/>
  <c r="S173" i="9"/>
  <c r="AC172" i="9"/>
  <c r="AB172" i="9"/>
  <c r="AA172" i="9"/>
  <c r="W172" i="9"/>
  <c r="T172" i="9"/>
  <c r="S172" i="9"/>
  <c r="AC171" i="9"/>
  <c r="AB171" i="9"/>
  <c r="AA171" i="9"/>
  <c r="W171" i="9"/>
  <c r="T171" i="9"/>
  <c r="S171" i="9"/>
  <c r="AC170" i="9"/>
  <c r="AB170" i="9"/>
  <c r="AA170" i="9"/>
  <c r="W170" i="9"/>
  <c r="T170" i="9"/>
  <c r="S170" i="9"/>
  <c r="AC169" i="9"/>
  <c r="AB169" i="9"/>
  <c r="AA169" i="9"/>
  <c r="W169" i="9"/>
  <c r="T169" i="9"/>
  <c r="S169" i="9"/>
  <c r="AC168" i="9"/>
  <c r="AB168" i="9"/>
  <c r="AA168" i="9"/>
  <c r="W168" i="9"/>
  <c r="T168" i="9"/>
  <c r="S168" i="9"/>
  <c r="AC167" i="9"/>
  <c r="AB167" i="9"/>
  <c r="AA167" i="9"/>
  <c r="W167" i="9"/>
  <c r="T167" i="9"/>
  <c r="S167" i="9"/>
  <c r="AC166" i="9"/>
  <c r="AB166" i="9"/>
  <c r="AA166" i="9"/>
  <c r="W166" i="9"/>
  <c r="T166" i="9"/>
  <c r="S166" i="9"/>
  <c r="AC165" i="9"/>
  <c r="AB165" i="9"/>
  <c r="AA165" i="9"/>
  <c r="W165" i="9"/>
  <c r="T165" i="9"/>
  <c r="S165" i="9"/>
  <c r="AC164" i="9"/>
  <c r="AB164" i="9"/>
  <c r="AA164" i="9"/>
  <c r="W164" i="9"/>
  <c r="T164" i="9"/>
  <c r="S164" i="9"/>
  <c r="AC163" i="9"/>
  <c r="AB163" i="9"/>
  <c r="AA163" i="9"/>
  <c r="W163" i="9"/>
  <c r="T163" i="9"/>
  <c r="S163" i="9"/>
  <c r="AC162" i="9"/>
  <c r="AB162" i="9"/>
  <c r="AA162" i="9"/>
  <c r="W162" i="9"/>
  <c r="T162" i="9"/>
  <c r="S162" i="9"/>
  <c r="AC161" i="9"/>
  <c r="AB161" i="9"/>
  <c r="AA161" i="9"/>
  <c r="W161" i="9"/>
  <c r="T161" i="9"/>
  <c r="S161" i="9"/>
  <c r="AC160" i="9"/>
  <c r="AB160" i="9"/>
  <c r="AA160" i="9"/>
  <c r="W160" i="9"/>
  <c r="T160" i="9"/>
  <c r="S160" i="9"/>
  <c r="AC159" i="9"/>
  <c r="AB159" i="9"/>
  <c r="AA159" i="9"/>
  <c r="W159" i="9"/>
  <c r="T159" i="9"/>
  <c r="S159" i="9"/>
  <c r="AC158" i="9"/>
  <c r="AB158" i="9"/>
  <c r="AA158" i="9"/>
  <c r="W158" i="9"/>
  <c r="T158" i="9"/>
  <c r="S158" i="9"/>
  <c r="AC157" i="9"/>
  <c r="AB157" i="9"/>
  <c r="AA157" i="9"/>
  <c r="W157" i="9"/>
  <c r="T157" i="9"/>
  <c r="S157" i="9"/>
  <c r="AC156" i="9"/>
  <c r="AB156" i="9"/>
  <c r="AA156" i="9"/>
  <c r="W156" i="9"/>
  <c r="T156" i="9"/>
  <c r="S156" i="9"/>
  <c r="AC155" i="9"/>
  <c r="AB155" i="9"/>
  <c r="AA155" i="9"/>
  <c r="W155" i="9"/>
  <c r="T155" i="9"/>
  <c r="S155" i="9"/>
  <c r="AC154" i="9"/>
  <c r="AB154" i="9"/>
  <c r="AA154" i="9"/>
  <c r="W154" i="9"/>
  <c r="T154" i="9"/>
  <c r="S154" i="9"/>
  <c r="AC153" i="9"/>
  <c r="AB153" i="9"/>
  <c r="AA153" i="9"/>
  <c r="W153" i="9"/>
  <c r="T153" i="9"/>
  <c r="S153" i="9"/>
  <c r="AC152" i="9"/>
  <c r="AB152" i="9"/>
  <c r="AA152" i="9"/>
  <c r="W152" i="9"/>
  <c r="T152" i="9"/>
  <c r="S152" i="9"/>
  <c r="AC151" i="9"/>
  <c r="AB151" i="9"/>
  <c r="AA151" i="9"/>
  <c r="W151" i="9"/>
  <c r="T151" i="9"/>
  <c r="S151" i="9"/>
  <c r="AC150" i="9"/>
  <c r="AB150" i="9"/>
  <c r="AA150" i="9"/>
  <c r="W150" i="9"/>
  <c r="T150" i="9"/>
  <c r="S150" i="9"/>
  <c r="AC149" i="9"/>
  <c r="AB149" i="9"/>
  <c r="AA149" i="9"/>
  <c r="W149" i="9"/>
  <c r="T149" i="9"/>
  <c r="S149" i="9"/>
  <c r="AC148" i="9"/>
  <c r="AB148" i="9"/>
  <c r="AA148" i="9"/>
  <c r="W148" i="9"/>
  <c r="T148" i="9"/>
  <c r="S148" i="9"/>
  <c r="AC147" i="9"/>
  <c r="AB147" i="9"/>
  <c r="AA147" i="9"/>
  <c r="W147" i="9"/>
  <c r="T147" i="9"/>
  <c r="S147" i="9"/>
  <c r="AC146" i="9"/>
  <c r="AB146" i="9"/>
  <c r="AA146" i="9"/>
  <c r="W146" i="9"/>
  <c r="T146" i="9"/>
  <c r="S146" i="9"/>
  <c r="AC145" i="9"/>
  <c r="AB145" i="9"/>
  <c r="AA145" i="9"/>
  <c r="W145" i="9"/>
  <c r="T145" i="9"/>
  <c r="S145" i="9"/>
  <c r="AC144" i="9"/>
  <c r="AB144" i="9"/>
  <c r="AA144" i="9"/>
  <c r="W144" i="9"/>
  <c r="T144" i="9"/>
  <c r="S144" i="9"/>
  <c r="AC143" i="9"/>
  <c r="AB143" i="9"/>
  <c r="AA143" i="9"/>
  <c r="W143" i="9"/>
  <c r="T143" i="9"/>
  <c r="S143" i="9"/>
  <c r="AC142" i="9"/>
  <c r="AB142" i="9"/>
  <c r="AA142" i="9"/>
  <c r="W142" i="9"/>
  <c r="T142" i="9"/>
  <c r="S142" i="9"/>
  <c r="AC141" i="9"/>
  <c r="AB141" i="9"/>
  <c r="AA141" i="9"/>
  <c r="W141" i="9"/>
  <c r="T141" i="9"/>
  <c r="S141" i="9"/>
  <c r="AC140" i="9"/>
  <c r="AB140" i="9"/>
  <c r="AA140" i="9"/>
  <c r="W140" i="9"/>
  <c r="T140" i="9"/>
  <c r="S140" i="9"/>
  <c r="AC139" i="9"/>
  <c r="AB139" i="9"/>
  <c r="AA139" i="9"/>
  <c r="W139" i="9"/>
  <c r="T139" i="9"/>
  <c r="S139" i="9"/>
  <c r="AC138" i="9"/>
  <c r="AB138" i="9"/>
  <c r="AA138" i="9"/>
  <c r="W138" i="9"/>
  <c r="T138" i="9"/>
  <c r="S138" i="9"/>
  <c r="AC137" i="9"/>
  <c r="AB137" i="9"/>
  <c r="AA137" i="9"/>
  <c r="W137" i="9"/>
  <c r="T137" i="9"/>
  <c r="S137" i="9"/>
  <c r="AC136" i="9"/>
  <c r="AB136" i="9"/>
  <c r="AA136" i="9"/>
  <c r="W136" i="9"/>
  <c r="T136" i="9"/>
  <c r="S136" i="9"/>
  <c r="AC135" i="9"/>
  <c r="AB135" i="9"/>
  <c r="AA135" i="9"/>
  <c r="W135" i="9"/>
  <c r="T135" i="9"/>
  <c r="S135" i="9"/>
  <c r="AC134" i="9"/>
  <c r="AB134" i="9"/>
  <c r="AA134" i="9"/>
  <c r="W134" i="9"/>
  <c r="T134" i="9"/>
  <c r="S134" i="9"/>
  <c r="AC133" i="9"/>
  <c r="AB133" i="9"/>
  <c r="AA133" i="9"/>
  <c r="W133" i="9"/>
  <c r="T133" i="9"/>
  <c r="S133" i="9"/>
  <c r="AC132" i="9"/>
  <c r="AB132" i="9"/>
  <c r="AA132" i="9"/>
  <c r="W132" i="9"/>
  <c r="T132" i="9"/>
  <c r="S132" i="9"/>
  <c r="AC131" i="9"/>
  <c r="AB131" i="9"/>
  <c r="AA131" i="9"/>
  <c r="W131" i="9"/>
  <c r="T131" i="9"/>
  <c r="S131" i="9"/>
  <c r="AC130" i="9"/>
  <c r="AB130" i="9"/>
  <c r="AA130" i="9"/>
  <c r="W130" i="9"/>
  <c r="T130" i="9"/>
  <c r="S130" i="9"/>
  <c r="AC129" i="9"/>
  <c r="AB129" i="9"/>
  <c r="AA129" i="9"/>
  <c r="W129" i="9"/>
  <c r="T129" i="9"/>
  <c r="S129" i="9"/>
  <c r="AC128" i="9"/>
  <c r="AB128" i="9"/>
  <c r="AA128" i="9"/>
  <c r="W128" i="9"/>
  <c r="T128" i="9"/>
  <c r="S128" i="9"/>
  <c r="AC127" i="9"/>
  <c r="AB127" i="9"/>
  <c r="AA127" i="9"/>
  <c r="W127" i="9"/>
  <c r="T127" i="9"/>
  <c r="S127" i="9"/>
  <c r="AC126" i="9"/>
  <c r="AB126" i="9"/>
  <c r="AA126" i="9"/>
  <c r="W126" i="9"/>
  <c r="T126" i="9"/>
  <c r="S126" i="9"/>
  <c r="AC125" i="9"/>
  <c r="AB125" i="9"/>
  <c r="AA125" i="9"/>
  <c r="W125" i="9"/>
  <c r="T125" i="9"/>
  <c r="S125" i="9"/>
  <c r="AC124" i="9"/>
  <c r="AB124" i="9"/>
  <c r="AA124" i="9"/>
  <c r="W124" i="9"/>
  <c r="T124" i="9"/>
  <c r="S124" i="9"/>
  <c r="AC123" i="9"/>
  <c r="AB123" i="9"/>
  <c r="AA123" i="9"/>
  <c r="W123" i="9"/>
  <c r="T123" i="9"/>
  <c r="S123" i="9"/>
  <c r="AC122" i="9"/>
  <c r="AB122" i="9"/>
  <c r="AA122" i="9"/>
  <c r="W122" i="9"/>
  <c r="T122" i="9"/>
  <c r="S122" i="9"/>
  <c r="AC121" i="9"/>
  <c r="AB121" i="9"/>
  <c r="AA121" i="9"/>
  <c r="W121" i="9"/>
  <c r="T121" i="9"/>
  <c r="S121" i="9"/>
  <c r="AC120" i="9"/>
  <c r="AB120" i="9"/>
  <c r="AA120" i="9"/>
  <c r="W120" i="9"/>
  <c r="T120" i="9"/>
  <c r="S120" i="9"/>
  <c r="AC119" i="9"/>
  <c r="AB119" i="9"/>
  <c r="AA119" i="9"/>
  <c r="W119" i="9"/>
  <c r="T119" i="9"/>
  <c r="S119" i="9"/>
  <c r="AC118" i="9"/>
  <c r="AB118" i="9"/>
  <c r="AA118" i="9"/>
  <c r="W118" i="9"/>
  <c r="T118" i="9"/>
  <c r="S118" i="9"/>
  <c r="AC117" i="9"/>
  <c r="AB117" i="9"/>
  <c r="AA117" i="9"/>
  <c r="W117" i="9"/>
  <c r="T117" i="9"/>
  <c r="S117" i="9"/>
  <c r="AC116" i="9"/>
  <c r="AB116" i="9"/>
  <c r="AA116" i="9"/>
  <c r="W116" i="9"/>
  <c r="T116" i="9"/>
  <c r="S116" i="9"/>
  <c r="AC115" i="9"/>
  <c r="AB115" i="9"/>
  <c r="AA115" i="9"/>
  <c r="W115" i="9"/>
  <c r="T115" i="9"/>
  <c r="S115" i="9"/>
  <c r="AC114" i="9"/>
  <c r="AB114" i="9"/>
  <c r="AA114" i="9"/>
  <c r="W114" i="9"/>
  <c r="T114" i="9"/>
  <c r="S114" i="9"/>
  <c r="AC113" i="9"/>
  <c r="AB113" i="9"/>
  <c r="AA113" i="9"/>
  <c r="W113" i="9"/>
  <c r="T113" i="9"/>
  <c r="S113" i="9"/>
  <c r="AC112" i="9"/>
  <c r="AB112" i="9"/>
  <c r="AA112" i="9"/>
  <c r="W112" i="9"/>
  <c r="T112" i="9"/>
  <c r="S112" i="9"/>
  <c r="AC111" i="9"/>
  <c r="AB111" i="9"/>
  <c r="AA111" i="9"/>
  <c r="W111" i="9"/>
  <c r="T111" i="9"/>
  <c r="S111" i="9"/>
  <c r="AC110" i="9"/>
  <c r="AB110" i="9"/>
  <c r="AA110" i="9"/>
  <c r="W110" i="9"/>
  <c r="T110" i="9"/>
  <c r="S110" i="9"/>
  <c r="AC109" i="9"/>
  <c r="AB109" i="9"/>
  <c r="AA109" i="9"/>
  <c r="W109" i="9"/>
  <c r="T109" i="9"/>
  <c r="S109" i="9"/>
  <c r="AC108" i="9"/>
  <c r="AB108" i="9"/>
  <c r="AA108" i="9"/>
  <c r="W108" i="9"/>
  <c r="T108" i="9"/>
  <c r="S108" i="9"/>
  <c r="AC107" i="9"/>
  <c r="AB107" i="9"/>
  <c r="AA107" i="9"/>
  <c r="W107" i="9"/>
  <c r="T107" i="9"/>
  <c r="S107" i="9"/>
  <c r="AC106" i="9"/>
  <c r="AB106" i="9"/>
  <c r="AA106" i="9"/>
  <c r="W106" i="9"/>
  <c r="T106" i="9"/>
  <c r="S106" i="9"/>
  <c r="AC105" i="9"/>
  <c r="AB105" i="9"/>
  <c r="AA105" i="9"/>
  <c r="W105" i="9"/>
  <c r="T105" i="9"/>
  <c r="S105" i="9"/>
  <c r="AC104" i="9"/>
  <c r="AB104" i="9"/>
  <c r="AA104" i="9"/>
  <c r="W104" i="9"/>
  <c r="T104" i="9"/>
  <c r="S104" i="9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<sst xmlns="http://schemas.openxmlformats.org/spreadsheetml/2006/main" count="6249" uniqueCount="1694">
  <si>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</si>
  <si>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</si>
  <si>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</si>
  <si>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</si>
  <si>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</si>
  <si>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</si>
  <si>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</si>
  <si>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</si>
  <si>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</si>
  <si>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</si>
  <si>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</si>
  <si>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</si>
  <si>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</si>
  <si>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</si>
  <si>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</si>
  <si>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</si>
  <si>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</si>
  <si>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</si>
  <si>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</si>
  <si>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</si>
  <si>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</si>
  <si>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</si>
  <si>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</si>
  <si>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</si>
  <si>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商品等</t>
    <phoneticPr fontId="6"/>
  </si>
  <si>
    <t>年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</si>
  <si>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</si>
  <si>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</si>
  <si>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phoneticPr fontId="6"/>
  </si>
  <si>
    <t>Early Delivery, Declared Delivery Volume(unit)</t>
    <phoneticPr fontId="6"/>
  </si>
  <si>
    <t>始　値
（円/ポイント）</t>
    <phoneticPr fontId="6"/>
  </si>
  <si>
    <t>Open(￥/point)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</si>
  <si>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</si>
  <si>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</si>
  <si>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</si>
  <si>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</si>
  <si>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</si>
  <si>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</si>
  <si>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</si>
  <si>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</si>
  <si>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phoneticPr fontId="6"/>
  </si>
  <si>
    <t>Average
Settlement
Price(￥/point)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</si>
  <si>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</si>
  <si>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</si>
  <si>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</si>
  <si>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</si>
  <si>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2021</t>
  </si>
  <si>
    <t>金標準先物</t>
  </si>
  <si>
    <t>Gold Standard Futures</t>
  </si>
  <si>
    <t>2021/02</t>
  </si>
  <si>
    <t>2020/02/26</t>
  </si>
  <si>
    <t>2021/02/22</t>
  </si>
  <si>
    <t>1/4</t>
  </si>
  <si>
    <t>6,241</t>
  </si>
  <si>
    <t>1/7</t>
  </si>
  <si>
    <t>6,467</t>
  </si>
  <si>
    <t>2/19</t>
  </si>
  <si>
    <t>5,966</t>
  </si>
  <si>
    <t>2/22</t>
  </si>
  <si>
    <t>6,015</t>
  </si>
  <si>
    <t>*</t>
  </si>
  <si>
    <t>2021/04</t>
  </si>
  <si>
    <t>2020/04/27</t>
  </si>
  <si>
    <t>2021/04/26</t>
  </si>
  <si>
    <t>6,245</t>
  </si>
  <si>
    <t>6,479</t>
  </si>
  <si>
    <t>3/18</t>
  </si>
  <si>
    <t>6,093.0000</t>
  </si>
  <si>
    <t>3/5</t>
  </si>
  <si>
    <t>5,855</t>
  </si>
  <si>
    <t>4/26</t>
  </si>
  <si>
    <t>6,151</t>
  </si>
  <si>
    <t>2021/06</t>
  </si>
  <si>
    <t>2020/06/26</t>
  </si>
  <si>
    <t>2021/06/25</t>
  </si>
  <si>
    <t>6,248</t>
  </si>
  <si>
    <t>6/1</t>
  </si>
  <si>
    <t>6,732</t>
  </si>
  <si>
    <t>6/16</t>
  </si>
  <si>
    <t>6,591.0000</t>
  </si>
  <si>
    <t>3/4</t>
  </si>
  <si>
    <t>5,857</t>
  </si>
  <si>
    <t>2/18</t>
  </si>
  <si>
    <t>6,045.0000</t>
  </si>
  <si>
    <t>6/25</t>
  </si>
  <si>
    <t>6,322</t>
  </si>
  <si>
    <t>2021/08</t>
  </si>
  <si>
    <t>2020/08/27</t>
  </si>
  <si>
    <t>2021/08/26</t>
  </si>
  <si>
    <t>6,270</t>
  </si>
  <si>
    <t>5/31</t>
  </si>
  <si>
    <t>6,730</t>
  </si>
  <si>
    <t>5/27</t>
  </si>
  <si>
    <t>6,637.0000</t>
  </si>
  <si>
    <t>5,862</t>
  </si>
  <si>
    <t>8/26</t>
  </si>
  <si>
    <t>6,321</t>
  </si>
  <si>
    <t>2021/10</t>
  </si>
  <si>
    <t>2020/10/28</t>
  </si>
  <si>
    <t>2021/10/26</t>
  </si>
  <si>
    <t>6,275</t>
  </si>
  <si>
    <t>6,731</t>
  </si>
  <si>
    <t>5/18</t>
  </si>
  <si>
    <t>6,555.0000</t>
  </si>
  <si>
    <t>5,866</t>
  </si>
  <si>
    <t>5/10</t>
  </si>
  <si>
    <t>6,415.0000</t>
  </si>
  <si>
    <t>10/26</t>
  </si>
  <si>
    <t>6,588</t>
  </si>
  <si>
    <t>2021/12</t>
  </si>
  <si>
    <t>2020/12/24</t>
  </si>
  <si>
    <t>2021/12/23</t>
  </si>
  <si>
    <t>6,279</t>
  </si>
  <si>
    <t>11/17</t>
  </si>
  <si>
    <t>6,880</t>
  </si>
  <si>
    <t>11/26</t>
  </si>
  <si>
    <t>6,623.0000</t>
  </si>
  <si>
    <t>5,858</t>
  </si>
  <si>
    <t>3/3</t>
  </si>
  <si>
    <t>5,903.0000</t>
  </si>
  <si>
    <t>12/23</t>
  </si>
  <si>
    <t>6,599</t>
  </si>
  <si>
    <t>2022/02</t>
  </si>
  <si>
    <t>2021/02/24</t>
  </si>
  <si>
    <t>2022/02/22</t>
  </si>
  <si>
    <t>2/24</t>
  </si>
  <si>
    <t>6,119</t>
  </si>
  <si>
    <t>6,881</t>
  </si>
  <si>
    <t>4/14</t>
  </si>
  <si>
    <t>6,113.0000</t>
  </si>
  <si>
    <t>5,852</t>
  </si>
  <si>
    <t>5,870.0000</t>
  </si>
  <si>
    <t>12/30</t>
  </si>
  <si>
    <t>6,646</t>
  </si>
  <si>
    <t>2022/04</t>
  </si>
  <si>
    <t>2021/04/27</t>
  </si>
  <si>
    <t>2022/04/25</t>
  </si>
  <si>
    <t>4/27</t>
  </si>
  <si>
    <t>6,192</t>
  </si>
  <si>
    <t>6,889</t>
  </si>
  <si>
    <t>6,742.0000</t>
  </si>
  <si>
    <t>8/11</t>
  </si>
  <si>
    <t>6,110</t>
  </si>
  <si>
    <t>6/21</t>
  </si>
  <si>
    <t>6,270.0000</t>
  </si>
  <si>
    <t>6,643</t>
  </si>
  <si>
    <t>2022/06</t>
  </si>
  <si>
    <t>2021/06/28</t>
  </si>
  <si>
    <t>2022/06/27</t>
  </si>
  <si>
    <t>6/28</t>
  </si>
  <si>
    <t>6,353</t>
  </si>
  <si>
    <t>6,882</t>
  </si>
  <si>
    <t>11/12</t>
  </si>
  <si>
    <t>6,819.0000</t>
  </si>
  <si>
    <t>6,105</t>
  </si>
  <si>
    <t>8/10</t>
  </si>
  <si>
    <t>6,140.0000</t>
  </si>
  <si>
    <t>6,641</t>
  </si>
  <si>
    <t>2022/08</t>
  </si>
  <si>
    <t>2021/08/27</t>
  </si>
  <si>
    <t>2022/08/26</t>
  </si>
  <si>
    <t>8/27</t>
  </si>
  <si>
    <t>6,339</t>
  </si>
  <si>
    <t>6,814.0000</t>
  </si>
  <si>
    <t>9/17</t>
  </si>
  <si>
    <t>6,160</t>
  </si>
  <si>
    <t>9/14</t>
  </si>
  <si>
    <t>6,336.0000</t>
  </si>
  <si>
    <t>6,638</t>
  </si>
  <si>
    <t>2022/10</t>
  </si>
  <si>
    <t>2021/10/27</t>
  </si>
  <si>
    <t>2022/10/26</t>
  </si>
  <si>
    <t>10/27</t>
  </si>
  <si>
    <t>6,579</t>
  </si>
  <si>
    <t>6,886</t>
  </si>
  <si>
    <t>11/22</t>
  </si>
  <si>
    <t>6,755.0000</t>
  </si>
  <si>
    <t>12/3</t>
  </si>
  <si>
    <t>6,395</t>
  </si>
  <si>
    <t>12/7</t>
  </si>
  <si>
    <t>6,500.0000</t>
  </si>
  <si>
    <t>6,637</t>
  </si>
  <si>
    <t>2022/12</t>
  </si>
  <si>
    <t>2021/12/24</t>
  </si>
  <si>
    <t>2022/12/23</t>
  </si>
  <si>
    <t>12/24</t>
  </si>
  <si>
    <t>6,644</t>
  </si>
  <si>
    <t>12/29</t>
  </si>
  <si>
    <t>6,706</t>
  </si>
  <si>
    <t>12/27</t>
  </si>
  <si>
    <t>8,300.0000</t>
  </si>
  <si>
    <t>6,601</t>
  </si>
  <si>
    <t>4,980.0000</t>
  </si>
  <si>
    <t>金ミニ先物</t>
  </si>
  <si>
    <t>Gold Mini Futures</t>
  </si>
  <si>
    <t>2021/02/19</t>
  </si>
  <si>
    <t>6,335</t>
  </si>
  <si>
    <t>6,463</t>
  </si>
  <si>
    <t>5,989</t>
  </si>
  <si>
    <t>6,013</t>
  </si>
  <si>
    <t>2021/04/23</t>
  </si>
  <si>
    <t>6,259</t>
  </si>
  <si>
    <t>5,864</t>
  </si>
  <si>
    <t>4/23</t>
  </si>
  <si>
    <t>6,210</t>
  </si>
  <si>
    <t>2021/06/24</t>
  </si>
  <si>
    <t>6,250</t>
  </si>
  <si>
    <t>6,729</t>
  </si>
  <si>
    <t>4/6</t>
  </si>
  <si>
    <t>6,150.0000</t>
  </si>
  <si>
    <t>5,867</t>
  </si>
  <si>
    <t>6/24</t>
  </si>
  <si>
    <t>6,318</t>
  </si>
  <si>
    <t>2021/08/25</t>
  </si>
  <si>
    <t>6,251</t>
  </si>
  <si>
    <t>6,728</t>
  </si>
  <si>
    <t>5,868</t>
  </si>
  <si>
    <t>8/25</t>
  </si>
  <si>
    <t>2021/10/25</t>
  </si>
  <si>
    <t>6,271</t>
  </si>
  <si>
    <t>6,717</t>
  </si>
  <si>
    <t>10/25</t>
  </si>
  <si>
    <t>6,569</t>
  </si>
  <si>
    <t>2021/12/22</t>
  </si>
  <si>
    <t>6,883</t>
  </si>
  <si>
    <t>12/1</t>
  </si>
  <si>
    <t>6,528.0000</t>
  </si>
  <si>
    <t>5,860</t>
  </si>
  <si>
    <t>12/22</t>
  </si>
  <si>
    <t>6,565</t>
  </si>
  <si>
    <t>2022/02/21</t>
  </si>
  <si>
    <t>6,120</t>
  </si>
  <si>
    <t>6,890</t>
  </si>
  <si>
    <t>6,440.0000</t>
  </si>
  <si>
    <t>5,853</t>
  </si>
  <si>
    <t>2022/04/22</t>
  </si>
  <si>
    <t>6,191</t>
  </si>
  <si>
    <t>6,879</t>
  </si>
  <si>
    <t>11/11</t>
  </si>
  <si>
    <t>6,780.0000</t>
  </si>
  <si>
    <t>6,113</t>
  </si>
  <si>
    <t>2022/06/24</t>
  </si>
  <si>
    <t>6,355</t>
  </si>
  <si>
    <t>6,876</t>
  </si>
  <si>
    <t>2022/08/25</t>
  </si>
  <si>
    <t>6,346</t>
  </si>
  <si>
    <t>6,885</t>
  </si>
  <si>
    <t>11/8</t>
  </si>
  <si>
    <t>6,632.0000</t>
  </si>
  <si>
    <t>6,161</t>
  </si>
  <si>
    <t>6,195.0000</t>
  </si>
  <si>
    <t>6,635</t>
  </si>
  <si>
    <t>2022/10/25</t>
  </si>
  <si>
    <t>6,580</t>
  </si>
  <si>
    <t>6,396</t>
  </si>
  <si>
    <t>6,639</t>
  </si>
  <si>
    <t>2022/12/22</t>
  </si>
  <si>
    <t>6,645</t>
  </si>
  <si>
    <t>金限日先物</t>
  </si>
  <si>
    <t>Gold Rolling-Spot Futures</t>
  </si>
  <si>
    <t>－</t>
  </si>
  <si>
    <t>6,334</t>
  </si>
  <si>
    <t>6,906</t>
  </si>
  <si>
    <t>8,806.0000</t>
  </si>
  <si>
    <t>5,947</t>
  </si>
  <si>
    <t>11/9</t>
  </si>
  <si>
    <t>4,516.0000</t>
  </si>
  <si>
    <t>6,670</t>
  </si>
  <si>
    <t>銀先物</t>
  </si>
  <si>
    <t>Silver Futures</t>
  </si>
  <si>
    <t>84.4</t>
  </si>
  <si>
    <t>2/16</t>
  </si>
  <si>
    <t>104.7</t>
  </si>
  <si>
    <t>1/14</t>
  </si>
  <si>
    <t>78.6</t>
  </si>
  <si>
    <t>90.9</t>
  </si>
  <si>
    <t>2/2</t>
  </si>
  <si>
    <t>100.7</t>
  </si>
  <si>
    <t>1/28</t>
  </si>
  <si>
    <t>82.6</t>
  </si>
  <si>
    <t>4/16</t>
  </si>
  <si>
    <t>89.4</t>
  </si>
  <si>
    <t>89.6</t>
  </si>
  <si>
    <t>6/17</t>
  </si>
  <si>
    <t>118.8</t>
  </si>
  <si>
    <t>6/18</t>
  </si>
  <si>
    <t>118.8000</t>
  </si>
  <si>
    <t>1/18</t>
  </si>
  <si>
    <t>81.5</t>
  </si>
  <si>
    <t>6/4</t>
  </si>
  <si>
    <t>99.0000</t>
  </si>
  <si>
    <t>100.4</t>
  </si>
  <si>
    <t>8/16</t>
  </si>
  <si>
    <t>80.2</t>
  </si>
  <si>
    <t>91.7</t>
  </si>
  <si>
    <t>90.6</t>
  </si>
  <si>
    <t>101.9</t>
  </si>
  <si>
    <t>9/21</t>
  </si>
  <si>
    <t>77.1</t>
  </si>
  <si>
    <t>10/18</t>
  </si>
  <si>
    <t>83.9</t>
  </si>
  <si>
    <t>91.0</t>
  </si>
  <si>
    <t>102.3</t>
  </si>
  <si>
    <t>12/16</t>
  </si>
  <si>
    <t>70.7</t>
  </si>
  <si>
    <t>77.5</t>
  </si>
  <si>
    <t>95.3</t>
  </si>
  <si>
    <t>100.2</t>
  </si>
  <si>
    <t>10/1</t>
  </si>
  <si>
    <t>79.0</t>
  </si>
  <si>
    <t>84.0</t>
  </si>
  <si>
    <t>91.8</t>
  </si>
  <si>
    <t>77.3</t>
  </si>
  <si>
    <t>94.1</t>
  </si>
  <si>
    <t>7/7</t>
  </si>
  <si>
    <t>96.3</t>
  </si>
  <si>
    <t>9/30</t>
  </si>
  <si>
    <t>76.9</t>
  </si>
  <si>
    <t>85.1</t>
  </si>
  <si>
    <t>84.7</t>
  </si>
  <si>
    <t>11/15</t>
  </si>
  <si>
    <t>92.3</t>
  </si>
  <si>
    <t>84.9</t>
  </si>
  <si>
    <t>87.9</t>
  </si>
  <si>
    <t>93.2</t>
  </si>
  <si>
    <t>79.1</t>
  </si>
  <si>
    <t>85.0</t>
  </si>
  <si>
    <t>86.8</t>
  </si>
  <si>
    <t>83.5</t>
  </si>
  <si>
    <t>白金標準先物</t>
  </si>
  <si>
    <t>Platinum Standard Futures</t>
  </si>
  <si>
    <t>3,500</t>
  </si>
  <si>
    <t>4,535</t>
  </si>
  <si>
    <t>2/5</t>
  </si>
  <si>
    <t>3,680.0000</t>
  </si>
  <si>
    <t>1/5</t>
  </si>
  <si>
    <t>3,493</t>
  </si>
  <si>
    <t>4,400</t>
  </si>
  <si>
    <t>3,511</t>
  </si>
  <si>
    <t>4,523</t>
  </si>
  <si>
    <t>4,187.0000</t>
  </si>
  <si>
    <t>3,497</t>
  </si>
  <si>
    <t>4,238</t>
  </si>
  <si>
    <t>3,495</t>
  </si>
  <si>
    <t>4,512</t>
  </si>
  <si>
    <t>4/7</t>
  </si>
  <si>
    <t>4,274.0000</t>
  </si>
  <si>
    <t>3,483</t>
  </si>
  <si>
    <t>3,864</t>
  </si>
  <si>
    <t>3,494</t>
  </si>
  <si>
    <t>4,519</t>
  </si>
  <si>
    <t>3,625.0000</t>
  </si>
  <si>
    <t>8/23</t>
  </si>
  <si>
    <t>3,445</t>
  </si>
  <si>
    <t>3,548</t>
  </si>
  <si>
    <t>6/2</t>
  </si>
  <si>
    <t>4,202.0000</t>
  </si>
  <si>
    <t>3,220</t>
  </si>
  <si>
    <t>3,853</t>
  </si>
  <si>
    <t>3,512</t>
  </si>
  <si>
    <t>4,524</t>
  </si>
  <si>
    <t>4,362.0000</t>
  </si>
  <si>
    <t>3,170</t>
  </si>
  <si>
    <t>3,443.0000</t>
  </si>
  <si>
    <t>3,535</t>
  </si>
  <si>
    <t>4,248</t>
  </si>
  <si>
    <t>5/11</t>
  </si>
  <si>
    <t>4,440</t>
  </si>
  <si>
    <t>4,367.0000</t>
  </si>
  <si>
    <t>3,221</t>
  </si>
  <si>
    <t>3,390.0000</t>
  </si>
  <si>
    <t>3,571</t>
  </si>
  <si>
    <t>4,300</t>
  </si>
  <si>
    <t>4,447</t>
  </si>
  <si>
    <t>4,015.0000</t>
  </si>
  <si>
    <t>3,195</t>
  </si>
  <si>
    <t>3,430.0000</t>
  </si>
  <si>
    <t>3,569</t>
  </si>
  <si>
    <t>3,960</t>
  </si>
  <si>
    <t>4,036</t>
  </si>
  <si>
    <t>9/9</t>
  </si>
  <si>
    <t>3,930.0000</t>
  </si>
  <si>
    <t>3,200</t>
  </si>
  <si>
    <t>3,455.0000</t>
  </si>
  <si>
    <t>3,560</t>
  </si>
  <si>
    <t>3,464</t>
  </si>
  <si>
    <t>4,044</t>
  </si>
  <si>
    <t>3,980.0000</t>
  </si>
  <si>
    <t>3,185</t>
  </si>
  <si>
    <t>9/15</t>
  </si>
  <si>
    <t>3,300.0000</t>
  </si>
  <si>
    <t>3,567</t>
  </si>
  <si>
    <t>3,770</t>
  </si>
  <si>
    <t>4,050</t>
  </si>
  <si>
    <t>3,914.0000</t>
  </si>
  <si>
    <t>3,285</t>
  </si>
  <si>
    <t>2,800.0000</t>
  </si>
  <si>
    <t>3,564</t>
  </si>
  <si>
    <t>3,598</t>
  </si>
  <si>
    <t>3,646</t>
  </si>
  <si>
    <t>12/28</t>
  </si>
  <si>
    <t>3,517</t>
  </si>
  <si>
    <t>白金ミニ先物</t>
  </si>
  <si>
    <t>Platinum Mini Futures</t>
  </si>
  <si>
    <t>3,484</t>
  </si>
  <si>
    <t>4,495</t>
  </si>
  <si>
    <t>4,225</t>
  </si>
  <si>
    <t>3,490</t>
  </si>
  <si>
    <t>2/17</t>
  </si>
  <si>
    <t>4,189</t>
  </si>
  <si>
    <t>4,420</t>
  </si>
  <si>
    <t>1/13</t>
  </si>
  <si>
    <t>3,502</t>
  </si>
  <si>
    <t>3,861</t>
  </si>
  <si>
    <t>4,496</t>
  </si>
  <si>
    <t>8/20</t>
  </si>
  <si>
    <t>3,478</t>
  </si>
  <si>
    <t>3,522</t>
  </si>
  <si>
    <t>3,249</t>
  </si>
  <si>
    <t>3,835</t>
  </si>
  <si>
    <t>3,515</t>
  </si>
  <si>
    <t>3,129</t>
  </si>
  <si>
    <t>3,430</t>
  </si>
  <si>
    <t>4,260</t>
  </si>
  <si>
    <t>4,434</t>
  </si>
  <si>
    <t>3,245</t>
  </si>
  <si>
    <t>3,581</t>
  </si>
  <si>
    <t>4,306</t>
  </si>
  <si>
    <t>4,443</t>
  </si>
  <si>
    <t>3,630.0000</t>
  </si>
  <si>
    <t>3,198</t>
  </si>
  <si>
    <t>3,583</t>
  </si>
  <si>
    <t>3,953</t>
  </si>
  <si>
    <t>4,030</t>
  </si>
  <si>
    <t>3,408.0000</t>
  </si>
  <si>
    <t>3,203</t>
  </si>
  <si>
    <t>3,573</t>
  </si>
  <si>
    <t>3,471</t>
  </si>
  <si>
    <t>4,041</t>
  </si>
  <si>
    <t>3,187</t>
  </si>
  <si>
    <t>3,575</t>
  </si>
  <si>
    <t>3,763</t>
  </si>
  <si>
    <t>3,275</t>
  </si>
  <si>
    <t>3,600</t>
  </si>
  <si>
    <t>3,520</t>
  </si>
  <si>
    <t>3,562</t>
  </si>
  <si>
    <t>白金限日先物</t>
  </si>
  <si>
    <t>Platinum Rolling-Spot Futures</t>
  </si>
  <si>
    <t>4,546</t>
  </si>
  <si>
    <t>4,513.0000</t>
  </si>
  <si>
    <t>3,266</t>
  </si>
  <si>
    <t>3,305.0000</t>
  </si>
  <si>
    <t>3,630</t>
  </si>
  <si>
    <t>パラジウム先物</t>
  </si>
  <si>
    <t>Palladium Futures</t>
  </si>
  <si>
    <t>8,032</t>
  </si>
  <si>
    <t>8,201</t>
  </si>
  <si>
    <t>7,600.0000</t>
  </si>
  <si>
    <t>7,449</t>
  </si>
  <si>
    <t>7,449.0000</t>
  </si>
  <si>
    <t>1/6</t>
  </si>
  <si>
    <t>8,021</t>
  </si>
  <si>
    <t>4/20</t>
  </si>
  <si>
    <t>9,896</t>
  </si>
  <si>
    <t>7,682</t>
  </si>
  <si>
    <t>4/21</t>
  </si>
  <si>
    <t>9,859</t>
  </si>
  <si>
    <t>8,052</t>
  </si>
  <si>
    <t>10,100</t>
  </si>
  <si>
    <t>7,777</t>
  </si>
  <si>
    <t>6/23</t>
  </si>
  <si>
    <t>9,110</t>
  </si>
  <si>
    <t>1/8</t>
  </si>
  <si>
    <t>8,035</t>
  </si>
  <si>
    <t>5/12</t>
  </si>
  <si>
    <t>10,290</t>
  </si>
  <si>
    <t>7,618</t>
  </si>
  <si>
    <t>8/17</t>
  </si>
  <si>
    <t>9,250</t>
  </si>
  <si>
    <t>7,988</t>
  </si>
  <si>
    <t>5/7</t>
  </si>
  <si>
    <t>10,431</t>
  </si>
  <si>
    <t>7,568</t>
  </si>
  <si>
    <t>10/12</t>
  </si>
  <si>
    <t>7,800</t>
  </si>
  <si>
    <t>7,976</t>
  </si>
  <si>
    <t>10,791</t>
  </si>
  <si>
    <t>5,780</t>
  </si>
  <si>
    <t>12/20</t>
  </si>
  <si>
    <t>6,200</t>
  </si>
  <si>
    <t>2/25</t>
  </si>
  <si>
    <t>8,121</t>
  </si>
  <si>
    <t>10,429</t>
  </si>
  <si>
    <t>12/15</t>
  </si>
  <si>
    <t>6,000</t>
  </si>
  <si>
    <t>10,000</t>
  </si>
  <si>
    <t>10,418</t>
  </si>
  <si>
    <t>12/17</t>
  </si>
  <si>
    <t>7/6</t>
  </si>
  <si>
    <t>10,130</t>
  </si>
  <si>
    <t>7/8</t>
  </si>
  <si>
    <t>10,181</t>
  </si>
  <si>
    <t>6,700</t>
  </si>
  <si>
    <t>9/6</t>
  </si>
  <si>
    <t>8,650</t>
  </si>
  <si>
    <t>11/29</t>
  </si>
  <si>
    <t>6,600</t>
  </si>
  <si>
    <t>11/5</t>
  </si>
  <si>
    <t>7,337</t>
  </si>
  <si>
    <t>11/19</t>
  </si>
  <si>
    <t>7,790</t>
  </si>
  <si>
    <t>5,988</t>
  </si>
  <si>
    <t>7,200</t>
  </si>
  <si>
    <t>7,469</t>
  </si>
  <si>
    <t>CME原油等指数先物</t>
  </si>
  <si>
    <t>CME Petroleum Index Futures</t>
  </si>
  <si>
    <t>2021/09/21</t>
  </si>
  <si>
    <t>2021/10/01</t>
  </si>
  <si>
    <t>176.55</t>
  </si>
  <si>
    <t>9/28</t>
  </si>
  <si>
    <t>185.35</t>
  </si>
  <si>
    <t>9/22</t>
  </si>
  <si>
    <t>171.45</t>
  </si>
  <si>
    <t>183.30</t>
  </si>
  <si>
    <t>2021/11</t>
  </si>
  <si>
    <t>2021/11/01</t>
  </si>
  <si>
    <t>172.50</t>
  </si>
  <si>
    <t>205.55</t>
  </si>
  <si>
    <t>10/20</t>
  </si>
  <si>
    <t>200.9500</t>
  </si>
  <si>
    <t>170.15</t>
  </si>
  <si>
    <t>9/27</t>
  </si>
  <si>
    <t>181.9500</t>
  </si>
  <si>
    <t>11/1</t>
  </si>
  <si>
    <t>201.10</t>
  </si>
  <si>
    <t>2021/12/01</t>
  </si>
  <si>
    <t>180.75</t>
  </si>
  <si>
    <t>202.20</t>
  </si>
  <si>
    <t>198.1000</t>
  </si>
  <si>
    <t>11/30</t>
  </si>
  <si>
    <t>172.65</t>
  </si>
  <si>
    <t>10/29</t>
  </si>
  <si>
    <t>197.9000</t>
  </si>
  <si>
    <t>173.05</t>
  </si>
  <si>
    <t>2022/01</t>
  </si>
  <si>
    <t>2022/01/04</t>
  </si>
  <si>
    <t>11/10</t>
  </si>
  <si>
    <t>195.00</t>
  </si>
  <si>
    <t>156.05</t>
  </si>
  <si>
    <t>188.30</t>
  </si>
  <si>
    <t>2022/02/01</t>
  </si>
  <si>
    <t>169.65</t>
  </si>
  <si>
    <t>10/19</t>
  </si>
  <si>
    <t>194.70</t>
  </si>
  <si>
    <t>12/2</t>
  </si>
  <si>
    <t>162.35</t>
  </si>
  <si>
    <t>185.20</t>
  </si>
  <si>
    <t>2022/03</t>
  </si>
  <si>
    <t>2022/03/01</t>
  </si>
  <si>
    <t>176.30</t>
  </si>
  <si>
    <t>196.60</t>
  </si>
  <si>
    <t>10/22</t>
  </si>
  <si>
    <t>198.6500</t>
  </si>
  <si>
    <t>162.70</t>
  </si>
  <si>
    <t>169.5000</t>
  </si>
  <si>
    <t>12/21</t>
  </si>
  <si>
    <t>165.00</t>
  </si>
  <si>
    <t>2021/10/04</t>
  </si>
  <si>
    <t>2022/04/01</t>
  </si>
  <si>
    <t>10/4</t>
  </si>
  <si>
    <t>181.05</t>
  </si>
  <si>
    <t>10/21</t>
  </si>
  <si>
    <t>195.90</t>
  </si>
  <si>
    <t>191.9500</t>
  </si>
  <si>
    <t>161.15</t>
  </si>
  <si>
    <t>189.1000</t>
  </si>
  <si>
    <t>186.80</t>
  </si>
  <si>
    <t>2022/05</t>
  </si>
  <si>
    <t>2021/11/02</t>
  </si>
  <si>
    <t>2022/05/02</t>
  </si>
  <si>
    <t>11/4</t>
  </si>
  <si>
    <t>187.70</t>
  </si>
  <si>
    <t>190.00</t>
  </si>
  <si>
    <t>153.65</t>
  </si>
  <si>
    <t>185.00</t>
  </si>
  <si>
    <t>2021/12/02</t>
  </si>
  <si>
    <t>2022/06/01</t>
  </si>
  <si>
    <t>161.25</t>
  </si>
  <si>
    <t>182.95</t>
  </si>
  <si>
    <t>156.00</t>
  </si>
  <si>
    <t>ゴム（RSS3）先物</t>
  </si>
  <si>
    <t>RSS3 Rubber Futures</t>
  </si>
  <si>
    <t>2021/01</t>
  </si>
  <si>
    <t>2020/07/28</t>
  </si>
  <si>
    <t>2021/01/25</t>
  </si>
  <si>
    <t>268.2</t>
  </si>
  <si>
    <t>1/21</t>
  </si>
  <si>
    <t>338.0</t>
  </si>
  <si>
    <t>336.6000</t>
  </si>
  <si>
    <t>264.5</t>
  </si>
  <si>
    <t>1/15</t>
  </si>
  <si>
    <t>301.0000</t>
  </si>
  <si>
    <t>1/25</t>
  </si>
  <si>
    <t>335.0</t>
  </si>
  <si>
    <t>2020/08/26</t>
  </si>
  <si>
    <t>249.0</t>
  </si>
  <si>
    <t>276.5</t>
  </si>
  <si>
    <t>264.1000</t>
  </si>
  <si>
    <t>1/26</t>
  </si>
  <si>
    <t>235.0</t>
  </si>
  <si>
    <t>241.4000</t>
  </si>
  <si>
    <t>252.8</t>
  </si>
  <si>
    <t>2021/03</t>
  </si>
  <si>
    <t>2020/09/25</t>
  </si>
  <si>
    <t>2021/03/25</t>
  </si>
  <si>
    <t>288.9</t>
  </si>
  <si>
    <t>3/11</t>
  </si>
  <si>
    <t>271.1000</t>
  </si>
  <si>
    <t>1/27</t>
  </si>
  <si>
    <t>231.1</t>
  </si>
  <si>
    <t>1/20</t>
  </si>
  <si>
    <t>245.0000</t>
  </si>
  <si>
    <t>3/24</t>
  </si>
  <si>
    <t>258.9</t>
  </si>
  <si>
    <t>2020/10/27</t>
  </si>
  <si>
    <t>230.8</t>
  </si>
  <si>
    <t>291.5</t>
  </si>
  <si>
    <t>3/15</t>
  </si>
  <si>
    <t>274.3000</t>
  </si>
  <si>
    <t>214.2</t>
  </si>
  <si>
    <t>219.9000</t>
  </si>
  <si>
    <t>4/22</t>
  </si>
  <si>
    <t>224.0</t>
  </si>
  <si>
    <t>2021/05</t>
  </si>
  <si>
    <t>2020/11/25</t>
  </si>
  <si>
    <t>2021/05/25</t>
  </si>
  <si>
    <t>227.1</t>
  </si>
  <si>
    <t>287.7</t>
  </si>
  <si>
    <t>3/17</t>
  </si>
  <si>
    <t>265.5000</t>
  </si>
  <si>
    <t>219.0</t>
  </si>
  <si>
    <t>221.3000</t>
  </si>
  <si>
    <t>5/25</t>
  </si>
  <si>
    <t>259.8</t>
  </si>
  <si>
    <t>2020/12/23</t>
  </si>
  <si>
    <t>225.6</t>
  </si>
  <si>
    <t>290.4</t>
  </si>
  <si>
    <t>247.9000</t>
  </si>
  <si>
    <t>218.0</t>
  </si>
  <si>
    <t>234.2000</t>
  </si>
  <si>
    <t>236.8</t>
  </si>
  <si>
    <t>2021/07</t>
  </si>
  <si>
    <t>2021/01/26</t>
  </si>
  <si>
    <t>2021/07/26</t>
  </si>
  <si>
    <t>231.5</t>
  </si>
  <si>
    <t>292.0</t>
  </si>
  <si>
    <t>263.0000</t>
  </si>
  <si>
    <t>7/20</t>
  </si>
  <si>
    <t>203.9</t>
  </si>
  <si>
    <t>210.5000</t>
  </si>
  <si>
    <t>7/26</t>
  </si>
  <si>
    <t>210.0</t>
  </si>
  <si>
    <t>273.6</t>
  </si>
  <si>
    <t>293.6</t>
  </si>
  <si>
    <t>3/8</t>
  </si>
  <si>
    <t>276.7000</t>
  </si>
  <si>
    <t>201.0</t>
  </si>
  <si>
    <t>203.1000</t>
  </si>
  <si>
    <t>203.1</t>
  </si>
  <si>
    <t>2021/09</t>
  </si>
  <si>
    <t>2021/03/26</t>
  </si>
  <si>
    <t>2021/09/24</t>
  </si>
  <si>
    <t>3/26</t>
  </si>
  <si>
    <t>262.7</t>
  </si>
  <si>
    <t>4/5</t>
  </si>
  <si>
    <t>250.6000</t>
  </si>
  <si>
    <t>9/10</t>
  </si>
  <si>
    <t>182.7</t>
  </si>
  <si>
    <t>185.1000</t>
  </si>
  <si>
    <t>9/24</t>
  </si>
  <si>
    <t>187.8</t>
  </si>
  <si>
    <t>234.2</t>
  </si>
  <si>
    <t>262.0</t>
  </si>
  <si>
    <t>5/13</t>
  </si>
  <si>
    <t>253.8000</t>
  </si>
  <si>
    <t>186.0</t>
  </si>
  <si>
    <t>9/1</t>
  </si>
  <si>
    <t>195.5000</t>
  </si>
  <si>
    <t>213.0</t>
  </si>
  <si>
    <t>2021/05/26</t>
  </si>
  <si>
    <t>2021/11/24</t>
  </si>
  <si>
    <t>5/26</t>
  </si>
  <si>
    <t>255.1</t>
  </si>
  <si>
    <t>5/28</t>
  </si>
  <si>
    <t>261.0</t>
  </si>
  <si>
    <t>254.8000</t>
  </si>
  <si>
    <t>184.6</t>
  </si>
  <si>
    <t>207.7000</t>
  </si>
  <si>
    <t>11/24</t>
  </si>
  <si>
    <t>230.6</t>
  </si>
  <si>
    <t>239.2</t>
  </si>
  <si>
    <t>244.0</t>
  </si>
  <si>
    <t>6/29</t>
  </si>
  <si>
    <t>240.2000</t>
  </si>
  <si>
    <t>190.1</t>
  </si>
  <si>
    <t>9/7</t>
  </si>
  <si>
    <t>204.2000</t>
  </si>
  <si>
    <t>224.6</t>
  </si>
  <si>
    <t>2021/07/27</t>
  </si>
  <si>
    <t>2022/01/25</t>
  </si>
  <si>
    <t>7/27</t>
  </si>
  <si>
    <t>214.6</t>
  </si>
  <si>
    <t>242.7</t>
  </si>
  <si>
    <t>192.5</t>
  </si>
  <si>
    <t>211.4000</t>
  </si>
  <si>
    <t>222.8</t>
  </si>
  <si>
    <t>215.7</t>
  </si>
  <si>
    <t>245.9</t>
  </si>
  <si>
    <t>225.0000</t>
  </si>
  <si>
    <t>193.7</t>
  </si>
  <si>
    <t>201.3000</t>
  </si>
  <si>
    <t>225.1</t>
  </si>
  <si>
    <t>2022/03/25</t>
  </si>
  <si>
    <t>200.8</t>
  </si>
  <si>
    <t>250.9</t>
  </si>
  <si>
    <t>240.7000</t>
  </si>
  <si>
    <t>205.0000</t>
  </si>
  <si>
    <t>228.1</t>
  </si>
  <si>
    <t>207.3</t>
  </si>
  <si>
    <t>11/25</t>
  </si>
  <si>
    <t>254.8</t>
  </si>
  <si>
    <t>247.6000</t>
  </si>
  <si>
    <t>220.2000</t>
  </si>
  <si>
    <t>230.0</t>
  </si>
  <si>
    <t>2022/05/25</t>
  </si>
  <si>
    <t>231.3</t>
  </si>
  <si>
    <t>257.5</t>
  </si>
  <si>
    <t>224.4000</t>
  </si>
  <si>
    <t>221.0</t>
  </si>
  <si>
    <t>221.0000</t>
  </si>
  <si>
    <t>234.0</t>
  </si>
  <si>
    <t>239.8</t>
  </si>
  <si>
    <t>258.0</t>
  </si>
  <si>
    <t>226.4</t>
  </si>
  <si>
    <t>238.0</t>
  </si>
  <si>
    <t>2022/07</t>
  </si>
  <si>
    <t>2022/07/25</t>
  </si>
  <si>
    <t>199.1</t>
  </si>
  <si>
    <t>255.0</t>
  </si>
  <si>
    <t>224.0000</t>
  </si>
  <si>
    <t>235.7</t>
  </si>
  <si>
    <t>190.0</t>
  </si>
  <si>
    <t>251.9</t>
  </si>
  <si>
    <t>230.7</t>
  </si>
  <si>
    <t>2022/09</t>
  </si>
  <si>
    <t>2021/09/27</t>
  </si>
  <si>
    <t>2022/09/26</t>
  </si>
  <si>
    <t>207.0</t>
  </si>
  <si>
    <t>260.0</t>
  </si>
  <si>
    <t>227.7000</t>
  </si>
  <si>
    <t>205.5</t>
  </si>
  <si>
    <t>237.7</t>
  </si>
  <si>
    <t>260.3</t>
  </si>
  <si>
    <t>230.9000</t>
  </si>
  <si>
    <t>227.4</t>
  </si>
  <si>
    <t>228.3000</t>
  </si>
  <si>
    <t>242.2</t>
  </si>
  <si>
    <t>2022/11</t>
  </si>
  <si>
    <t>2021/11/25</t>
  </si>
  <si>
    <t>2022/11/24</t>
  </si>
  <si>
    <t>258.1</t>
  </si>
  <si>
    <t>263.1</t>
  </si>
  <si>
    <t>231.8</t>
  </si>
  <si>
    <t>245.8</t>
  </si>
  <si>
    <t>238.1</t>
  </si>
  <si>
    <t>247.0</t>
  </si>
  <si>
    <t>ゴム（TSR20）先物</t>
  </si>
  <si>
    <t>TSR20 Rubber Futures</t>
  </si>
  <si>
    <t>2020/08/03</t>
  </si>
  <si>
    <t>2021/01/29</t>
  </si>
  <si>
    <t>2020/09/01</t>
  </si>
  <si>
    <t>2021/02/26</t>
  </si>
  <si>
    <t>2020/10/01</t>
  </si>
  <si>
    <t>2021/03/31</t>
  </si>
  <si>
    <t>2020/11/02</t>
  </si>
  <si>
    <t>2021/04/30</t>
  </si>
  <si>
    <t>2020/12/01</t>
  </si>
  <si>
    <t>2021/05/31</t>
  </si>
  <si>
    <t>2/9</t>
  </si>
  <si>
    <t>167.3</t>
  </si>
  <si>
    <t>178.3</t>
  </si>
  <si>
    <t>2021/01/04</t>
  </si>
  <si>
    <t>2021/06/30</t>
  </si>
  <si>
    <t>2021/02/01</t>
  </si>
  <si>
    <t>2021/07/30</t>
  </si>
  <si>
    <t>4/9</t>
  </si>
  <si>
    <t>178.6</t>
  </si>
  <si>
    <t>4/19</t>
  </si>
  <si>
    <t>175.7000</t>
  </si>
  <si>
    <t>175.0</t>
  </si>
  <si>
    <t>2021/03/01</t>
  </si>
  <si>
    <t>2021/08/31</t>
  </si>
  <si>
    <t>2021/04/01</t>
  </si>
  <si>
    <t>2021/09/30</t>
  </si>
  <si>
    <t>2021/05/06</t>
  </si>
  <si>
    <t>2021/10/29</t>
  </si>
  <si>
    <t>191.6</t>
  </si>
  <si>
    <t>8/19</t>
  </si>
  <si>
    <t>192.2</t>
  </si>
  <si>
    <t>198.0000</t>
  </si>
  <si>
    <t>183.0</t>
  </si>
  <si>
    <t>2021/06/01</t>
  </si>
  <si>
    <t>2021/11/30</t>
  </si>
  <si>
    <t>8/18</t>
  </si>
  <si>
    <t>191.8</t>
  </si>
  <si>
    <t>183.0000</t>
  </si>
  <si>
    <t>173.9</t>
  </si>
  <si>
    <t>9/29</t>
  </si>
  <si>
    <t>179.0000</t>
  </si>
  <si>
    <t>190.5</t>
  </si>
  <si>
    <t>2021/07/01</t>
  </si>
  <si>
    <t>2021/12/30</t>
  </si>
  <si>
    <t>10/14</t>
  </si>
  <si>
    <t>195.8</t>
  </si>
  <si>
    <t>203.7</t>
  </si>
  <si>
    <t>195.9000</t>
  </si>
  <si>
    <t>195.6</t>
  </si>
  <si>
    <t>10/28</t>
  </si>
  <si>
    <t>198.4</t>
  </si>
  <si>
    <t>2021/08/02</t>
  </si>
  <si>
    <t>2022/01/31</t>
  </si>
  <si>
    <t>10/8</t>
  </si>
  <si>
    <t>189.5</t>
  </si>
  <si>
    <t>206.1</t>
  </si>
  <si>
    <t>188.9</t>
  </si>
  <si>
    <t>2021/09/01</t>
  </si>
  <si>
    <t>2022/02/28</t>
  </si>
  <si>
    <t>206.4</t>
  </si>
  <si>
    <t>197.2</t>
  </si>
  <si>
    <t>2022/03/31</t>
  </si>
  <si>
    <t>200.9</t>
  </si>
  <si>
    <t>191.9</t>
  </si>
  <si>
    <t>192.1</t>
  </si>
  <si>
    <t>2022/04/28</t>
  </si>
  <si>
    <t>2022/05/31</t>
  </si>
  <si>
    <t>2022/06/30</t>
  </si>
  <si>
    <t>2022/07/29</t>
  </si>
  <si>
    <t>2022/08/31</t>
  </si>
  <si>
    <t>2022/09/30</t>
  </si>
  <si>
    <t>2022/10/31</t>
  </si>
  <si>
    <t>2022/11/30</t>
  </si>
  <si>
    <t>とうもろこし先物</t>
  </si>
  <si>
    <t>Corn Futures</t>
  </si>
  <si>
    <t>2020/02/17</t>
  </si>
  <si>
    <t>2021/02/15</t>
  </si>
  <si>
    <t>26,400</t>
  </si>
  <si>
    <t>30,100</t>
  </si>
  <si>
    <t>2/15</t>
  </si>
  <si>
    <t>27,000.0000</t>
  </si>
  <si>
    <t>27,000</t>
  </si>
  <si>
    <t>2020/04/16</t>
  </si>
  <si>
    <t>2021/04/15</t>
  </si>
  <si>
    <t>26,730</t>
  </si>
  <si>
    <t>4/2</t>
  </si>
  <si>
    <t>32,800</t>
  </si>
  <si>
    <t>32,800.0000</t>
  </si>
  <si>
    <t>4/8</t>
  </si>
  <si>
    <t>2020/06/16</t>
  </si>
  <si>
    <t>2021/06/15</t>
  </si>
  <si>
    <t>27,460</t>
  </si>
  <si>
    <t>45,100</t>
  </si>
  <si>
    <t>39,000.0000</t>
  </si>
  <si>
    <t>6/14</t>
  </si>
  <si>
    <t>37,520.0000</t>
  </si>
  <si>
    <t>37,520</t>
  </si>
  <si>
    <t>2020/08/17</t>
  </si>
  <si>
    <t>2021/08/13</t>
  </si>
  <si>
    <t>25,710</t>
  </si>
  <si>
    <t>8/6</t>
  </si>
  <si>
    <t>45,850</t>
  </si>
  <si>
    <t>41,420.0000</t>
  </si>
  <si>
    <t>8/2</t>
  </si>
  <si>
    <t>35,010.0000</t>
  </si>
  <si>
    <t>8/12</t>
  </si>
  <si>
    <t>2020/10/16</t>
  </si>
  <si>
    <t>2021/10/15</t>
  </si>
  <si>
    <t>25,160</t>
  </si>
  <si>
    <t>10/11</t>
  </si>
  <si>
    <t>57,540</t>
  </si>
  <si>
    <t>36,540.0000</t>
  </si>
  <si>
    <t>2020/12/16</t>
  </si>
  <si>
    <t>2021/12/15</t>
  </si>
  <si>
    <t>25,670</t>
  </si>
  <si>
    <t>43,900</t>
  </si>
  <si>
    <t>41,400.0000</t>
  </si>
  <si>
    <t>25,660</t>
  </si>
  <si>
    <t>35,560.0000</t>
  </si>
  <si>
    <t>12/6</t>
  </si>
  <si>
    <t>40,080</t>
  </si>
  <si>
    <t>2021/02/16</t>
  </si>
  <si>
    <t>2022/02/15</t>
  </si>
  <si>
    <t>28,600</t>
  </si>
  <si>
    <t>44,440</t>
  </si>
  <si>
    <t>39,740.0000</t>
  </si>
  <si>
    <t>28,490</t>
  </si>
  <si>
    <t>33,840.0000</t>
  </si>
  <si>
    <t>42,190</t>
  </si>
  <si>
    <t>2021/04/16</t>
  </si>
  <si>
    <t>2022/04/15</t>
  </si>
  <si>
    <t>32,090</t>
  </si>
  <si>
    <t>45,460</t>
  </si>
  <si>
    <t>37,000.0000</t>
  </si>
  <si>
    <t>31,290</t>
  </si>
  <si>
    <t>32,780.0000</t>
  </si>
  <si>
    <t>40,470</t>
  </si>
  <si>
    <t>2021/06/16</t>
  </si>
  <si>
    <t>2022/06/15</t>
  </si>
  <si>
    <t>34,090</t>
  </si>
  <si>
    <t>45,140</t>
  </si>
  <si>
    <t>44,910.0000</t>
  </si>
  <si>
    <t>32,600</t>
  </si>
  <si>
    <t>33,390.0000</t>
  </si>
  <si>
    <t>40,760</t>
  </si>
  <si>
    <t>2021/08/16</t>
  </si>
  <si>
    <t>2022/08/15</t>
  </si>
  <si>
    <t>34,920</t>
  </si>
  <si>
    <t>45,860</t>
  </si>
  <si>
    <t>37,670.0000</t>
  </si>
  <si>
    <t>33,300</t>
  </si>
  <si>
    <t>33,800.0000</t>
  </si>
  <si>
    <t>40,060</t>
  </si>
  <si>
    <t>2021/10/18</t>
  </si>
  <si>
    <t>2022/10/14</t>
  </si>
  <si>
    <t>37,720</t>
  </si>
  <si>
    <t>42,640</t>
  </si>
  <si>
    <t>39,300.0000</t>
  </si>
  <si>
    <t>36,640</t>
  </si>
  <si>
    <t>39,350</t>
  </si>
  <si>
    <t>2023/01</t>
  </si>
  <si>
    <t>2021/12/16</t>
  </si>
  <si>
    <t>2022/12/15</t>
  </si>
  <si>
    <t>37,760</t>
  </si>
  <si>
    <t>41,020</t>
  </si>
  <si>
    <t>39,970</t>
  </si>
  <si>
    <t>一般大豆先物</t>
  </si>
  <si>
    <t>Soybean Futures</t>
  </si>
  <si>
    <t>小豆先物</t>
  </si>
  <si>
    <t>Azuki (Red Bean) Futures</t>
  </si>
  <si>
    <t>2020/07/29</t>
  </si>
  <si>
    <t>1/19</t>
  </si>
  <si>
    <t>8,300</t>
  </si>
  <si>
    <t>2020/09/28</t>
  </si>
  <si>
    <t>2/8</t>
  </si>
  <si>
    <t>12,300</t>
  </si>
  <si>
    <t>10,200</t>
  </si>
  <si>
    <t>2020/11/26</t>
  </si>
  <si>
    <t>10,600</t>
  </si>
  <si>
    <t>2021/01/27</t>
  </si>
  <si>
    <t>2021/03/29</t>
  </si>
  <si>
    <t>2021/05/27</t>
  </si>
  <si>
    <t>2021/07/28</t>
  </si>
  <si>
    <t>2022/01/26</t>
  </si>
  <si>
    <t>2021/09/28</t>
  </si>
  <si>
    <t>2022/03/28</t>
  </si>
  <si>
    <t>2021/11/26</t>
  </si>
  <si>
    <t>2022/05/26</t>
  </si>
  <si>
    <t>年末日：</t>
    <rPh sb="0" eb="2">
      <t>ネンマツ</t>
    </rPh>
    <rPh sb="2" eb="3">
      <t>ビ</t>
    </rPh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</si>
  <si>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</si>
  <si>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</si>
  <si>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</si>
  <si>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</si>
  <si>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</si>
  <si>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</si>
  <si>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</si>
  <si>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</si>
  <si>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</si>
  <si>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phoneticPr fontId="6"/>
  </si>
  <si>
    <t>うち立会外
取引（円）</t>
    <phoneticPr fontId="6"/>
  </si>
  <si>
    <t>うち立会外（円）</t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</si>
  <si>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</si>
  <si>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</si>
  <si>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</si>
  <si>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</si>
  <si>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</si>
  <si>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</si>
  <si>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</si>
  <si>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</si>
  <si>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</si>
  <si>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</si>
  <si>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2020/07/27</t>
  </si>
  <si>
    <t>44,500</t>
  </si>
  <si>
    <t>47,720</t>
  </si>
  <si>
    <t>47,450.0000</t>
  </si>
  <si>
    <t>43,380</t>
  </si>
  <si>
    <t>46,730.0000</t>
  </si>
  <si>
    <t>46,740</t>
  </si>
  <si>
    <t>2021/02/25</t>
  </si>
  <si>
    <t>44,790</t>
  </si>
  <si>
    <t>54,700</t>
  </si>
  <si>
    <t>54,450.0000</t>
  </si>
  <si>
    <t>44,000</t>
  </si>
  <si>
    <t>46,500.0000</t>
  </si>
  <si>
    <t>44,650</t>
  </si>
  <si>
    <t>60,000</t>
  </si>
  <si>
    <t>58,950.0000</t>
  </si>
  <si>
    <t>44,100</t>
  </si>
  <si>
    <t>2/3</t>
  </si>
  <si>
    <t>33,480.0000</t>
  </si>
  <si>
    <t>3/25</t>
  </si>
  <si>
    <t>54,850</t>
  </si>
  <si>
    <t>2020/10/26</t>
  </si>
  <si>
    <t>44,580</t>
  </si>
  <si>
    <t>61,000</t>
  </si>
  <si>
    <t>60,010.0000</t>
  </si>
  <si>
    <t>44,080</t>
  </si>
  <si>
    <t>33,300.0000</t>
  </si>
  <si>
    <t>56,300</t>
  </si>
  <si>
    <t>44,690</t>
  </si>
  <si>
    <t>59,300.0000</t>
  </si>
  <si>
    <t>43,870</t>
  </si>
  <si>
    <t>33,200.0000</t>
  </si>
  <si>
    <t>59,200</t>
  </si>
  <si>
    <t>2020/12/28</t>
  </si>
  <si>
    <t>44,640</t>
  </si>
  <si>
    <t>67,000</t>
  </si>
  <si>
    <t>66,300.0000</t>
  </si>
  <si>
    <t>43,360</t>
  </si>
  <si>
    <t>33,120.0000</t>
  </si>
  <si>
    <t>64,650</t>
  </si>
  <si>
    <t>2021/07/21</t>
  </si>
  <si>
    <t>46,330</t>
  </si>
  <si>
    <t>7/13</t>
  </si>
  <si>
    <t>69,200</t>
  </si>
  <si>
    <t>69,350.0000</t>
  </si>
  <si>
    <t>2/1</t>
  </si>
  <si>
    <t>46,010</t>
  </si>
  <si>
    <t>33,060.0000</t>
  </si>
  <si>
    <t>7/21</t>
  </si>
  <si>
    <t>61,200</t>
  </si>
  <si>
    <t>2/26</t>
  </si>
  <si>
    <t>53,100</t>
  </si>
  <si>
    <t>69,360</t>
  </si>
  <si>
    <t>67,780.0000</t>
  </si>
  <si>
    <t>51,680</t>
  </si>
  <si>
    <t>3/9</t>
  </si>
  <si>
    <t>38,110.0000</t>
  </si>
  <si>
    <t>63,000</t>
  </si>
  <si>
    <t>52,760</t>
  </si>
  <si>
    <t>70,000</t>
  </si>
  <si>
    <t>69,100.0000</t>
  </si>
  <si>
    <t>53,130.0000</t>
  </si>
  <si>
    <t>67,850</t>
  </si>
  <si>
    <t>54,500</t>
  </si>
  <si>
    <t>77,800</t>
  </si>
  <si>
    <t>77,500.0000</t>
  </si>
  <si>
    <t>53,660</t>
  </si>
  <si>
    <t>6/22</t>
  </si>
  <si>
    <t>56,770.0000</t>
  </si>
  <si>
    <t>75,000</t>
  </si>
  <si>
    <t>56,290</t>
  </si>
  <si>
    <t>77,250</t>
  </si>
  <si>
    <t>77,000.0000</t>
  </si>
  <si>
    <t>55,790</t>
  </si>
  <si>
    <t>40,000.0000</t>
  </si>
  <si>
    <t>71,000</t>
  </si>
  <si>
    <t>61,550</t>
  </si>
  <si>
    <t>76,520</t>
  </si>
  <si>
    <t>11/16</t>
  </si>
  <si>
    <t>74,110.0000</t>
  </si>
  <si>
    <t>56,580</t>
  </si>
  <si>
    <t>58,940.0000</t>
  </si>
  <si>
    <t>68,000</t>
  </si>
  <si>
    <t>7/28</t>
  </si>
  <si>
    <t>61,480</t>
  </si>
  <si>
    <t>75,350</t>
  </si>
  <si>
    <t>72,470.0000</t>
  </si>
  <si>
    <t>57,330</t>
  </si>
  <si>
    <t>58,730.0000</t>
  </si>
  <si>
    <t>2022/02/25</t>
  </si>
  <si>
    <t>62,100</t>
  </si>
  <si>
    <t>75,310</t>
  </si>
  <si>
    <t>68,500.0000</t>
  </si>
  <si>
    <t>58,650</t>
  </si>
  <si>
    <t>12/14</t>
  </si>
  <si>
    <t>62,730.0000</t>
  </si>
  <si>
    <t>69,700</t>
  </si>
  <si>
    <t>67,060</t>
  </si>
  <si>
    <t>75,220</t>
  </si>
  <si>
    <t>71,110.0000</t>
  </si>
  <si>
    <t>60,280</t>
  </si>
  <si>
    <t>64,800.0000</t>
  </si>
  <si>
    <t>74,150</t>
  </si>
  <si>
    <t>70,790.0000</t>
  </si>
  <si>
    <t>61,740</t>
  </si>
  <si>
    <t>69,760</t>
  </si>
  <si>
    <t>71,780</t>
  </si>
  <si>
    <t>12/10</t>
  </si>
  <si>
    <t>59,730</t>
  </si>
  <si>
    <t>69,580</t>
  </si>
  <si>
    <t>2021/12/27</t>
  </si>
  <si>
    <t>66,850</t>
  </si>
  <si>
    <t>70,250</t>
  </si>
  <si>
    <t>66,800</t>
  </si>
  <si>
    <t>69,510</t>
  </si>
  <si>
    <t>バージ灯油先物</t>
  </si>
  <si>
    <t>Kerosene Futures</t>
  </si>
  <si>
    <t>48,000</t>
  </si>
  <si>
    <t>52,100</t>
  </si>
  <si>
    <t>51,400.0000</t>
  </si>
  <si>
    <t>47,500</t>
  </si>
  <si>
    <t>49,210.0000</t>
  </si>
  <si>
    <t>49,900</t>
  </si>
  <si>
    <t>48,070</t>
  </si>
  <si>
    <t>56,600</t>
  </si>
  <si>
    <t>73,150.0000</t>
  </si>
  <si>
    <t>47,380</t>
  </si>
  <si>
    <t>37,950.0000</t>
  </si>
  <si>
    <t>48,200</t>
  </si>
  <si>
    <t>60,300</t>
  </si>
  <si>
    <t>59,720.0000</t>
  </si>
  <si>
    <t>47,750</t>
  </si>
  <si>
    <t>35,170.0000</t>
  </si>
  <si>
    <t>55,500</t>
  </si>
  <si>
    <t>47,900</t>
  </si>
  <si>
    <t>59,610</t>
  </si>
  <si>
    <t>59,580.0000</t>
  </si>
  <si>
    <t>47,090</t>
  </si>
  <si>
    <t>34,750.0000</t>
  </si>
  <si>
    <t>54,650</t>
  </si>
  <si>
    <t>47,600</t>
  </si>
  <si>
    <t>63,840</t>
  </si>
  <si>
    <t>5/19</t>
  </si>
  <si>
    <t>58,800.0000</t>
  </si>
  <si>
    <t>46,800</t>
  </si>
  <si>
    <t>34,630.0000</t>
  </si>
  <si>
    <t>58,400</t>
  </si>
  <si>
    <t>47,660</t>
  </si>
  <si>
    <t>64,250</t>
  </si>
  <si>
    <t>64,250.0000</t>
  </si>
  <si>
    <t>46,980</t>
  </si>
  <si>
    <t>34,520.0000</t>
  </si>
  <si>
    <t>49,510</t>
  </si>
  <si>
    <t>66,240</t>
  </si>
  <si>
    <t>66,240.0000</t>
  </si>
  <si>
    <t>48,600</t>
  </si>
  <si>
    <t>34,290.0000</t>
  </si>
  <si>
    <t>58,060</t>
  </si>
  <si>
    <t>54,990</t>
  </si>
  <si>
    <t>65,750</t>
  </si>
  <si>
    <t>8/24</t>
  </si>
  <si>
    <t>63,000.0000</t>
  </si>
  <si>
    <t>52,150</t>
  </si>
  <si>
    <t>38,620.0000</t>
  </si>
  <si>
    <t>61,700</t>
  </si>
  <si>
    <t>3/29</t>
  </si>
  <si>
    <t>55,600</t>
  </si>
  <si>
    <t>68,010</t>
  </si>
  <si>
    <t>68,400.0000</t>
  </si>
  <si>
    <t>54,570</t>
  </si>
  <si>
    <t>54,350.0000</t>
  </si>
  <si>
    <t>67,300</t>
  </si>
  <si>
    <t>55,980</t>
  </si>
  <si>
    <t>77,000</t>
  </si>
  <si>
    <t>79,000.0000</t>
  </si>
  <si>
    <t>4/30</t>
  </si>
  <si>
    <t>39,600.0000</t>
  </si>
  <si>
    <t>76,280</t>
  </si>
  <si>
    <t>58,550</t>
  </si>
  <si>
    <t>77,300</t>
  </si>
  <si>
    <t>80,670.0000</t>
  </si>
  <si>
    <t>58,040</t>
  </si>
  <si>
    <t>40,550.0000</t>
  </si>
  <si>
    <t>74,500</t>
  </si>
  <si>
    <t>63,400</t>
  </si>
  <si>
    <t>76,850</t>
  </si>
  <si>
    <t>75,580.0000</t>
  </si>
  <si>
    <t>8/3</t>
  </si>
  <si>
    <t>54,110</t>
  </si>
  <si>
    <t>60,800.0000</t>
  </si>
  <si>
    <t>70,500</t>
  </si>
  <si>
    <t>62,850</t>
  </si>
  <si>
    <t>76,500</t>
  </si>
  <si>
    <t>73,600.0000</t>
  </si>
  <si>
    <t>57,340</t>
  </si>
  <si>
    <t>60,700.0000</t>
  </si>
  <si>
    <t>73,500</t>
  </si>
  <si>
    <t>62,250</t>
  </si>
  <si>
    <t>76,210</t>
  </si>
  <si>
    <t>75,190.0000</t>
  </si>
  <si>
    <t>61,310</t>
  </si>
  <si>
    <t>72,030.0000</t>
  </si>
  <si>
    <t>72,310</t>
  </si>
  <si>
    <t>75,730</t>
  </si>
  <si>
    <t>11/2</t>
  </si>
  <si>
    <t>74,400.0000</t>
  </si>
  <si>
    <t>64,200</t>
  </si>
  <si>
    <t>71,370.0000</t>
  </si>
  <si>
    <t>75,280</t>
  </si>
  <si>
    <t>71,950.0000</t>
  </si>
  <si>
    <t>63,010</t>
  </si>
  <si>
    <t>12/8</t>
  </si>
  <si>
    <t>66,800.0000</t>
  </si>
  <si>
    <t>71,060</t>
  </si>
  <si>
    <t>69,600</t>
  </si>
  <si>
    <t>71,020</t>
  </si>
  <si>
    <t>64,220</t>
  </si>
  <si>
    <t>70,820</t>
  </si>
  <si>
    <t>69,790</t>
  </si>
  <si>
    <t>70,430</t>
  </si>
  <si>
    <t>70,410</t>
  </si>
  <si>
    <t>バージ軽油先物</t>
  </si>
  <si>
    <t>Gas Oil Futures</t>
  </si>
  <si>
    <t>プラッツドバイ原油先物</t>
  </si>
  <si>
    <t>Platts Dubai Crude Oil Futures</t>
  </si>
  <si>
    <t>32,950</t>
  </si>
  <si>
    <t>36,530</t>
  </si>
  <si>
    <t>1/29</t>
  </si>
  <si>
    <t>35,720.0000</t>
  </si>
  <si>
    <t>32,490</t>
  </si>
  <si>
    <t>33,910.0000</t>
  </si>
  <si>
    <t>35,700</t>
  </si>
  <si>
    <t>32,900</t>
  </si>
  <si>
    <t>40,710</t>
  </si>
  <si>
    <t>40,600.0000</t>
  </si>
  <si>
    <t>32,290</t>
  </si>
  <si>
    <t>35,150.0000</t>
  </si>
  <si>
    <t>40,340</t>
  </si>
  <si>
    <t>32,910</t>
  </si>
  <si>
    <t>46,350</t>
  </si>
  <si>
    <t>3/10</t>
  </si>
  <si>
    <t>44,610.0000</t>
  </si>
  <si>
    <t>32,280</t>
  </si>
  <si>
    <t>33,710.0000</t>
  </si>
  <si>
    <t>3/31</t>
  </si>
  <si>
    <t>43,980</t>
  </si>
  <si>
    <t>32,670</t>
  </si>
  <si>
    <t>47,010</t>
  </si>
  <si>
    <t>46,910.0000</t>
  </si>
  <si>
    <t>32,230</t>
  </si>
  <si>
    <t>43,150</t>
  </si>
  <si>
    <t>32,720</t>
  </si>
  <si>
    <t>46,530</t>
  </si>
  <si>
    <t>46,350.0000</t>
  </si>
  <si>
    <t>32,440.0000</t>
  </si>
  <si>
    <t>45,530</t>
  </si>
  <si>
    <t>32,830</t>
  </si>
  <si>
    <t>49,840</t>
  </si>
  <si>
    <t>6/3</t>
  </si>
  <si>
    <t>48,100.0000</t>
  </si>
  <si>
    <t>32,010</t>
  </si>
  <si>
    <t>1/12</t>
  </si>
  <si>
    <t>34,620.0000</t>
  </si>
  <si>
    <t>6/30</t>
  </si>
  <si>
    <t>49,580</t>
  </si>
  <si>
    <t>34,840</t>
  </si>
  <si>
    <t>52,670</t>
  </si>
  <si>
    <t>7/2</t>
  </si>
  <si>
    <t>51,770.0000</t>
  </si>
  <si>
    <t>34,620</t>
  </si>
  <si>
    <t>2/12</t>
  </si>
  <si>
    <t>38,210.0000</t>
  </si>
  <si>
    <t>7/30</t>
  </si>
  <si>
    <t>50,590</t>
  </si>
  <si>
    <t>3/1</t>
  </si>
  <si>
    <t>40,820</t>
  </si>
  <si>
    <t>51,970</t>
  </si>
  <si>
    <t>51,700.0000</t>
  </si>
  <si>
    <t>3/2</t>
  </si>
  <si>
    <t>39,060</t>
  </si>
  <si>
    <t>39,140.0000</t>
  </si>
  <si>
    <t>8/31</t>
  </si>
  <si>
    <t>4/1</t>
  </si>
  <si>
    <t>41,280</t>
  </si>
  <si>
    <t>51,210</t>
  </si>
  <si>
    <t>51,120.0000</t>
  </si>
  <si>
    <t>39,820</t>
  </si>
  <si>
    <t>4/12</t>
  </si>
  <si>
    <t>40,410.0000</t>
  </si>
  <si>
    <t>50,300</t>
  </si>
  <si>
    <t>5/6</t>
  </si>
  <si>
    <t>43,660</t>
  </si>
  <si>
    <t>58,520</t>
  </si>
  <si>
    <t>58,090.0000</t>
  </si>
  <si>
    <t>5/24</t>
  </si>
  <si>
    <t>41,440</t>
  </si>
  <si>
    <t>5/21</t>
  </si>
  <si>
    <t>41,870.0000</t>
  </si>
  <si>
    <t>58,000</t>
  </si>
  <si>
    <t>44,620</t>
  </si>
  <si>
    <t>61,600</t>
  </si>
  <si>
    <t>59,190.0000</t>
  </si>
  <si>
    <t>42,400</t>
  </si>
  <si>
    <t>43,890.0000</t>
  </si>
  <si>
    <t>57,570</t>
  </si>
  <si>
    <t>7/1</t>
  </si>
  <si>
    <t>48,170</t>
  </si>
  <si>
    <t>58,910</t>
  </si>
  <si>
    <t>58,850.0000</t>
  </si>
  <si>
    <t>41,850</t>
  </si>
  <si>
    <t>42,590.0000</t>
  </si>
  <si>
    <t>52,480</t>
  </si>
  <si>
    <t>47,610</t>
  </si>
  <si>
    <t>58,200</t>
  </si>
  <si>
    <t>57,550.0000</t>
  </si>
  <si>
    <t>41,560</t>
  </si>
  <si>
    <t>42,210.0000</t>
  </si>
  <si>
    <t>55,710</t>
  </si>
  <si>
    <t>46,040</t>
  </si>
  <si>
    <t>57,670</t>
  </si>
  <si>
    <t>57,520.0000</t>
  </si>
  <si>
    <t>44,780</t>
  </si>
  <si>
    <t>46,510.0000</t>
  </si>
  <si>
    <t>55,230</t>
  </si>
  <si>
    <t>50,190</t>
  </si>
  <si>
    <t>57,240</t>
  </si>
  <si>
    <t>57,210.0000</t>
  </si>
  <si>
    <t>46,890.0000</t>
  </si>
  <si>
    <t>54,810</t>
  </si>
  <si>
    <t>55,900</t>
  </si>
  <si>
    <t>55,940</t>
  </si>
  <si>
    <t>55,910.0000</t>
  </si>
  <si>
    <t>46,000.0000</t>
  </si>
  <si>
    <t>54,440</t>
  </si>
  <si>
    <t>54,600</t>
  </si>
  <si>
    <t>54,610</t>
  </si>
  <si>
    <t>53,650.0000</t>
  </si>
  <si>
    <t>44,200</t>
  </si>
  <si>
    <t>48,910.0000</t>
  </si>
  <si>
    <t>54,020</t>
  </si>
  <si>
    <t>47,510</t>
  </si>
  <si>
    <t>53,800</t>
  </si>
  <si>
    <t>52,560.0000</t>
  </si>
  <si>
    <t>45,630</t>
  </si>
  <si>
    <t>53,640</t>
  </si>
  <si>
    <t>52,810</t>
  </si>
  <si>
    <t>54,360</t>
  </si>
  <si>
    <t>51,800.0000</t>
  </si>
  <si>
    <t>49,800</t>
  </si>
  <si>
    <t>52,400</t>
  </si>
  <si>
    <t>45,450</t>
  </si>
  <si>
    <t>52,910</t>
  </si>
  <si>
    <t>44,930</t>
  </si>
  <si>
    <t>53,450</t>
  </si>
  <si>
    <t>52,130.0000</t>
  </si>
  <si>
    <t>44,280</t>
  </si>
  <si>
    <t>51,690</t>
  </si>
  <si>
    <t>2022/12/30</t>
  </si>
  <si>
    <t>47,300</t>
  </si>
  <si>
    <t>53,320</t>
  </si>
  <si>
    <t>52,030.0000</t>
  </si>
  <si>
    <t>43,860</t>
  </si>
  <si>
    <t>43,900.0000</t>
  </si>
  <si>
    <t>51,200</t>
  </si>
  <si>
    <t>2023/01/31</t>
  </si>
  <si>
    <t>50,100</t>
  </si>
  <si>
    <t>52,010</t>
  </si>
  <si>
    <t>50,540.0000</t>
  </si>
  <si>
    <t>42,240</t>
  </si>
  <si>
    <t>44,000.0000</t>
  </si>
  <si>
    <t>2023/02</t>
  </si>
  <si>
    <t>2023/02/28</t>
  </si>
  <si>
    <t>45,190</t>
  </si>
  <si>
    <t>50,710</t>
  </si>
  <si>
    <t>43,690</t>
  </si>
  <si>
    <t>50,600</t>
  </si>
  <si>
    <t>東エリア・ベースロード電力先物</t>
  </si>
  <si>
    <t>East Area Baseload Electricity Futures</t>
  </si>
  <si>
    <t>2019/10/31</t>
  </si>
  <si>
    <t>18.39</t>
  </si>
  <si>
    <t>21.41</t>
  </si>
  <si>
    <t>1/22</t>
  </si>
  <si>
    <t>70.2300</t>
  </si>
  <si>
    <t>18.3900</t>
  </si>
  <si>
    <t>2019/12/02</t>
  </si>
  <si>
    <t>14.85</t>
  </si>
  <si>
    <t>17.05</t>
  </si>
  <si>
    <t>25.6000</t>
  </si>
  <si>
    <t>11.6000</t>
  </si>
  <si>
    <t>2020/01/06</t>
  </si>
  <si>
    <t>2021/03/30</t>
  </si>
  <si>
    <t>8.70</t>
  </si>
  <si>
    <t>9.00</t>
  </si>
  <si>
    <t>11.5000</t>
  </si>
  <si>
    <t>2/10</t>
  </si>
  <si>
    <t>7.50</t>
  </si>
  <si>
    <t>10.1000</t>
  </si>
  <si>
    <t>8.15</t>
  </si>
  <si>
    <t>2020/01/31</t>
  </si>
  <si>
    <t>2021/04/28</t>
  </si>
  <si>
    <t>9.2000</t>
  </si>
  <si>
    <t>6.5000</t>
  </si>
  <si>
    <t>2020/03/02</t>
  </si>
  <si>
    <t>2021/05/28</t>
  </si>
  <si>
    <t>7.39</t>
  </si>
  <si>
    <t>7.40</t>
  </si>
  <si>
    <t>9.3000</t>
  </si>
  <si>
    <t>8.0000</t>
  </si>
  <si>
    <t>2020/03/31</t>
  </si>
  <si>
    <t>2021/06/29</t>
  </si>
  <si>
    <t>8.60</t>
  </si>
  <si>
    <t>8.90</t>
  </si>
  <si>
    <t>9.4000</t>
  </si>
  <si>
    <t>8.00</t>
  </si>
  <si>
    <t>8.20</t>
  </si>
  <si>
    <t>2020/04/30</t>
  </si>
  <si>
    <t>12.09</t>
  </si>
  <si>
    <t>13.00</t>
  </si>
  <si>
    <t>6/8</t>
  </si>
  <si>
    <t>12.9000</t>
  </si>
  <si>
    <t>7/12</t>
  </si>
  <si>
    <t>10.00</t>
  </si>
  <si>
    <t>2020/06/01</t>
  </si>
  <si>
    <t>2021/08/30</t>
  </si>
  <si>
    <t>7/16</t>
  </si>
  <si>
    <t>13.60</t>
  </si>
  <si>
    <t>13.9200</t>
  </si>
  <si>
    <t>2020/06/30</t>
  </si>
  <si>
    <t>2021/09/29</t>
  </si>
  <si>
    <t>10.50</t>
  </si>
  <si>
    <t>11.33</t>
  </si>
  <si>
    <t>9/16</t>
  </si>
  <si>
    <t>2020/07/31</t>
  </si>
  <si>
    <t>8.85</t>
  </si>
  <si>
    <t>12.7000</t>
  </si>
  <si>
    <t>2020/08/31</t>
  </si>
  <si>
    <t>2021/11/29</t>
  </si>
  <si>
    <t>9.55</t>
  </si>
  <si>
    <t>23.00</t>
  </si>
  <si>
    <t>23.0000</t>
  </si>
  <si>
    <t>20.15</t>
  </si>
  <si>
    <t>2020/09/30</t>
  </si>
  <si>
    <t>11.01</t>
  </si>
  <si>
    <t>27.00</t>
  </si>
  <si>
    <t>28.0000</t>
  </si>
  <si>
    <t>22.50</t>
  </si>
  <si>
    <t>2022/01/28</t>
  </si>
  <si>
    <t>15.00</t>
  </si>
  <si>
    <t>25.00</t>
  </si>
  <si>
    <t>29.6200</t>
  </si>
  <si>
    <t>2020/11/30</t>
  </si>
  <si>
    <t>29.5500</t>
  </si>
  <si>
    <t>2022/03/30</t>
  </si>
  <si>
    <t>5/20</t>
  </si>
  <si>
    <t>12/9</t>
  </si>
  <si>
    <t>18.00</t>
  </si>
  <si>
    <t>10/13</t>
  </si>
  <si>
    <t>13.9000</t>
  </si>
  <si>
    <t>11.5500</t>
  </si>
  <si>
    <t>2022/05/30</t>
  </si>
  <si>
    <t>2022/06/29</t>
  </si>
  <si>
    <t>2022/08/30</t>
  </si>
  <si>
    <t>2022/09/29</t>
  </si>
  <si>
    <t>2022/10/28</t>
  </si>
  <si>
    <t>10/15</t>
  </si>
  <si>
    <t>13.8000</t>
  </si>
  <si>
    <t>2022/11/29</t>
  </si>
  <si>
    <t>14.20</t>
  </si>
  <si>
    <t>2023/01/30</t>
  </si>
  <si>
    <t>15.70</t>
  </si>
  <si>
    <t>15.80</t>
  </si>
  <si>
    <t>2023/02/27</t>
  </si>
  <si>
    <t>16.00</t>
  </si>
  <si>
    <t>西エリア・ベースロード電力先物</t>
  </si>
  <si>
    <t>West Area Baseload Electricity Futures</t>
  </si>
  <si>
    <t>20.54</t>
  </si>
  <si>
    <t>65.64</t>
  </si>
  <si>
    <t>29.2300</t>
  </si>
  <si>
    <t>15.0300</t>
  </si>
  <si>
    <t>12.60</t>
  </si>
  <si>
    <t>14.50</t>
  </si>
  <si>
    <t>8.80</t>
  </si>
  <si>
    <t>7.5000</t>
  </si>
  <si>
    <t>6.90</t>
  </si>
  <si>
    <t>4/28</t>
  </si>
  <si>
    <t>7.61</t>
  </si>
  <si>
    <t>5/17</t>
  </si>
  <si>
    <t>8.10</t>
  </si>
  <si>
    <t>10.42</t>
  </si>
  <si>
    <t>11.70</t>
  </si>
  <si>
    <t>12.3000</t>
  </si>
  <si>
    <t>10.05</t>
  </si>
  <si>
    <t>10.67</t>
  </si>
  <si>
    <t>10.99</t>
  </si>
  <si>
    <t>14.30</t>
  </si>
  <si>
    <t>13.70</t>
  </si>
  <si>
    <t>10.20</t>
  </si>
  <si>
    <t>8.29</t>
  </si>
  <si>
    <t>8.79</t>
  </si>
  <si>
    <t>6/11</t>
  </si>
  <si>
    <t>8.51</t>
  </si>
  <si>
    <t>8.40</t>
  </si>
  <si>
    <t>20.00</t>
  </si>
  <si>
    <t>24.5000</t>
  </si>
  <si>
    <t>9.62</t>
  </si>
  <si>
    <t>25.50</t>
  </si>
  <si>
    <t>28.5000</t>
  </si>
  <si>
    <t>30.00</t>
  </si>
  <si>
    <t>26.95</t>
  </si>
  <si>
    <t>29.2500</t>
  </si>
  <si>
    <t>東エリア・日中ロード電力先物</t>
  </si>
  <si>
    <t>East Area Peakload Electricity Futures</t>
  </si>
  <si>
    <t>2021/01/28</t>
  </si>
  <si>
    <t>35.4800</t>
  </si>
  <si>
    <t>2019/11/29</t>
  </si>
  <si>
    <t>16.25</t>
  </si>
  <si>
    <t>33.99</t>
  </si>
  <si>
    <t>2019/12/27</t>
  </si>
  <si>
    <t>9.15</t>
  </si>
  <si>
    <t>14.4000</t>
  </si>
  <si>
    <t>9.10</t>
  </si>
  <si>
    <t>8.1500</t>
  </si>
  <si>
    <t>8.35</t>
  </si>
  <si>
    <t>10.5000</t>
  </si>
  <si>
    <t>3/30</t>
  </si>
  <si>
    <t>7.4000</t>
  </si>
  <si>
    <t>2020/02/28</t>
  </si>
  <si>
    <t>6.70</t>
  </si>
  <si>
    <t>9.9000</t>
  </si>
  <si>
    <t>9.39</t>
  </si>
  <si>
    <t>2020/04/28</t>
  </si>
  <si>
    <t>2021/07/29</t>
  </si>
  <si>
    <t>15.01</t>
  </si>
  <si>
    <t>6/9</t>
  </si>
  <si>
    <t>16.56</t>
  </si>
  <si>
    <t>16.9000</t>
  </si>
  <si>
    <t>14.00</t>
  </si>
  <si>
    <t>2020/05/29</t>
  </si>
  <si>
    <t>15.52</t>
  </si>
  <si>
    <t>18.50</t>
  </si>
  <si>
    <t>19.0000</t>
  </si>
  <si>
    <t>13.86</t>
  </si>
  <si>
    <t>7/19</t>
  </si>
  <si>
    <t>17.5000</t>
  </si>
  <si>
    <t>11.50</t>
  </si>
  <si>
    <t>2021/10/28</t>
  </si>
  <si>
    <t>9.64</t>
  </si>
  <si>
    <t>9.85</t>
  </si>
  <si>
    <t>9.25</t>
  </si>
  <si>
    <t>9.50</t>
  </si>
  <si>
    <t>9.76</t>
  </si>
  <si>
    <t>2021/12/28</t>
  </si>
  <si>
    <t>11.86</t>
  </si>
  <si>
    <t>31.00</t>
  </si>
  <si>
    <t>31.0000</t>
  </si>
  <si>
    <t>2020/10/30</t>
  </si>
  <si>
    <t>33.16</t>
  </si>
  <si>
    <t>32.1000</t>
  </si>
  <si>
    <t>28.99</t>
  </si>
  <si>
    <t>32.6000</t>
  </si>
  <si>
    <t>2020/12/29</t>
  </si>
  <si>
    <t>2022/04/27</t>
  </si>
  <si>
    <t>2022/07/28</t>
  </si>
  <si>
    <t>2022/12/28</t>
  </si>
  <si>
    <t>2023/03</t>
  </si>
  <si>
    <t>2021/12/29</t>
  </si>
  <si>
    <t>2023/03/30</t>
  </si>
  <si>
    <t>西エリア・日中ロード電力先物</t>
  </si>
  <si>
    <t>West Area Peakload Electricity Futures</t>
  </si>
  <si>
    <t>5.85</t>
  </si>
  <si>
    <t>7.00</t>
  </si>
  <si>
    <t>8.25</t>
  </si>
  <si>
    <t>8.75</t>
  </si>
  <si>
    <t>8.7000</t>
  </si>
  <si>
    <t>12.53</t>
  </si>
  <si>
    <t>15.40</t>
  </si>
  <si>
    <t>15.5000</t>
  </si>
  <si>
    <t>12.6000</t>
  </si>
  <si>
    <t>13.43</t>
  </si>
  <si>
    <t>13.95</t>
  </si>
  <si>
    <t>10.60</t>
  </si>
  <si>
    <t>12.61</t>
  </si>
  <si>
    <t>8.50</t>
  </si>
  <si>
    <t>8.59</t>
  </si>
  <si>
    <t>9.19</t>
  </si>
  <si>
    <t>22.0000</t>
  </si>
  <si>
    <t>10.35</t>
  </si>
  <si>
    <t>25.0000</t>
  </si>
  <si>
    <t>14.0000</t>
  </si>
  <si>
    <t>30.0000</t>
  </si>
  <si>
    <t>中京ローリーガソリン先物</t>
  </si>
  <si>
    <t>Chukyo Gasoline Futures</t>
  </si>
  <si>
    <t>46,500</t>
  </si>
  <si>
    <t>50,140</t>
  </si>
  <si>
    <t>49,700.0000</t>
  </si>
  <si>
    <t>48,800.0000</t>
  </si>
  <si>
    <t>49,000</t>
  </si>
  <si>
    <t>57,000</t>
  </si>
  <si>
    <t>57,000.0000</t>
  </si>
  <si>
    <t>55,000.0000</t>
  </si>
  <si>
    <t>56,500</t>
  </si>
  <si>
    <t>59,000</t>
  </si>
  <si>
    <t>60,510</t>
  </si>
  <si>
    <t>59,500.0000</t>
  </si>
  <si>
    <t>49,500.0000</t>
  </si>
  <si>
    <t>56,700</t>
  </si>
  <si>
    <t>60,700</t>
  </si>
  <si>
    <t>60,000.0000</t>
  </si>
  <si>
    <t>56,900</t>
  </si>
  <si>
    <t>61,200.0000</t>
  </si>
  <si>
    <t>56,000</t>
  </si>
  <si>
    <t>49,200.0000</t>
  </si>
  <si>
    <t>67,200</t>
  </si>
  <si>
    <t>67,200.0000</t>
  </si>
  <si>
    <t>49,100.0000</t>
  </si>
  <si>
    <t>66,500</t>
  </si>
  <si>
    <t>68,500</t>
  </si>
  <si>
    <t>66,500.0000</t>
  </si>
  <si>
    <t>3/19</t>
  </si>
  <si>
    <t>56,500.0000</t>
  </si>
  <si>
    <t>63,600</t>
  </si>
  <si>
    <t>65,500</t>
  </si>
  <si>
    <t>64,000.0000</t>
  </si>
  <si>
    <t>64,000</t>
  </si>
  <si>
    <t>63,900</t>
  </si>
  <si>
    <t>68,800.0000</t>
  </si>
  <si>
    <t>63,500</t>
  </si>
  <si>
    <t>67,800</t>
  </si>
  <si>
    <t>63,700</t>
  </si>
  <si>
    <t>78,000</t>
  </si>
  <si>
    <t>78,000.0000</t>
  </si>
  <si>
    <t>76,000.0000</t>
  </si>
  <si>
    <t>75,800.0000</t>
  </si>
  <si>
    <t>63,300</t>
  </si>
  <si>
    <t>75,500.0000</t>
  </si>
  <si>
    <t>75,800</t>
  </si>
  <si>
    <t>74,800</t>
  </si>
  <si>
    <t>71,500.0000</t>
  </si>
  <si>
    <t>63,100</t>
  </si>
  <si>
    <t>69,700.0000</t>
  </si>
  <si>
    <t>71,200</t>
  </si>
  <si>
    <t>64,400</t>
  </si>
  <si>
    <t>74,600</t>
  </si>
  <si>
    <t>64,100</t>
  </si>
  <si>
    <t>70,700</t>
  </si>
  <si>
    <t>74,400</t>
  </si>
  <si>
    <t>70,510.0000</t>
  </si>
  <si>
    <t>65,730.0000</t>
  </si>
  <si>
    <t>72,700</t>
  </si>
  <si>
    <t>74,700</t>
  </si>
  <si>
    <t>67,900</t>
  </si>
  <si>
    <t>70,600</t>
  </si>
  <si>
    <t>68,300</t>
  </si>
  <si>
    <t>73,200</t>
  </si>
  <si>
    <t>68,100</t>
  </si>
  <si>
    <t>70,400</t>
  </si>
  <si>
    <t>中京ローリー灯油先物</t>
  </si>
  <si>
    <t>Chukyo Kerosene Futures</t>
  </si>
  <si>
    <t>49,890</t>
  </si>
  <si>
    <t>53,500</t>
  </si>
  <si>
    <t>52,490.0000</t>
  </si>
  <si>
    <t>48,800</t>
  </si>
  <si>
    <t>51,200.0000</t>
  </si>
  <si>
    <t>51,190</t>
  </si>
  <si>
    <t>50,500</t>
  </si>
  <si>
    <t>58,500</t>
  </si>
  <si>
    <t>58,500.0000</t>
  </si>
  <si>
    <t>53,000.0000</t>
  </si>
  <si>
    <t>57,800</t>
  </si>
  <si>
    <t>57,500</t>
  </si>
  <si>
    <t>60,500.0000</t>
  </si>
  <si>
    <t>56,800</t>
  </si>
  <si>
    <t>52,800.0000</t>
  </si>
  <si>
    <t>3/12</t>
  </si>
  <si>
    <t>52,600.0000</t>
  </si>
  <si>
    <t>62,600</t>
  </si>
  <si>
    <t>60,900.0000</t>
  </si>
  <si>
    <t>52,400.0000</t>
  </si>
  <si>
    <t>52,200.0000</t>
  </si>
  <si>
    <t>65,350</t>
  </si>
  <si>
    <t>57,200</t>
  </si>
  <si>
    <t>7/14</t>
  </si>
  <si>
    <t>67,000.0000</t>
  </si>
  <si>
    <t>57,500.0000</t>
  </si>
  <si>
    <t>7/15</t>
  </si>
  <si>
    <t>65,500.0000</t>
  </si>
  <si>
    <t>62,900</t>
  </si>
  <si>
    <t>67,700</t>
  </si>
  <si>
    <t>68,700.0000</t>
  </si>
  <si>
    <t>62,000</t>
  </si>
  <si>
    <t>78,600</t>
  </si>
  <si>
    <t>78,500.0000</t>
  </si>
  <si>
    <t>62,500.0000</t>
  </si>
  <si>
    <t>66,100</t>
  </si>
  <si>
    <t>77,500</t>
  </si>
  <si>
    <t>71,300</t>
  </si>
  <si>
    <t>64,900</t>
  </si>
  <si>
    <t>76,300</t>
  </si>
  <si>
    <t>64,800</t>
  </si>
  <si>
    <t>75,300</t>
  </si>
  <si>
    <t>64,500</t>
  </si>
  <si>
    <t>11/18</t>
  </si>
  <si>
    <t>74,900</t>
  </si>
  <si>
    <t>69,100</t>
  </si>
  <si>
    <t>70,900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</si>
</sst>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19" fillId="0" borderId="9" xfId="1946" applyFont="1" applyFill="1" applyBorder="1">
      <alignment vertical="center"/>
    </xf>
    <xf numFmtId="0" fontId="95" fillId="0" borderId="0" xfId="1946" applyFont="1" applyFill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94" fillId="0" borderId="9" xfId="1946" applyFont="1" applyFill="1" applyBorder="1" applyAlignment="1">
      <alignment vertical="center" wrapText="1"/>
    </xf>
    <xf numFmtId="49" fontId="7" fillId="0" borderId="36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2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189" fontId="7" fillId="0" borderId="37" xfId="1946" applyNumberFormat="1" applyFont="1" applyFill="1" applyBorder="1" applyAlignment="1">
      <alignment horizontal="right" vertical="center"/>
    </xf>
    <xf numFmtId="0" fontId="94" fillId="0" borderId="9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94" fillId="0" borderId="6" xfId="1946" applyFont="1" applyFill="1" applyBorder="1">
      <alignment vertical="center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7" fillId="0" borderId="38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Border="1" applyAlignment="1">
      <alignment vertical="center" wrapText="1"/>
    </xf>
    <xf numFmtId="0" fontId="93" fillId="0" borderId="9" xfId="1946" applyFont="1" applyBorder="1" applyAlignment="1">
      <alignment vertical="center" wrapText="1"/>
    </xf>
    <xf numFmtId="0" fontId="19" fillId="0" borderId="9" xfId="1946" applyFont="1" applyBorder="1">
      <alignment vertical="center"/>
    </xf>
    <xf numFmtId="0" fontId="94" fillId="0" borderId="9" xfId="1946" applyFont="1" applyBorder="1" applyAlignment="1">
      <alignment vertical="center" wrapText="1"/>
    </xf>
    <xf numFmtId="0" fontId="94" fillId="0" borderId="6" xfId="1946" applyFont="1" applyBorder="1" applyAlignment="1">
      <alignment vertical="center" wrapText="1"/>
    </xf>
    <xf numFmtId="0" fontId="95" fillId="0" borderId="0" xfId="1946" applyFont="1">
      <alignment vertical="center"/>
    </xf>
    <xf numFmtId="0" fontId="93" fillId="0" borderId="7" xfId="1946" applyFont="1" applyBorder="1" applyAlignment="1">
      <alignment vertical="center" wrapText="1"/>
    </xf>
    <xf numFmtId="0" fontId="93" fillId="0" borderId="20" xfId="1946" applyFont="1" applyBorder="1" applyAlignment="1">
      <alignment vertical="center" wrapText="1"/>
    </xf>
    <xf numFmtId="0" fontId="93" fillId="0" borderId="20" xfId="1946" applyFont="1" applyBorder="1" applyAlignment="1">
      <alignment vertical="center" wrapText="1"/>
    </xf>
    <xf numFmtId="0" fontId="19" fillId="0" borderId="20" xfId="1946" applyFont="1" applyBorder="1">
      <alignment vertical="center"/>
    </xf>
    <xf numFmtId="0" fontId="19" fillId="0" borderId="20" xfId="1946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left" vertical="center"/>
    </xf>
    <xf numFmtId="0" fontId="19" fillId="0" borderId="8" xfId="1946" applyFont="1" applyBorder="1" applyAlignment="1">
      <alignment horizontal="right" vertical="center"/>
    </xf>
    <xf numFmtId="0" fontId="7" fillId="0" borderId="34" xfId="1946" applyFont="1" applyBorder="1" applyAlignment="1">
      <alignment horizontal="center" vertical="center" wrapText="1"/>
    </xf>
    <xf numFmtId="0" fontId="7" fillId="0" borderId="45" xfId="1946" applyFont="1" applyBorder="1" applyAlignment="1">
      <alignment horizontal="center" vertical="center" wrapText="1"/>
    </xf>
    <xf numFmtId="0" fontId="7" fillId="0" borderId="24" xfId="1946" applyFont="1" applyBorder="1" applyAlignment="1">
      <alignment horizontal="center" vertical="center" wrapText="1"/>
    </xf>
    <xf numFmtId="0" fontId="7" fillId="0" borderId="32" xfId="1946" applyFont="1" applyBorder="1" applyAlignment="1">
      <alignment horizontal="center" vertical="center" wrapText="1"/>
    </xf>
    <xf numFmtId="0" fontId="7" fillId="0" borderId="33" xfId="1946" applyFont="1" applyBorder="1" applyAlignment="1">
      <alignment horizontal="center" vertical="center" wrapText="1"/>
    </xf>
    <xf numFmtId="0" fontId="7" fillId="0" borderId="30" xfId="1946" applyFont="1" applyBorder="1" applyAlignment="1">
      <alignment horizontal="center" vertical="top" wrapText="1"/>
    </xf>
    <xf numFmtId="0" fontId="7" fillId="0" borderId="31" xfId="1946" applyFont="1" applyBorder="1" applyAlignment="1">
      <alignment horizontal="center" vertical="top" wrapText="1"/>
    </xf>
    <xf numFmtId="0" fontId="7" fillId="0" borderId="32" xfId="1946" applyFont="1" applyBorder="1" applyAlignment="1">
      <alignment horizontal="center" vertical="top" wrapText="1"/>
    </xf>
    <xf numFmtId="0" fontId="7" fillId="0" borderId="9" xfId="1946" applyFont="1" applyBorder="1" applyAlignment="1">
      <alignment horizontal="center" vertical="top" wrapText="1"/>
    </xf>
    <xf numFmtId="0" fontId="7" fillId="0" borderId="33" xfId="1946" applyFont="1" applyBorder="1" applyAlignment="1">
      <alignment horizontal="center" vertical="top" wrapText="1"/>
    </xf>
    <xf numFmtId="0" fontId="7" fillId="0" borderId="25" xfId="1946" applyFont="1" applyBorder="1" applyAlignment="1">
      <alignment horizontal="center" vertical="center" wrapText="1"/>
    </xf>
    <xf numFmtId="0" fontId="7" fillId="0" borderId="28" xfId="1946" applyFont="1" applyBorder="1" applyAlignment="1">
      <alignment horizontal="center" vertical="center" wrapText="1"/>
    </xf>
    <xf numFmtId="0" fontId="7" fillId="0" borderId="35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27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38" xfId="1946" applyFont="1" applyBorder="1" applyAlignment="1">
      <alignment horizontal="center" vertical="center" wrapText="1"/>
    </xf>
    <xf numFmtId="0" fontId="7" fillId="0" borderId="39" xfId="1946" applyFont="1" applyBorder="1" applyAlignment="1">
      <alignment horizontal="center" vertical="center" wrapText="1"/>
    </xf>
    <xf numFmtId="0" fontId="7" fillId="0" borderId="42" xfId="1946" applyFont="1" applyBorder="1" applyAlignment="1">
      <alignment horizontal="center" vertical="center" wrapText="1"/>
    </xf>
    <xf numFmtId="0" fontId="96" fillId="0" borderId="23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7" fillId="0" borderId="26" xfId="1946" applyFont="1" applyBorder="1" applyAlignment="1">
      <alignment horizontal="center" vertical="center" wrapText="1"/>
    </xf>
    <xf numFmtId="0" fontId="7" fillId="0" borderId="29" xfId="1946" applyFont="1" applyBorder="1" applyAlignment="1">
      <alignment horizontal="center" vertical="center" wrapText="1"/>
    </xf>
    <xf numFmtId="0" fontId="7" fillId="0" borderId="40" xfId="1946" applyFont="1" applyBorder="1" applyAlignment="1">
      <alignment horizontal="center" vertical="center" wrapText="1"/>
    </xf>
    <xf numFmtId="0" fontId="7" fillId="0" borderId="43" xfId="1946" applyFont="1" applyBorder="1" applyAlignment="1">
      <alignment horizontal="center" vertical="center" wrapText="1"/>
    </xf>
    <xf numFmtId="0" fontId="7" fillId="0" borderId="41" xfId="1946" applyFont="1" applyBorder="1" applyAlignment="1">
      <alignment horizontal="center" vertical="center" wrapText="1"/>
    </xf>
    <xf numFmtId="0" fontId="7" fillId="0" borderId="44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22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22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Fill="1" applyBorder="1">
      <alignment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FF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695325</xdr:colOff>
      <xdr:row>0</xdr:row>
      <xdr:rowOff>9525</xdr:rowOff>
    </xdr:from>
    <xdr:ext cx="9753598" cy="7239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42839C8-F369-4247-A57F-CE4DD59499C0}"/>
            </a:ext>
          </a:extLst>
        </xdr:cNvPr>
        <xdr:cNvSpPr/>
      </xdr:nvSpPr>
      <xdr:spPr>
        <a:xfrm>
          <a:off x="19440525" y="9525"/>
          <a:ext cx="9753598" cy="723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建玉現在高は年末現在。ただし、*印は限月到来銘柄の最終建玉高。商品先物（現物先物取引）の最終建玉高は「本受渡高」を意味する。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228600</xdr:colOff>
      <xdr:row>0</xdr:row>
      <xdr:rowOff>28575</xdr:rowOff>
    </xdr:from>
    <xdr:ext cx="41052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4F2FE5-8EE0-453A-BFDB-3F48BB6641EF}"/>
            </a:ext>
          </a:extLst>
        </xdr:cNvPr>
        <xdr:cNvSpPr/>
      </xdr:nvSpPr>
      <xdr:spPr>
        <a:xfrm>
          <a:off x="26422350" y="28575"/>
          <a:ext cx="41052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建玉現在高は年末現在。ただし、*印は限月到来銘柄の最終建玉高。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year. * is a final position of the contract month.</a:t>
          </a:r>
          <a:endParaRPr kumimoji="1" lang="ja-JP" altLang="en-US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78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 customHeight="1"/>
  <cols>
    <col min="1" max="1" width="10.625" style="2" customWidth="1"/>
    <col min="2" max="2" width="25.75" style="2" bestFit="1" customWidth="1"/>
    <col min="3" max="3" width="34.5" style="2" bestFit="1" customWidth="1"/>
    <col min="4" max="4" width="10.25" style="2" bestFit="1" customWidth="1"/>
    <col min="5" max="6" width="10.75" style="2" bestFit="1" customWidth="1"/>
    <col min="7" max="7" width="6.125" style="2" bestFit="1" customWidth="1"/>
    <col min="8" max="8" width="15.25" style="2" customWidth="1"/>
    <col min="9" max="9" width="6.125" style="2" bestFit="1" customWidth="1"/>
    <col min="10" max="10" width="15.25" style="2" customWidth="1"/>
    <col min="11" max="11" width="6.125" style="2" bestFit="1" customWidth="1"/>
    <col min="12" max="12" width="15.25" style="2" customWidth="1"/>
    <col min="13" max="13" width="6.125" style="2" bestFit="1" customWidth="1"/>
    <col min="14" max="14" width="15.25" style="2" customWidth="1"/>
    <col min="15" max="15" width="6.125" style="2" bestFit="1" customWidth="1"/>
    <col min="16" max="16" width="15.25" style="2" customWidth="1"/>
    <col min="17" max="17" width="6.125" style="2" bestFit="1" customWidth="1"/>
    <col min="18" max="18" width="15.25" style="2" customWidth="1"/>
    <col min="19" max="19" width="15.125" style="2" bestFit="1" customWidth="1"/>
    <col min="20" max="22" width="15" style="2" customWidth="1"/>
    <col min="23" max="25" width="21.25" style="2" customWidth="1"/>
    <col min="26" max="26" width="2.375" style="2" bestFit="1" customWidth="1"/>
    <col min="27" max="27" width="15.25" style="2" customWidth="1"/>
    <col min="28" max="28" width="17.625" style="2" customWidth="1"/>
    <col min="29" max="29" width="6.75" style="2" bestFit="1" customWidth="1"/>
    <col min="30" max="16384" width="9" style="2"/>
  </cols>
  <sheetData>
    <row r="1" spans="1:29" ht="30" customHeight="1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7"/>
      <c r="X1" s="17"/>
      <c r="Y1" s="17"/>
      <c r="Z1" s="17"/>
      <c r="AA1" s="17"/>
      <c r="AB1" s="17"/>
      <c r="AC1" s="20"/>
    </row>
    <row r="2" spans="1:29" ht="30" customHeight="1">
      <c r="A2" s="28" t="s">
        <v>27</v>
      </c>
      <c r="B2" s="29"/>
      <c r="C2" s="29"/>
      <c r="D2" s="21"/>
      <c r="E2" s="21"/>
      <c r="F2" s="21"/>
      <c r="G2" s="21"/>
      <c r="H2" s="21"/>
      <c r="I2" s="21"/>
      <c r="J2" s="2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29" ht="14.1" customHeight="1">
      <c r="A3" s="35" t="s">
        <v>25</v>
      </c>
      <c r="B3" s="45" t="s">
        <v>24</v>
      </c>
      <c r="C3" s="45" t="s">
        <v>23</v>
      </c>
      <c r="D3" s="47" t="s">
        <v>0</v>
      </c>
      <c r="E3" s="49" t="s">
        <v>4</v>
      </c>
      <c r="F3" s="50"/>
      <c r="G3" s="37" t="s">
        <v>22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58" t="s">
        <v>40</v>
      </c>
      <c r="T3" s="30" t="s">
        <v>21</v>
      </c>
      <c r="U3" s="31"/>
      <c r="V3" s="32"/>
      <c r="W3" s="30" t="s">
        <v>20</v>
      </c>
      <c r="X3" s="31"/>
      <c r="Y3" s="32"/>
      <c r="Z3" s="51" t="s">
        <v>19</v>
      </c>
      <c r="AA3" s="52"/>
      <c r="AB3" s="45" t="s">
        <v>28</v>
      </c>
      <c r="AC3" s="56" t="s">
        <v>18</v>
      </c>
    </row>
    <row r="4" spans="1:29" ht="9" customHeight="1">
      <c r="A4" s="36"/>
      <c r="B4" s="46"/>
      <c r="C4" s="46"/>
      <c r="D4" s="48"/>
      <c r="E4" s="51"/>
      <c r="F4" s="52"/>
      <c r="G4" s="39" t="s">
        <v>5</v>
      </c>
      <c r="H4" s="43" t="s">
        <v>30</v>
      </c>
      <c r="I4" s="39" t="s">
        <v>5</v>
      </c>
      <c r="J4" s="41" t="s">
        <v>32</v>
      </c>
      <c r="K4" s="55" t="s">
        <v>1</v>
      </c>
      <c r="L4" s="55"/>
      <c r="M4" s="39" t="s">
        <v>5</v>
      </c>
      <c r="N4" s="41" t="s">
        <v>36</v>
      </c>
      <c r="O4" s="55" t="s">
        <v>1</v>
      </c>
      <c r="P4" s="55"/>
      <c r="Q4" s="39" t="s">
        <v>5</v>
      </c>
      <c r="R4" s="43" t="s">
        <v>38</v>
      </c>
      <c r="S4" s="59"/>
      <c r="T4" s="47" t="s">
        <v>2</v>
      </c>
      <c r="U4" s="48" t="s">
        <v>17</v>
      </c>
      <c r="V4" s="59" t="s">
        <v>42</v>
      </c>
      <c r="W4" s="47" t="s">
        <v>2</v>
      </c>
      <c r="X4" s="48" t="s">
        <v>16</v>
      </c>
      <c r="Y4" s="59" t="s">
        <v>44</v>
      </c>
      <c r="Z4" s="51"/>
      <c r="AA4" s="52"/>
      <c r="AB4" s="46"/>
      <c r="AC4" s="57"/>
    </row>
    <row r="5" spans="1:29" ht="27" customHeight="1">
      <c r="A5" s="36"/>
      <c r="B5" s="46"/>
      <c r="C5" s="46"/>
      <c r="D5" s="48"/>
      <c r="E5" s="53"/>
      <c r="F5" s="54"/>
      <c r="G5" s="40"/>
      <c r="H5" s="44"/>
      <c r="I5" s="40"/>
      <c r="J5" s="42"/>
      <c r="K5" s="5" t="s">
        <v>15</v>
      </c>
      <c r="L5" s="18" t="s">
        <v>34</v>
      </c>
      <c r="M5" s="40"/>
      <c r="N5" s="42"/>
      <c r="O5" s="5" t="s">
        <v>15</v>
      </c>
      <c r="P5" s="18" t="s">
        <v>34</v>
      </c>
      <c r="Q5" s="40"/>
      <c r="R5" s="44"/>
      <c r="S5" s="59"/>
      <c r="T5" s="47"/>
      <c r="U5" s="48"/>
      <c r="V5" s="59"/>
      <c r="W5" s="47"/>
      <c r="X5" s="48"/>
      <c r="Y5" s="59"/>
      <c r="Z5" s="51"/>
      <c r="AA5" s="54"/>
      <c r="AB5" s="47"/>
      <c r="AC5" s="57"/>
    </row>
    <row r="6" spans="1:29" ht="36" customHeight="1">
      <c r="A6" s="22" t="s">
        <v>14</v>
      </c>
      <c r="B6" s="47"/>
      <c r="C6" s="47"/>
      <c r="D6" s="23" t="s">
        <v>3</v>
      </c>
      <c r="E6" s="33" t="s">
        <v>13</v>
      </c>
      <c r="F6" s="34"/>
      <c r="G6" s="5" t="s">
        <v>12</v>
      </c>
      <c r="H6" s="19" t="s">
        <v>31</v>
      </c>
      <c r="I6" s="5" t="s">
        <v>12</v>
      </c>
      <c r="J6" s="18" t="s">
        <v>33</v>
      </c>
      <c r="K6" s="5" t="s">
        <v>12</v>
      </c>
      <c r="L6" s="18" t="s">
        <v>35</v>
      </c>
      <c r="M6" s="5" t="s">
        <v>12</v>
      </c>
      <c r="N6" s="18" t="s">
        <v>37</v>
      </c>
      <c r="O6" s="5" t="s">
        <v>12</v>
      </c>
      <c r="P6" s="18" t="s">
        <v>35</v>
      </c>
      <c r="Q6" s="5" t="s">
        <v>12</v>
      </c>
      <c r="R6" s="18" t="s">
        <v>39</v>
      </c>
      <c r="S6" s="25" t="s">
        <v>41</v>
      </c>
      <c r="T6" s="23" t="s">
        <v>11</v>
      </c>
      <c r="U6" s="23" t="s">
        <v>10</v>
      </c>
      <c r="V6" s="25" t="s">
        <v>43</v>
      </c>
      <c r="W6" s="23" t="s">
        <v>9</v>
      </c>
      <c r="X6" s="23" t="s">
        <v>8</v>
      </c>
      <c r="Y6" s="25" t="s">
        <v>45</v>
      </c>
      <c r="Z6" s="33" t="s">
        <v>7</v>
      </c>
      <c r="AA6" s="34"/>
      <c r="AB6" s="6" t="s">
        <v>29</v>
      </c>
      <c r="AC6" s="24" t="s">
        <v>6</v>
      </c>
    </row>
    <row r="7" spans="1:29">
      <c r="A7" s="8" t="s">
        <v>46</v>
      </c>
      <c r="B7" s="9" t="s">
        <v>47</v>
      </c>
      <c r="C7" s="9" t="s">
        <v>48</v>
      </c>
      <c r="D7" s="9" t="s">
        <v>49</v>
      </c>
      <c r="E7" s="10" t="s">
        <v>50</v>
      </c>
      <c r="F7" s="10" t="s">
        <v>51</v>
      </c>
      <c r="G7" s="11" t="s">
        <v>52</v>
      </c>
      <c r="H7" s="12" t="s">
        <v>53</v>
      </c>
      <c r="I7" s="11" t="s">
        <v>54</v>
      </c>
      <c r="J7" s="12" t="s">
        <v>55</v>
      </c>
      <c r="K7" s="11"/>
      <c r="L7" s="12"/>
      <c r="M7" s="11" t="s">
        <v>56</v>
      </c>
      <c r="N7" s="12" t="s">
        <v>57</v>
      </c>
      <c r="O7" s="11"/>
      <c r="P7" s="12"/>
      <c r="Q7" s="11" t="s">
        <v>58</v>
      </c>
      <c r="R7" s="12" t="s">
        <v>59</v>
      </c>
      <c r="S7" s="13">
        <f>6191</f>
        <v>6191</v>
      </c>
      <c r="T7" s="14">
        <f>5572</f>
        <v>5572</v>
      </c>
      <c r="U7" s="14"/>
      <c r="V7" s="14">
        <v>1009</v>
      </c>
      <c r="W7" s="14">
        <f>34579682000</f>
        <v>34579682000</v>
      </c>
      <c r="X7" s="14"/>
      <c r="Y7" s="14">
        <v>6257205000</v>
      </c>
      <c r="Z7" s="11" t="s">
        <v>60</v>
      </c>
      <c r="AA7" s="15">
        <f>181</f>
        <v>181</v>
      </c>
      <c r="AB7" s="15">
        <f>7</f>
        <v>7</v>
      </c>
      <c r="AC7" s="16">
        <f>34</f>
        <v>34</v>
      </c>
    </row>
    <row r="8" spans="1:29">
      <c r="A8" s="8" t="s">
        <v>46</v>
      </c>
      <c r="B8" s="9" t="s">
        <v>47</v>
      </c>
      <c r="C8" s="9" t="s">
        <v>48</v>
      </c>
      <c r="D8" s="9" t="s">
        <v>61</v>
      </c>
      <c r="E8" s="10" t="s">
        <v>62</v>
      </c>
      <c r="F8" s="10" t="s">
        <v>63</v>
      </c>
      <c r="G8" s="11" t="s">
        <v>52</v>
      </c>
      <c r="H8" s="12" t="s">
        <v>64</v>
      </c>
      <c r="I8" s="11" t="s">
        <v>54</v>
      </c>
      <c r="J8" s="12" t="s">
        <v>65</v>
      </c>
      <c r="K8" s="11" t="s">
        <v>66</v>
      </c>
      <c r="L8" s="12" t="s">
        <v>67</v>
      </c>
      <c r="M8" s="11" t="s">
        <v>68</v>
      </c>
      <c r="N8" s="12" t="s">
        <v>69</v>
      </c>
      <c r="O8" s="11" t="s">
        <v>66</v>
      </c>
      <c r="P8" s="12" t="s">
        <v>67</v>
      </c>
      <c r="Q8" s="11" t="s">
        <v>70</v>
      </c>
      <c r="R8" s="12" t="s">
        <v>71</v>
      </c>
      <c r="S8" s="13">
        <f>6133.64</f>
        <v>6133.64</v>
      </c>
      <c r="T8" s="14">
        <f>9099</f>
        <v>9099</v>
      </c>
      <c r="U8" s="14">
        <v>30</v>
      </c>
      <c r="V8" s="14">
        <v>2621</v>
      </c>
      <c r="W8" s="14">
        <f>56121011000</f>
        <v>56121011000</v>
      </c>
      <c r="X8" s="14">
        <v>182790000</v>
      </c>
      <c r="Y8" s="14">
        <v>16274823000</v>
      </c>
      <c r="Z8" s="11" t="s">
        <v>60</v>
      </c>
      <c r="AA8" s="15">
        <f>377</f>
        <v>377</v>
      </c>
      <c r="AB8" s="15" t="str">
        <f t="shared" ref="AB8:AB45" si="0">"－"</f>
        <v>－</v>
      </c>
      <c r="AC8" s="16">
        <f>78</f>
        <v>78</v>
      </c>
    </row>
    <row r="9" spans="1:29">
      <c r="A9" s="8" t="s">
        <v>46</v>
      </c>
      <c r="B9" s="9" t="s">
        <v>47</v>
      </c>
      <c r="C9" s="9" t="s">
        <v>48</v>
      </c>
      <c r="D9" s="9" t="s">
        <v>72</v>
      </c>
      <c r="E9" s="10" t="s">
        <v>73</v>
      </c>
      <c r="F9" s="10" t="s">
        <v>74</v>
      </c>
      <c r="G9" s="11" t="s">
        <v>52</v>
      </c>
      <c r="H9" s="12" t="s">
        <v>75</v>
      </c>
      <c r="I9" s="11" t="s">
        <v>76</v>
      </c>
      <c r="J9" s="12" t="s">
        <v>77</v>
      </c>
      <c r="K9" s="11" t="s">
        <v>78</v>
      </c>
      <c r="L9" s="12" t="s">
        <v>79</v>
      </c>
      <c r="M9" s="11" t="s">
        <v>80</v>
      </c>
      <c r="N9" s="12" t="s">
        <v>81</v>
      </c>
      <c r="O9" s="11" t="s">
        <v>82</v>
      </c>
      <c r="P9" s="12" t="s">
        <v>83</v>
      </c>
      <c r="Q9" s="11" t="s">
        <v>84</v>
      </c>
      <c r="R9" s="12" t="s">
        <v>85</v>
      </c>
      <c r="S9" s="13">
        <f>6261.03</f>
        <v>6261.03</v>
      </c>
      <c r="T9" s="14">
        <f>22907</f>
        <v>22907</v>
      </c>
      <c r="U9" s="14">
        <v>65</v>
      </c>
      <c r="V9" s="14">
        <v>5417</v>
      </c>
      <c r="W9" s="14">
        <f>143638855000</f>
        <v>143638855000</v>
      </c>
      <c r="X9" s="14">
        <v>399959000</v>
      </c>
      <c r="Y9" s="14">
        <v>33791089000</v>
      </c>
      <c r="Z9" s="11" t="s">
        <v>60</v>
      </c>
      <c r="AA9" s="15">
        <f>1540</f>
        <v>1540</v>
      </c>
      <c r="AB9" s="15" t="str">
        <f t="shared" si="0"/>
        <v>－</v>
      </c>
      <c r="AC9" s="16">
        <f>118</f>
        <v>118</v>
      </c>
    </row>
    <row r="10" spans="1:29">
      <c r="A10" s="8" t="s">
        <v>46</v>
      </c>
      <c r="B10" s="9" t="s">
        <v>47</v>
      </c>
      <c r="C10" s="9" t="s">
        <v>48</v>
      </c>
      <c r="D10" s="9" t="s">
        <v>86</v>
      </c>
      <c r="E10" s="10" t="s">
        <v>87</v>
      </c>
      <c r="F10" s="10" t="s">
        <v>88</v>
      </c>
      <c r="G10" s="11" t="s">
        <v>52</v>
      </c>
      <c r="H10" s="12" t="s">
        <v>89</v>
      </c>
      <c r="I10" s="11" t="s">
        <v>90</v>
      </c>
      <c r="J10" s="12" t="s">
        <v>91</v>
      </c>
      <c r="K10" s="11" t="s">
        <v>92</v>
      </c>
      <c r="L10" s="12" t="s">
        <v>93</v>
      </c>
      <c r="M10" s="11" t="s">
        <v>68</v>
      </c>
      <c r="N10" s="12" t="s">
        <v>94</v>
      </c>
      <c r="O10" s="11" t="s">
        <v>92</v>
      </c>
      <c r="P10" s="12" t="s">
        <v>93</v>
      </c>
      <c r="Q10" s="11" t="s">
        <v>95</v>
      </c>
      <c r="R10" s="12" t="s">
        <v>96</v>
      </c>
      <c r="S10" s="13">
        <f>6282.71</f>
        <v>6282.71</v>
      </c>
      <c r="T10" s="14">
        <f>37387</f>
        <v>37387</v>
      </c>
      <c r="U10" s="14">
        <v>1</v>
      </c>
      <c r="V10" s="14">
        <v>8239</v>
      </c>
      <c r="W10" s="14">
        <f>233400149000</f>
        <v>233400149000</v>
      </c>
      <c r="X10" s="14">
        <v>6637000</v>
      </c>
      <c r="Y10" s="14">
        <v>51050161000</v>
      </c>
      <c r="Z10" s="11" t="s">
        <v>60</v>
      </c>
      <c r="AA10" s="15">
        <f>856</f>
        <v>856</v>
      </c>
      <c r="AB10" s="15" t="str">
        <f t="shared" si="0"/>
        <v>－</v>
      </c>
      <c r="AC10" s="16">
        <f>159</f>
        <v>159</v>
      </c>
    </row>
    <row r="11" spans="1:29">
      <c r="A11" s="8" t="s">
        <v>46</v>
      </c>
      <c r="B11" s="9" t="s">
        <v>47</v>
      </c>
      <c r="C11" s="9" t="s">
        <v>48</v>
      </c>
      <c r="D11" s="9" t="s">
        <v>97</v>
      </c>
      <c r="E11" s="10" t="s">
        <v>98</v>
      </c>
      <c r="F11" s="10" t="s">
        <v>99</v>
      </c>
      <c r="G11" s="11" t="s">
        <v>52</v>
      </c>
      <c r="H11" s="12" t="s">
        <v>100</v>
      </c>
      <c r="I11" s="11" t="s">
        <v>90</v>
      </c>
      <c r="J11" s="12" t="s">
        <v>101</v>
      </c>
      <c r="K11" s="11" t="s">
        <v>102</v>
      </c>
      <c r="L11" s="12" t="s">
        <v>103</v>
      </c>
      <c r="M11" s="11" t="s">
        <v>68</v>
      </c>
      <c r="N11" s="12" t="s">
        <v>104</v>
      </c>
      <c r="O11" s="11" t="s">
        <v>105</v>
      </c>
      <c r="P11" s="12" t="s">
        <v>106</v>
      </c>
      <c r="Q11" s="11" t="s">
        <v>107</v>
      </c>
      <c r="R11" s="12" t="s">
        <v>108</v>
      </c>
      <c r="S11" s="13">
        <f>6301.5</f>
        <v>6301.5</v>
      </c>
      <c r="T11" s="14">
        <f>139051</f>
        <v>139051</v>
      </c>
      <c r="U11" s="14">
        <v>5</v>
      </c>
      <c r="V11" s="14">
        <v>15357</v>
      </c>
      <c r="W11" s="14">
        <f>866655524000</f>
        <v>866655524000</v>
      </c>
      <c r="X11" s="14">
        <v>32355000</v>
      </c>
      <c r="Y11" s="14">
        <v>95243305000</v>
      </c>
      <c r="Z11" s="11" t="s">
        <v>60</v>
      </c>
      <c r="AA11" s="15">
        <f>449</f>
        <v>449</v>
      </c>
      <c r="AB11" s="15" t="str">
        <f t="shared" si="0"/>
        <v>－</v>
      </c>
      <c r="AC11" s="16">
        <f>200</f>
        <v>200</v>
      </c>
    </row>
    <row r="12" spans="1:29">
      <c r="A12" s="8" t="s">
        <v>46</v>
      </c>
      <c r="B12" s="9" t="s">
        <v>47</v>
      </c>
      <c r="C12" s="9" t="s">
        <v>48</v>
      </c>
      <c r="D12" s="9" t="s">
        <v>109</v>
      </c>
      <c r="E12" s="10" t="s">
        <v>110</v>
      </c>
      <c r="F12" s="10" t="s">
        <v>111</v>
      </c>
      <c r="G12" s="11" t="s">
        <v>52</v>
      </c>
      <c r="H12" s="12" t="s">
        <v>112</v>
      </c>
      <c r="I12" s="11" t="s">
        <v>113</v>
      </c>
      <c r="J12" s="12" t="s">
        <v>114</v>
      </c>
      <c r="K12" s="11" t="s">
        <v>115</v>
      </c>
      <c r="L12" s="12" t="s">
        <v>116</v>
      </c>
      <c r="M12" s="11" t="s">
        <v>68</v>
      </c>
      <c r="N12" s="12" t="s">
        <v>117</v>
      </c>
      <c r="O12" s="11" t="s">
        <v>118</v>
      </c>
      <c r="P12" s="12" t="s">
        <v>119</v>
      </c>
      <c r="Q12" s="11" t="s">
        <v>120</v>
      </c>
      <c r="R12" s="12" t="s">
        <v>121</v>
      </c>
      <c r="S12" s="13">
        <f>6351.85</f>
        <v>6351.85</v>
      </c>
      <c r="T12" s="14">
        <f>1014157</f>
        <v>1014157</v>
      </c>
      <c r="U12" s="14">
        <v>177</v>
      </c>
      <c r="V12" s="14">
        <v>31246</v>
      </c>
      <c r="W12" s="14">
        <f>6284126507000</f>
        <v>6284126507000</v>
      </c>
      <c r="X12" s="14">
        <v>1079088000</v>
      </c>
      <c r="Y12" s="14">
        <v>193221876000</v>
      </c>
      <c r="Z12" s="11" t="s">
        <v>60</v>
      </c>
      <c r="AA12" s="15">
        <f>245</f>
        <v>245</v>
      </c>
      <c r="AB12" s="15" t="str">
        <f t="shared" si="0"/>
        <v>－</v>
      </c>
      <c r="AC12" s="16">
        <f>240</f>
        <v>240</v>
      </c>
    </row>
    <row r="13" spans="1:29">
      <c r="A13" s="8" t="s">
        <v>46</v>
      </c>
      <c r="B13" s="9" t="s">
        <v>47</v>
      </c>
      <c r="C13" s="9" t="s">
        <v>48</v>
      </c>
      <c r="D13" s="9" t="s">
        <v>122</v>
      </c>
      <c r="E13" s="10" t="s">
        <v>123</v>
      </c>
      <c r="F13" s="10" t="s">
        <v>124</v>
      </c>
      <c r="G13" s="11" t="s">
        <v>125</v>
      </c>
      <c r="H13" s="12" t="s">
        <v>126</v>
      </c>
      <c r="I13" s="11" t="s">
        <v>113</v>
      </c>
      <c r="J13" s="12" t="s">
        <v>127</v>
      </c>
      <c r="K13" s="11" t="s">
        <v>128</v>
      </c>
      <c r="L13" s="12" t="s">
        <v>129</v>
      </c>
      <c r="M13" s="11" t="s">
        <v>68</v>
      </c>
      <c r="N13" s="12" t="s">
        <v>130</v>
      </c>
      <c r="O13" s="11" t="s">
        <v>68</v>
      </c>
      <c r="P13" s="12" t="s">
        <v>131</v>
      </c>
      <c r="Q13" s="11" t="s">
        <v>132</v>
      </c>
      <c r="R13" s="12" t="s">
        <v>133</v>
      </c>
      <c r="S13" s="13">
        <f>6381.1</f>
        <v>6381.1</v>
      </c>
      <c r="T13" s="14">
        <f>1055929</f>
        <v>1055929</v>
      </c>
      <c r="U13" s="14">
        <v>17</v>
      </c>
      <c r="V13" s="14">
        <v>32858</v>
      </c>
      <c r="W13" s="14">
        <f>6451475824000</f>
        <v>6451475824000</v>
      </c>
      <c r="X13" s="14">
        <v>102919000</v>
      </c>
      <c r="Y13" s="14">
        <v>205521936000</v>
      </c>
      <c r="Z13" s="11"/>
      <c r="AA13" s="15">
        <f>2747</f>
        <v>2747</v>
      </c>
      <c r="AB13" s="15" t="str">
        <f t="shared" si="0"/>
        <v>－</v>
      </c>
      <c r="AC13" s="16">
        <f>211</f>
        <v>211</v>
      </c>
    </row>
    <row r="14" spans="1:29">
      <c r="A14" s="8" t="s">
        <v>46</v>
      </c>
      <c r="B14" s="9" t="s">
        <v>47</v>
      </c>
      <c r="C14" s="9" t="s">
        <v>48</v>
      </c>
      <c r="D14" s="9" t="s">
        <v>134</v>
      </c>
      <c r="E14" s="10" t="s">
        <v>135</v>
      </c>
      <c r="F14" s="10" t="s">
        <v>136</v>
      </c>
      <c r="G14" s="11" t="s">
        <v>137</v>
      </c>
      <c r="H14" s="12" t="s">
        <v>138</v>
      </c>
      <c r="I14" s="11" t="s">
        <v>113</v>
      </c>
      <c r="J14" s="12" t="s">
        <v>139</v>
      </c>
      <c r="K14" s="11" t="s">
        <v>90</v>
      </c>
      <c r="L14" s="12" t="s">
        <v>140</v>
      </c>
      <c r="M14" s="11" t="s">
        <v>141</v>
      </c>
      <c r="N14" s="12" t="s">
        <v>142</v>
      </c>
      <c r="O14" s="11" t="s">
        <v>143</v>
      </c>
      <c r="P14" s="12" t="s">
        <v>144</v>
      </c>
      <c r="Q14" s="11" t="s">
        <v>132</v>
      </c>
      <c r="R14" s="12" t="s">
        <v>145</v>
      </c>
      <c r="S14" s="13">
        <f>6462.49</f>
        <v>6462.49</v>
      </c>
      <c r="T14" s="14">
        <f>1055065</f>
        <v>1055065</v>
      </c>
      <c r="U14" s="14">
        <v>100</v>
      </c>
      <c r="V14" s="14">
        <v>29705</v>
      </c>
      <c r="W14" s="14">
        <f>6840463123000</f>
        <v>6840463123000</v>
      </c>
      <c r="X14" s="14">
        <v>646947000</v>
      </c>
      <c r="Y14" s="14">
        <v>190000988000</v>
      </c>
      <c r="Z14" s="11"/>
      <c r="AA14" s="15">
        <f>2427</f>
        <v>2427</v>
      </c>
      <c r="AB14" s="15" t="str">
        <f t="shared" si="0"/>
        <v>－</v>
      </c>
      <c r="AC14" s="16">
        <f>167</f>
        <v>167</v>
      </c>
    </row>
    <row r="15" spans="1:29">
      <c r="A15" s="8" t="s">
        <v>46</v>
      </c>
      <c r="B15" s="9" t="s">
        <v>47</v>
      </c>
      <c r="C15" s="9" t="s">
        <v>48</v>
      </c>
      <c r="D15" s="9" t="s">
        <v>146</v>
      </c>
      <c r="E15" s="10" t="s">
        <v>147</v>
      </c>
      <c r="F15" s="10" t="s">
        <v>148</v>
      </c>
      <c r="G15" s="11" t="s">
        <v>149</v>
      </c>
      <c r="H15" s="12" t="s">
        <v>150</v>
      </c>
      <c r="I15" s="11" t="s">
        <v>113</v>
      </c>
      <c r="J15" s="12" t="s">
        <v>151</v>
      </c>
      <c r="K15" s="11" t="s">
        <v>152</v>
      </c>
      <c r="L15" s="12" t="s">
        <v>153</v>
      </c>
      <c r="M15" s="11" t="s">
        <v>141</v>
      </c>
      <c r="N15" s="12" t="s">
        <v>154</v>
      </c>
      <c r="O15" s="11" t="s">
        <v>155</v>
      </c>
      <c r="P15" s="12" t="s">
        <v>156</v>
      </c>
      <c r="Q15" s="11" t="s">
        <v>132</v>
      </c>
      <c r="R15" s="12" t="s">
        <v>157</v>
      </c>
      <c r="S15" s="13">
        <f>6445.93</f>
        <v>6445.93</v>
      </c>
      <c r="T15" s="14">
        <f>858988</f>
        <v>858988</v>
      </c>
      <c r="U15" s="14">
        <v>78</v>
      </c>
      <c r="V15" s="14">
        <v>23385</v>
      </c>
      <c r="W15" s="14">
        <f>5455735254000</f>
        <v>5455735254000</v>
      </c>
      <c r="X15" s="14">
        <v>487592000</v>
      </c>
      <c r="Y15" s="14">
        <v>149112584000</v>
      </c>
      <c r="Z15" s="11"/>
      <c r="AA15" s="15">
        <f>2296</f>
        <v>2296</v>
      </c>
      <c r="AB15" s="15" t="str">
        <f t="shared" si="0"/>
        <v>－</v>
      </c>
      <c r="AC15" s="16">
        <f>127</f>
        <v>127</v>
      </c>
    </row>
    <row r="16" spans="1:29">
      <c r="A16" s="8" t="s">
        <v>46</v>
      </c>
      <c r="B16" s="9" t="s">
        <v>47</v>
      </c>
      <c r="C16" s="9" t="s">
        <v>48</v>
      </c>
      <c r="D16" s="9" t="s">
        <v>158</v>
      </c>
      <c r="E16" s="10" t="s">
        <v>159</v>
      </c>
      <c r="F16" s="10" t="s">
        <v>160</v>
      </c>
      <c r="G16" s="11" t="s">
        <v>161</v>
      </c>
      <c r="H16" s="12" t="s">
        <v>162</v>
      </c>
      <c r="I16" s="11" t="s">
        <v>113</v>
      </c>
      <c r="J16" s="12" t="s">
        <v>151</v>
      </c>
      <c r="K16" s="11" t="s">
        <v>152</v>
      </c>
      <c r="L16" s="12" t="s">
        <v>163</v>
      </c>
      <c r="M16" s="11" t="s">
        <v>164</v>
      </c>
      <c r="N16" s="12" t="s">
        <v>165</v>
      </c>
      <c r="O16" s="11" t="s">
        <v>166</v>
      </c>
      <c r="P16" s="12" t="s">
        <v>167</v>
      </c>
      <c r="Q16" s="11" t="s">
        <v>132</v>
      </c>
      <c r="R16" s="12" t="s">
        <v>168</v>
      </c>
      <c r="S16" s="13">
        <f>6491.38</f>
        <v>6491.38</v>
      </c>
      <c r="T16" s="14">
        <f>905492</f>
        <v>905492</v>
      </c>
      <c r="U16" s="14">
        <v>373</v>
      </c>
      <c r="V16" s="14">
        <v>23588</v>
      </c>
      <c r="W16" s="14">
        <f>5802743738000</f>
        <v>5802743738000</v>
      </c>
      <c r="X16" s="14">
        <v>2428849000</v>
      </c>
      <c r="Y16" s="14">
        <v>153237013000</v>
      </c>
      <c r="Z16" s="11"/>
      <c r="AA16" s="15">
        <f>6610</f>
        <v>6610</v>
      </c>
      <c r="AB16" s="15" t="str">
        <f t="shared" si="0"/>
        <v>－</v>
      </c>
      <c r="AC16" s="16">
        <f>86</f>
        <v>86</v>
      </c>
    </row>
    <row r="17" spans="1:29">
      <c r="A17" s="8" t="s">
        <v>46</v>
      </c>
      <c r="B17" s="9" t="s">
        <v>47</v>
      </c>
      <c r="C17" s="9" t="s">
        <v>48</v>
      </c>
      <c r="D17" s="9" t="s">
        <v>169</v>
      </c>
      <c r="E17" s="10" t="s">
        <v>170</v>
      </c>
      <c r="F17" s="10" t="s">
        <v>171</v>
      </c>
      <c r="G17" s="11" t="s">
        <v>172</v>
      </c>
      <c r="H17" s="12" t="s">
        <v>173</v>
      </c>
      <c r="I17" s="11" t="s">
        <v>113</v>
      </c>
      <c r="J17" s="12" t="s">
        <v>174</v>
      </c>
      <c r="K17" s="11" t="s">
        <v>175</v>
      </c>
      <c r="L17" s="12" t="s">
        <v>176</v>
      </c>
      <c r="M17" s="11" t="s">
        <v>177</v>
      </c>
      <c r="N17" s="12" t="s">
        <v>178</v>
      </c>
      <c r="O17" s="11" t="s">
        <v>179</v>
      </c>
      <c r="P17" s="12" t="s">
        <v>180</v>
      </c>
      <c r="Q17" s="11" t="s">
        <v>132</v>
      </c>
      <c r="R17" s="12" t="s">
        <v>181</v>
      </c>
      <c r="S17" s="13">
        <f>6602.13</f>
        <v>6602.13</v>
      </c>
      <c r="T17" s="14">
        <f>906615</f>
        <v>906615</v>
      </c>
      <c r="U17" s="14">
        <v>60</v>
      </c>
      <c r="V17" s="14">
        <v>18171</v>
      </c>
      <c r="W17" s="14">
        <f>5983828872000</f>
        <v>5983828872000</v>
      </c>
      <c r="X17" s="14">
        <v>391079000</v>
      </c>
      <c r="Y17" s="14">
        <v>120115952000</v>
      </c>
      <c r="Z17" s="11"/>
      <c r="AA17" s="15">
        <f>22010</f>
        <v>22010</v>
      </c>
      <c r="AB17" s="15" t="str">
        <f t="shared" si="0"/>
        <v>－</v>
      </c>
      <c r="AC17" s="16">
        <f>45</f>
        <v>45</v>
      </c>
    </row>
    <row r="18" spans="1:29">
      <c r="A18" s="8" t="s">
        <v>46</v>
      </c>
      <c r="B18" s="9" t="s">
        <v>47</v>
      </c>
      <c r="C18" s="9" t="s">
        <v>48</v>
      </c>
      <c r="D18" s="9" t="s">
        <v>182</v>
      </c>
      <c r="E18" s="10" t="s">
        <v>183</v>
      </c>
      <c r="F18" s="10" t="s">
        <v>184</v>
      </c>
      <c r="G18" s="11" t="s">
        <v>185</v>
      </c>
      <c r="H18" s="12" t="s">
        <v>186</v>
      </c>
      <c r="I18" s="11" t="s">
        <v>187</v>
      </c>
      <c r="J18" s="12" t="s">
        <v>188</v>
      </c>
      <c r="K18" s="11" t="s">
        <v>189</v>
      </c>
      <c r="L18" s="12" t="s">
        <v>190</v>
      </c>
      <c r="M18" s="11" t="s">
        <v>132</v>
      </c>
      <c r="N18" s="12" t="s">
        <v>191</v>
      </c>
      <c r="O18" s="11" t="s">
        <v>189</v>
      </c>
      <c r="P18" s="12" t="s">
        <v>192</v>
      </c>
      <c r="Q18" s="11" t="s">
        <v>132</v>
      </c>
      <c r="R18" s="12" t="s">
        <v>145</v>
      </c>
      <c r="S18" s="13">
        <f>6656.4</f>
        <v>6656.4</v>
      </c>
      <c r="T18" s="14">
        <f>46682</f>
        <v>46682</v>
      </c>
      <c r="U18" s="14">
        <v>4</v>
      </c>
      <c r="V18" s="14">
        <v>5144</v>
      </c>
      <c r="W18" s="14">
        <f>310827300000</f>
        <v>310827300000</v>
      </c>
      <c r="X18" s="14">
        <v>26560000</v>
      </c>
      <c r="Y18" s="14">
        <v>34245988000</v>
      </c>
      <c r="Z18" s="11"/>
      <c r="AA18" s="15">
        <f>9128</f>
        <v>9128</v>
      </c>
      <c r="AB18" s="15" t="str">
        <f t="shared" si="0"/>
        <v>－</v>
      </c>
      <c r="AC18" s="16">
        <f>5</f>
        <v>5</v>
      </c>
    </row>
    <row r="19" spans="1:29">
      <c r="A19" s="8" t="s">
        <v>46</v>
      </c>
      <c r="B19" s="9" t="s">
        <v>193</v>
      </c>
      <c r="C19" s="9" t="s">
        <v>194</v>
      </c>
      <c r="D19" s="9" t="s">
        <v>49</v>
      </c>
      <c r="E19" s="10" t="s">
        <v>50</v>
      </c>
      <c r="F19" s="10" t="s">
        <v>195</v>
      </c>
      <c r="G19" s="11" t="s">
        <v>52</v>
      </c>
      <c r="H19" s="12" t="s">
        <v>196</v>
      </c>
      <c r="I19" s="11" t="s">
        <v>54</v>
      </c>
      <c r="J19" s="12" t="s">
        <v>197</v>
      </c>
      <c r="K19" s="11"/>
      <c r="L19" s="12"/>
      <c r="M19" s="11" t="s">
        <v>56</v>
      </c>
      <c r="N19" s="12" t="s">
        <v>198</v>
      </c>
      <c r="O19" s="11"/>
      <c r="P19" s="12"/>
      <c r="Q19" s="11" t="s">
        <v>56</v>
      </c>
      <c r="R19" s="12" t="s">
        <v>199</v>
      </c>
      <c r="S19" s="13">
        <f>6196.33</f>
        <v>6196.33</v>
      </c>
      <c r="T19" s="14">
        <f>1094</f>
        <v>1094</v>
      </c>
      <c r="U19" s="14"/>
      <c r="V19" s="14"/>
      <c r="W19" s="14">
        <f>677722400</f>
        <v>677722400</v>
      </c>
      <c r="X19" s="14"/>
      <c r="Y19" s="14"/>
      <c r="Z19" s="11" t="s">
        <v>60</v>
      </c>
      <c r="AA19" s="15">
        <f>386</f>
        <v>386</v>
      </c>
      <c r="AB19" s="15" t="str">
        <f t="shared" si="0"/>
        <v>－</v>
      </c>
      <c r="AC19" s="16">
        <f>33</f>
        <v>33</v>
      </c>
    </row>
    <row r="20" spans="1:29">
      <c r="A20" s="8" t="s">
        <v>46</v>
      </c>
      <c r="B20" s="9" t="s">
        <v>193</v>
      </c>
      <c r="C20" s="9" t="s">
        <v>194</v>
      </c>
      <c r="D20" s="9" t="s">
        <v>61</v>
      </c>
      <c r="E20" s="10" t="s">
        <v>62</v>
      </c>
      <c r="F20" s="10" t="s">
        <v>200</v>
      </c>
      <c r="G20" s="11" t="s">
        <v>52</v>
      </c>
      <c r="H20" s="12" t="s">
        <v>201</v>
      </c>
      <c r="I20" s="11" t="s">
        <v>54</v>
      </c>
      <c r="J20" s="12" t="s">
        <v>197</v>
      </c>
      <c r="K20" s="11"/>
      <c r="L20" s="12"/>
      <c r="M20" s="11" t="s">
        <v>68</v>
      </c>
      <c r="N20" s="12" t="s">
        <v>202</v>
      </c>
      <c r="O20" s="11"/>
      <c r="P20" s="12"/>
      <c r="Q20" s="11" t="s">
        <v>203</v>
      </c>
      <c r="R20" s="12" t="s">
        <v>204</v>
      </c>
      <c r="S20" s="13">
        <f>6133.42</f>
        <v>6133.42</v>
      </c>
      <c r="T20" s="14">
        <f>1782</f>
        <v>1782</v>
      </c>
      <c r="U20" s="14"/>
      <c r="V20" s="14">
        <v>65</v>
      </c>
      <c r="W20" s="14">
        <f>1094443500</f>
        <v>1094443500</v>
      </c>
      <c r="X20" s="14"/>
      <c r="Y20" s="14">
        <v>39519900</v>
      </c>
      <c r="Z20" s="11" t="s">
        <v>60</v>
      </c>
      <c r="AA20" s="15">
        <f>270</f>
        <v>270</v>
      </c>
      <c r="AB20" s="15" t="str">
        <f t="shared" si="0"/>
        <v>－</v>
      </c>
      <c r="AC20" s="16">
        <f>76</f>
        <v>76</v>
      </c>
    </row>
    <row r="21" spans="1:29">
      <c r="A21" s="8" t="s">
        <v>46</v>
      </c>
      <c r="B21" s="9" t="s">
        <v>193</v>
      </c>
      <c r="C21" s="9" t="s">
        <v>194</v>
      </c>
      <c r="D21" s="9" t="s">
        <v>72</v>
      </c>
      <c r="E21" s="10" t="s">
        <v>73</v>
      </c>
      <c r="F21" s="10" t="s">
        <v>205</v>
      </c>
      <c r="G21" s="11" t="s">
        <v>52</v>
      </c>
      <c r="H21" s="12" t="s">
        <v>206</v>
      </c>
      <c r="I21" s="11" t="s">
        <v>76</v>
      </c>
      <c r="J21" s="12" t="s">
        <v>207</v>
      </c>
      <c r="K21" s="11" t="s">
        <v>208</v>
      </c>
      <c r="L21" s="12" t="s">
        <v>209</v>
      </c>
      <c r="M21" s="11" t="s">
        <v>68</v>
      </c>
      <c r="N21" s="12" t="s">
        <v>210</v>
      </c>
      <c r="O21" s="11" t="s">
        <v>208</v>
      </c>
      <c r="P21" s="12" t="s">
        <v>209</v>
      </c>
      <c r="Q21" s="11" t="s">
        <v>211</v>
      </c>
      <c r="R21" s="12" t="s">
        <v>212</v>
      </c>
      <c r="S21" s="13">
        <f>6260.51</f>
        <v>6260.51</v>
      </c>
      <c r="T21" s="14">
        <f>4166</f>
        <v>4166</v>
      </c>
      <c r="U21" s="14">
        <v>1</v>
      </c>
      <c r="V21" s="14">
        <v>124</v>
      </c>
      <c r="W21" s="14">
        <f>2636423300</f>
        <v>2636423300</v>
      </c>
      <c r="X21" s="14">
        <v>615000</v>
      </c>
      <c r="Y21" s="14">
        <v>76595700</v>
      </c>
      <c r="Z21" s="11" t="s">
        <v>60</v>
      </c>
      <c r="AA21" s="15">
        <f>813</f>
        <v>813</v>
      </c>
      <c r="AB21" s="15" t="str">
        <f t="shared" si="0"/>
        <v>－</v>
      </c>
      <c r="AC21" s="16">
        <f>117</f>
        <v>117</v>
      </c>
    </row>
    <row r="22" spans="1:29">
      <c r="A22" s="8" t="s">
        <v>46</v>
      </c>
      <c r="B22" s="9" t="s">
        <v>193</v>
      </c>
      <c r="C22" s="9" t="s">
        <v>194</v>
      </c>
      <c r="D22" s="9" t="s">
        <v>86</v>
      </c>
      <c r="E22" s="10" t="s">
        <v>87</v>
      </c>
      <c r="F22" s="10" t="s">
        <v>213</v>
      </c>
      <c r="G22" s="11" t="s">
        <v>52</v>
      </c>
      <c r="H22" s="12" t="s">
        <v>214</v>
      </c>
      <c r="I22" s="11" t="s">
        <v>76</v>
      </c>
      <c r="J22" s="12" t="s">
        <v>215</v>
      </c>
      <c r="K22" s="11"/>
      <c r="L22" s="12"/>
      <c r="M22" s="11" t="s">
        <v>68</v>
      </c>
      <c r="N22" s="12" t="s">
        <v>216</v>
      </c>
      <c r="O22" s="11"/>
      <c r="P22" s="12"/>
      <c r="Q22" s="11" t="s">
        <v>217</v>
      </c>
      <c r="R22" s="12" t="s">
        <v>196</v>
      </c>
      <c r="S22" s="13">
        <f>6282.47</f>
        <v>6282.47</v>
      </c>
      <c r="T22" s="14">
        <f>5709</f>
        <v>5709</v>
      </c>
      <c r="U22" s="14"/>
      <c r="V22" s="14">
        <v>171</v>
      </c>
      <c r="W22" s="14">
        <f>3601329300</f>
        <v>3601329300</v>
      </c>
      <c r="X22" s="14"/>
      <c r="Y22" s="14">
        <v>105815300</v>
      </c>
      <c r="Z22" s="11" t="s">
        <v>60</v>
      </c>
      <c r="AA22" s="15">
        <f>1271</f>
        <v>1271</v>
      </c>
      <c r="AB22" s="15" t="str">
        <f t="shared" si="0"/>
        <v>－</v>
      </c>
      <c r="AC22" s="16">
        <f>152</f>
        <v>152</v>
      </c>
    </row>
    <row r="23" spans="1:29">
      <c r="A23" s="8" t="s">
        <v>46</v>
      </c>
      <c r="B23" s="9" t="s">
        <v>193</v>
      </c>
      <c r="C23" s="9" t="s">
        <v>194</v>
      </c>
      <c r="D23" s="9" t="s">
        <v>97</v>
      </c>
      <c r="E23" s="10" t="s">
        <v>98</v>
      </c>
      <c r="F23" s="10" t="s">
        <v>218</v>
      </c>
      <c r="G23" s="11" t="s">
        <v>52</v>
      </c>
      <c r="H23" s="12" t="s">
        <v>219</v>
      </c>
      <c r="I23" s="11" t="s">
        <v>76</v>
      </c>
      <c r="J23" s="12" t="s">
        <v>220</v>
      </c>
      <c r="K23" s="11"/>
      <c r="L23" s="12"/>
      <c r="M23" s="11" t="s">
        <v>68</v>
      </c>
      <c r="N23" s="12" t="s">
        <v>210</v>
      </c>
      <c r="O23" s="11"/>
      <c r="P23" s="12"/>
      <c r="Q23" s="11" t="s">
        <v>221</v>
      </c>
      <c r="R23" s="12" t="s">
        <v>222</v>
      </c>
      <c r="S23" s="13">
        <f>6300.06</f>
        <v>6300.06</v>
      </c>
      <c r="T23" s="14">
        <f>17391</f>
        <v>17391</v>
      </c>
      <c r="U23" s="14"/>
      <c r="V23" s="14">
        <v>233</v>
      </c>
      <c r="W23" s="14">
        <f>10875405500</f>
        <v>10875405500</v>
      </c>
      <c r="X23" s="14"/>
      <c r="Y23" s="14">
        <v>144594400</v>
      </c>
      <c r="Z23" s="11" t="s">
        <v>60</v>
      </c>
      <c r="AA23" s="15">
        <f>602</f>
        <v>602</v>
      </c>
      <c r="AB23" s="15" t="str">
        <f t="shared" si="0"/>
        <v>－</v>
      </c>
      <c r="AC23" s="16">
        <f>190</f>
        <v>190</v>
      </c>
    </row>
    <row r="24" spans="1:29">
      <c r="A24" s="8" t="s">
        <v>46</v>
      </c>
      <c r="B24" s="9" t="s">
        <v>193</v>
      </c>
      <c r="C24" s="9" t="s">
        <v>194</v>
      </c>
      <c r="D24" s="9" t="s">
        <v>109</v>
      </c>
      <c r="E24" s="10" t="s">
        <v>110</v>
      </c>
      <c r="F24" s="10" t="s">
        <v>223</v>
      </c>
      <c r="G24" s="11" t="s">
        <v>52</v>
      </c>
      <c r="H24" s="12" t="s">
        <v>100</v>
      </c>
      <c r="I24" s="11" t="s">
        <v>113</v>
      </c>
      <c r="J24" s="12" t="s">
        <v>224</v>
      </c>
      <c r="K24" s="11" t="s">
        <v>225</v>
      </c>
      <c r="L24" s="12" t="s">
        <v>226</v>
      </c>
      <c r="M24" s="11" t="s">
        <v>68</v>
      </c>
      <c r="N24" s="12" t="s">
        <v>227</v>
      </c>
      <c r="O24" s="11" t="s">
        <v>225</v>
      </c>
      <c r="P24" s="12" t="s">
        <v>226</v>
      </c>
      <c r="Q24" s="11" t="s">
        <v>228</v>
      </c>
      <c r="R24" s="12" t="s">
        <v>229</v>
      </c>
      <c r="S24" s="13">
        <f>6350.81</f>
        <v>6350.81</v>
      </c>
      <c r="T24" s="14">
        <f>326769</f>
        <v>326769</v>
      </c>
      <c r="U24" s="14">
        <v>1</v>
      </c>
      <c r="V24" s="14">
        <v>311</v>
      </c>
      <c r="W24" s="14">
        <f>203068997500</f>
        <v>203068997500</v>
      </c>
      <c r="X24" s="14">
        <v>652800</v>
      </c>
      <c r="Y24" s="14">
        <v>193395600</v>
      </c>
      <c r="Z24" s="11" t="s">
        <v>60</v>
      </c>
      <c r="AA24" s="15">
        <f>419</f>
        <v>419</v>
      </c>
      <c r="AB24" s="15" t="str">
        <f t="shared" si="0"/>
        <v>－</v>
      </c>
      <c r="AC24" s="16">
        <f>232</f>
        <v>232</v>
      </c>
    </row>
    <row r="25" spans="1:29">
      <c r="A25" s="8" t="s">
        <v>46</v>
      </c>
      <c r="B25" s="9" t="s">
        <v>193</v>
      </c>
      <c r="C25" s="9" t="s">
        <v>194</v>
      </c>
      <c r="D25" s="9" t="s">
        <v>122</v>
      </c>
      <c r="E25" s="10" t="s">
        <v>123</v>
      </c>
      <c r="F25" s="10" t="s">
        <v>230</v>
      </c>
      <c r="G25" s="11" t="s">
        <v>125</v>
      </c>
      <c r="H25" s="12" t="s">
        <v>231</v>
      </c>
      <c r="I25" s="11" t="s">
        <v>113</v>
      </c>
      <c r="J25" s="12" t="s">
        <v>232</v>
      </c>
      <c r="K25" s="11" t="s">
        <v>225</v>
      </c>
      <c r="L25" s="12" t="s">
        <v>233</v>
      </c>
      <c r="M25" s="11" t="s">
        <v>68</v>
      </c>
      <c r="N25" s="12" t="s">
        <v>234</v>
      </c>
      <c r="O25" s="11" t="s">
        <v>225</v>
      </c>
      <c r="P25" s="12" t="s">
        <v>233</v>
      </c>
      <c r="Q25" s="11" t="s">
        <v>132</v>
      </c>
      <c r="R25" s="12" t="s">
        <v>133</v>
      </c>
      <c r="S25" s="13">
        <f>6381.1</f>
        <v>6381.1</v>
      </c>
      <c r="T25" s="14">
        <f>347776</f>
        <v>347776</v>
      </c>
      <c r="U25" s="14">
        <v>1</v>
      </c>
      <c r="V25" s="14">
        <v>453</v>
      </c>
      <c r="W25" s="14">
        <f>211849033400</f>
        <v>211849033400</v>
      </c>
      <c r="X25" s="14">
        <v>644000</v>
      </c>
      <c r="Y25" s="14">
        <v>287525000</v>
      </c>
      <c r="Z25" s="11"/>
      <c r="AA25" s="15">
        <f>2981</f>
        <v>2981</v>
      </c>
      <c r="AB25" s="15" t="str">
        <f t="shared" si="0"/>
        <v>－</v>
      </c>
      <c r="AC25" s="16">
        <f>206</f>
        <v>206</v>
      </c>
    </row>
    <row r="26" spans="1:29">
      <c r="A26" s="8" t="s">
        <v>46</v>
      </c>
      <c r="B26" s="9" t="s">
        <v>193</v>
      </c>
      <c r="C26" s="9" t="s">
        <v>194</v>
      </c>
      <c r="D26" s="9" t="s">
        <v>134</v>
      </c>
      <c r="E26" s="10" t="s">
        <v>135</v>
      </c>
      <c r="F26" s="10" t="s">
        <v>235</v>
      </c>
      <c r="G26" s="11" t="s">
        <v>137</v>
      </c>
      <c r="H26" s="12" t="s">
        <v>236</v>
      </c>
      <c r="I26" s="11" t="s">
        <v>113</v>
      </c>
      <c r="J26" s="12" t="s">
        <v>237</v>
      </c>
      <c r="K26" s="11" t="s">
        <v>238</v>
      </c>
      <c r="L26" s="12" t="s">
        <v>239</v>
      </c>
      <c r="M26" s="11" t="s">
        <v>141</v>
      </c>
      <c r="N26" s="12" t="s">
        <v>240</v>
      </c>
      <c r="O26" s="11" t="s">
        <v>238</v>
      </c>
      <c r="P26" s="12" t="s">
        <v>239</v>
      </c>
      <c r="Q26" s="11" t="s">
        <v>132</v>
      </c>
      <c r="R26" s="12" t="s">
        <v>157</v>
      </c>
      <c r="S26" s="13">
        <f>6462.49</f>
        <v>6462.49</v>
      </c>
      <c r="T26" s="14">
        <f>295206</f>
        <v>295206</v>
      </c>
      <c r="U26" s="14">
        <v>1</v>
      </c>
      <c r="V26" s="14">
        <v>323</v>
      </c>
      <c r="W26" s="14">
        <f>191844667400</f>
        <v>191844667400</v>
      </c>
      <c r="X26" s="14">
        <v>678000</v>
      </c>
      <c r="Y26" s="14">
        <v>208904700</v>
      </c>
      <c r="Z26" s="11"/>
      <c r="AA26" s="15">
        <f>1518</f>
        <v>1518</v>
      </c>
      <c r="AB26" s="15" t="str">
        <f t="shared" si="0"/>
        <v>－</v>
      </c>
      <c r="AC26" s="16">
        <f>166</f>
        <v>166</v>
      </c>
    </row>
    <row r="27" spans="1:29">
      <c r="A27" s="8" t="s">
        <v>46</v>
      </c>
      <c r="B27" s="9" t="s">
        <v>193</v>
      </c>
      <c r="C27" s="9" t="s">
        <v>194</v>
      </c>
      <c r="D27" s="9" t="s">
        <v>146</v>
      </c>
      <c r="E27" s="10" t="s">
        <v>147</v>
      </c>
      <c r="F27" s="10" t="s">
        <v>241</v>
      </c>
      <c r="G27" s="11" t="s">
        <v>149</v>
      </c>
      <c r="H27" s="12" t="s">
        <v>242</v>
      </c>
      <c r="I27" s="11" t="s">
        <v>113</v>
      </c>
      <c r="J27" s="12" t="s">
        <v>243</v>
      </c>
      <c r="K27" s="11"/>
      <c r="L27" s="12"/>
      <c r="M27" s="11" t="s">
        <v>141</v>
      </c>
      <c r="N27" s="12" t="s">
        <v>154</v>
      </c>
      <c r="O27" s="11"/>
      <c r="P27" s="12"/>
      <c r="Q27" s="11" t="s">
        <v>132</v>
      </c>
      <c r="R27" s="12" t="s">
        <v>157</v>
      </c>
      <c r="S27" s="13">
        <f>6445.93</f>
        <v>6445.93</v>
      </c>
      <c r="T27" s="14">
        <f>256218</f>
        <v>256218</v>
      </c>
      <c r="U27" s="14"/>
      <c r="V27" s="14">
        <v>118</v>
      </c>
      <c r="W27" s="14">
        <f>162750949600</f>
        <v>162750949600</v>
      </c>
      <c r="X27" s="14"/>
      <c r="Y27" s="14">
        <v>75633300</v>
      </c>
      <c r="Z27" s="11"/>
      <c r="AA27" s="15">
        <f>1254</f>
        <v>1254</v>
      </c>
      <c r="AB27" s="15" t="str">
        <f t="shared" si="0"/>
        <v>－</v>
      </c>
      <c r="AC27" s="16">
        <f>126</f>
        <v>126</v>
      </c>
    </row>
    <row r="28" spans="1:29">
      <c r="A28" s="8" t="s">
        <v>46</v>
      </c>
      <c r="B28" s="9" t="s">
        <v>193</v>
      </c>
      <c r="C28" s="9" t="s">
        <v>194</v>
      </c>
      <c r="D28" s="9" t="s">
        <v>158</v>
      </c>
      <c r="E28" s="10" t="s">
        <v>159</v>
      </c>
      <c r="F28" s="10" t="s">
        <v>244</v>
      </c>
      <c r="G28" s="11" t="s">
        <v>161</v>
      </c>
      <c r="H28" s="12" t="s">
        <v>245</v>
      </c>
      <c r="I28" s="11" t="s">
        <v>113</v>
      </c>
      <c r="J28" s="12" t="s">
        <v>246</v>
      </c>
      <c r="K28" s="11" t="s">
        <v>247</v>
      </c>
      <c r="L28" s="12" t="s">
        <v>248</v>
      </c>
      <c r="M28" s="11" t="s">
        <v>164</v>
      </c>
      <c r="N28" s="12" t="s">
        <v>249</v>
      </c>
      <c r="O28" s="11" t="s">
        <v>164</v>
      </c>
      <c r="P28" s="12" t="s">
        <v>250</v>
      </c>
      <c r="Q28" s="11" t="s">
        <v>132</v>
      </c>
      <c r="R28" s="12" t="s">
        <v>251</v>
      </c>
      <c r="S28" s="13">
        <f>6491.38</f>
        <v>6491.38</v>
      </c>
      <c r="T28" s="14">
        <f>282463</f>
        <v>282463</v>
      </c>
      <c r="U28" s="14">
        <v>5</v>
      </c>
      <c r="V28" s="14">
        <v>161</v>
      </c>
      <c r="W28" s="14">
        <f>181265162800</f>
        <v>181265162800</v>
      </c>
      <c r="X28" s="14">
        <v>3228600</v>
      </c>
      <c r="Y28" s="14">
        <v>104164600</v>
      </c>
      <c r="Z28" s="11"/>
      <c r="AA28" s="15">
        <f>3028</f>
        <v>3028</v>
      </c>
      <c r="AB28" s="15" t="str">
        <f t="shared" si="0"/>
        <v>－</v>
      </c>
      <c r="AC28" s="16">
        <f>86</f>
        <v>86</v>
      </c>
    </row>
    <row r="29" spans="1:29">
      <c r="A29" s="8" t="s">
        <v>46</v>
      </c>
      <c r="B29" s="9" t="s">
        <v>193</v>
      </c>
      <c r="C29" s="9" t="s">
        <v>194</v>
      </c>
      <c r="D29" s="9" t="s">
        <v>169</v>
      </c>
      <c r="E29" s="10" t="s">
        <v>170</v>
      </c>
      <c r="F29" s="10" t="s">
        <v>252</v>
      </c>
      <c r="G29" s="11" t="s">
        <v>172</v>
      </c>
      <c r="H29" s="12" t="s">
        <v>253</v>
      </c>
      <c r="I29" s="11" t="s">
        <v>113</v>
      </c>
      <c r="J29" s="12" t="s">
        <v>174</v>
      </c>
      <c r="K29" s="11"/>
      <c r="L29" s="12"/>
      <c r="M29" s="11" t="s">
        <v>177</v>
      </c>
      <c r="N29" s="12" t="s">
        <v>254</v>
      </c>
      <c r="O29" s="11"/>
      <c r="P29" s="12"/>
      <c r="Q29" s="11" t="s">
        <v>132</v>
      </c>
      <c r="R29" s="12" t="s">
        <v>255</v>
      </c>
      <c r="S29" s="13">
        <f>6602.13</f>
        <v>6602.13</v>
      </c>
      <c r="T29" s="14">
        <f>204091</f>
        <v>204091</v>
      </c>
      <c r="U29" s="14"/>
      <c r="V29" s="14">
        <v>109</v>
      </c>
      <c r="W29" s="14">
        <f>134860799900</f>
        <v>134860799900</v>
      </c>
      <c r="X29" s="14"/>
      <c r="Y29" s="14">
        <v>70891600</v>
      </c>
      <c r="Z29" s="11"/>
      <c r="AA29" s="15">
        <f>3061</f>
        <v>3061</v>
      </c>
      <c r="AB29" s="15" t="str">
        <f t="shared" si="0"/>
        <v>－</v>
      </c>
      <c r="AC29" s="16">
        <f>45</f>
        <v>45</v>
      </c>
    </row>
    <row r="30" spans="1:29">
      <c r="A30" s="8" t="s">
        <v>46</v>
      </c>
      <c r="B30" s="9" t="s">
        <v>193</v>
      </c>
      <c r="C30" s="9" t="s">
        <v>194</v>
      </c>
      <c r="D30" s="9" t="s">
        <v>182</v>
      </c>
      <c r="E30" s="10" t="s">
        <v>183</v>
      </c>
      <c r="F30" s="10" t="s">
        <v>256</v>
      </c>
      <c r="G30" s="11" t="s">
        <v>185</v>
      </c>
      <c r="H30" s="12" t="s">
        <v>257</v>
      </c>
      <c r="I30" s="11" t="s">
        <v>187</v>
      </c>
      <c r="J30" s="12" t="s">
        <v>188</v>
      </c>
      <c r="K30" s="11"/>
      <c r="L30" s="12"/>
      <c r="M30" s="11" t="s">
        <v>132</v>
      </c>
      <c r="N30" s="12" t="s">
        <v>191</v>
      </c>
      <c r="O30" s="11"/>
      <c r="P30" s="12"/>
      <c r="Q30" s="11" t="s">
        <v>132</v>
      </c>
      <c r="R30" s="12" t="s">
        <v>133</v>
      </c>
      <c r="S30" s="13">
        <f>6656.4</f>
        <v>6656.4</v>
      </c>
      <c r="T30" s="14">
        <f>12424</f>
        <v>12424</v>
      </c>
      <c r="U30" s="14"/>
      <c r="V30" s="14"/>
      <c r="W30" s="14">
        <f>8268666500</f>
        <v>8268666500</v>
      </c>
      <c r="X30" s="14"/>
      <c r="Y30" s="14"/>
      <c r="Z30" s="11"/>
      <c r="AA30" s="15">
        <f>1126</f>
        <v>1126</v>
      </c>
      <c r="AB30" s="15" t="str">
        <f t="shared" si="0"/>
        <v>－</v>
      </c>
      <c r="AC30" s="16">
        <f>5</f>
        <v>5</v>
      </c>
    </row>
    <row r="31" spans="1:29">
      <c r="A31" s="8" t="s">
        <v>46</v>
      </c>
      <c r="B31" s="9" t="s">
        <v>258</v>
      </c>
      <c r="C31" s="9" t="s">
        <v>259</v>
      </c>
      <c r="D31" s="9" t="s">
        <v>260</v>
      </c>
      <c r="E31" s="10" t="s">
        <v>260</v>
      </c>
      <c r="F31" s="10" t="s">
        <v>260</v>
      </c>
      <c r="G31" s="11" t="s">
        <v>52</v>
      </c>
      <c r="H31" s="12" t="s">
        <v>261</v>
      </c>
      <c r="I31" s="11" t="s">
        <v>113</v>
      </c>
      <c r="J31" s="12" t="s">
        <v>262</v>
      </c>
      <c r="K31" s="11" t="s">
        <v>132</v>
      </c>
      <c r="L31" s="12" t="s">
        <v>263</v>
      </c>
      <c r="M31" s="11" t="s">
        <v>68</v>
      </c>
      <c r="N31" s="12" t="s">
        <v>264</v>
      </c>
      <c r="O31" s="11" t="s">
        <v>265</v>
      </c>
      <c r="P31" s="12" t="s">
        <v>266</v>
      </c>
      <c r="Q31" s="11" t="s">
        <v>132</v>
      </c>
      <c r="R31" s="12" t="s">
        <v>267</v>
      </c>
      <c r="S31" s="13">
        <f>6356.38</f>
        <v>6356.38</v>
      </c>
      <c r="T31" s="14">
        <f>640243</f>
        <v>640243</v>
      </c>
      <c r="U31" s="14">
        <v>628</v>
      </c>
      <c r="V31" s="14">
        <v>2</v>
      </c>
      <c r="W31" s="14">
        <f>411501499000</f>
        <v>411501499000</v>
      </c>
      <c r="X31" s="14">
        <v>416532200</v>
      </c>
      <c r="Y31" s="14">
        <v>1300700</v>
      </c>
      <c r="Z31" s="11"/>
      <c r="AA31" s="15">
        <f>50327</f>
        <v>50327</v>
      </c>
      <c r="AB31" s="15" t="str">
        <f t="shared" si="0"/>
        <v>－</v>
      </c>
      <c r="AC31" s="16">
        <f>245</f>
        <v>245</v>
      </c>
    </row>
    <row r="32" spans="1:29">
      <c r="A32" s="8" t="s">
        <v>46</v>
      </c>
      <c r="B32" s="9" t="s">
        <v>268</v>
      </c>
      <c r="C32" s="9" t="s">
        <v>269</v>
      </c>
      <c r="D32" s="9" t="s">
        <v>49</v>
      </c>
      <c r="E32" s="10" t="s">
        <v>50</v>
      </c>
      <c r="F32" s="10" t="s">
        <v>51</v>
      </c>
      <c r="G32" s="11" t="s">
        <v>52</v>
      </c>
      <c r="H32" s="12" t="s">
        <v>270</v>
      </c>
      <c r="I32" s="11" t="s">
        <v>271</v>
      </c>
      <c r="J32" s="12" t="s">
        <v>272</v>
      </c>
      <c r="K32" s="11"/>
      <c r="L32" s="12"/>
      <c r="M32" s="11" t="s">
        <v>273</v>
      </c>
      <c r="N32" s="12" t="s">
        <v>274</v>
      </c>
      <c r="O32" s="11"/>
      <c r="P32" s="12"/>
      <c r="Q32" s="11" t="s">
        <v>271</v>
      </c>
      <c r="R32" s="12" t="s">
        <v>272</v>
      </c>
      <c r="S32" s="13">
        <f>90.34</f>
        <v>90.34</v>
      </c>
      <c r="T32" s="14">
        <f>76</f>
        <v>76</v>
      </c>
      <c r="U32" s="14"/>
      <c r="V32" s="14">
        <v>2</v>
      </c>
      <c r="W32" s="14">
        <f>67948000</f>
        <v>67948000</v>
      </c>
      <c r="X32" s="14"/>
      <c r="Y32" s="14">
        <v>1730000</v>
      </c>
      <c r="Z32" s="11" t="s">
        <v>60</v>
      </c>
      <c r="AA32" s="15">
        <f>24</f>
        <v>24</v>
      </c>
      <c r="AB32" s="15" t="str">
        <f t="shared" si="0"/>
        <v>－</v>
      </c>
      <c r="AC32" s="16">
        <f>13</f>
        <v>13</v>
      </c>
    </row>
    <row r="33" spans="1:29">
      <c r="A33" s="8" t="s">
        <v>46</v>
      </c>
      <c r="B33" s="9" t="s">
        <v>268</v>
      </c>
      <c r="C33" s="9" t="s">
        <v>269</v>
      </c>
      <c r="D33" s="9" t="s">
        <v>61</v>
      </c>
      <c r="E33" s="10" t="s">
        <v>62</v>
      </c>
      <c r="F33" s="10" t="s">
        <v>63</v>
      </c>
      <c r="G33" s="11" t="s">
        <v>52</v>
      </c>
      <c r="H33" s="12" t="s">
        <v>275</v>
      </c>
      <c r="I33" s="11" t="s">
        <v>276</v>
      </c>
      <c r="J33" s="12" t="s">
        <v>277</v>
      </c>
      <c r="K33" s="11"/>
      <c r="L33" s="12"/>
      <c r="M33" s="11" t="s">
        <v>278</v>
      </c>
      <c r="N33" s="12" t="s">
        <v>279</v>
      </c>
      <c r="O33" s="11"/>
      <c r="P33" s="12"/>
      <c r="Q33" s="11" t="s">
        <v>280</v>
      </c>
      <c r="R33" s="12" t="s">
        <v>281</v>
      </c>
      <c r="S33" s="13">
        <f>89.64</f>
        <v>89.64</v>
      </c>
      <c r="T33" s="14">
        <f>263</f>
        <v>263</v>
      </c>
      <c r="U33" s="14"/>
      <c r="V33" s="14">
        <v>75</v>
      </c>
      <c r="W33" s="14">
        <f>237412000</f>
        <v>237412000</v>
      </c>
      <c r="X33" s="14"/>
      <c r="Y33" s="14">
        <v>66228000</v>
      </c>
      <c r="Z33" s="11" t="s">
        <v>60</v>
      </c>
      <c r="AA33" s="15">
        <f>54</f>
        <v>54</v>
      </c>
      <c r="AB33" s="15" t="str">
        <f t="shared" si="0"/>
        <v>－</v>
      </c>
      <c r="AC33" s="16">
        <f>43</f>
        <v>43</v>
      </c>
    </row>
    <row r="34" spans="1:29">
      <c r="A34" s="8" t="s">
        <v>46</v>
      </c>
      <c r="B34" s="9" t="s">
        <v>268</v>
      </c>
      <c r="C34" s="9" t="s">
        <v>269</v>
      </c>
      <c r="D34" s="9" t="s">
        <v>72</v>
      </c>
      <c r="E34" s="10" t="s">
        <v>73</v>
      </c>
      <c r="F34" s="10" t="s">
        <v>74</v>
      </c>
      <c r="G34" s="11" t="s">
        <v>52</v>
      </c>
      <c r="H34" s="12" t="s">
        <v>282</v>
      </c>
      <c r="I34" s="11" t="s">
        <v>283</v>
      </c>
      <c r="J34" s="12" t="s">
        <v>284</v>
      </c>
      <c r="K34" s="11" t="s">
        <v>285</v>
      </c>
      <c r="L34" s="12" t="s">
        <v>286</v>
      </c>
      <c r="M34" s="11" t="s">
        <v>287</v>
      </c>
      <c r="N34" s="12" t="s">
        <v>288</v>
      </c>
      <c r="O34" s="11" t="s">
        <v>289</v>
      </c>
      <c r="P34" s="12" t="s">
        <v>290</v>
      </c>
      <c r="Q34" s="11" t="s">
        <v>283</v>
      </c>
      <c r="R34" s="12" t="s">
        <v>284</v>
      </c>
      <c r="S34" s="13">
        <f>92.39</f>
        <v>92.39</v>
      </c>
      <c r="T34" s="14">
        <f>838</f>
        <v>838</v>
      </c>
      <c r="U34" s="14">
        <v>12</v>
      </c>
      <c r="V34" s="14">
        <v>146</v>
      </c>
      <c r="W34" s="14">
        <f>776468000</f>
        <v>776468000</v>
      </c>
      <c r="X34" s="14">
        <v>13068000</v>
      </c>
      <c r="Y34" s="14">
        <v>130941000</v>
      </c>
      <c r="Z34" s="11" t="s">
        <v>60</v>
      </c>
      <c r="AA34" s="15">
        <f>66</f>
        <v>66</v>
      </c>
      <c r="AB34" s="15" t="str">
        <f t="shared" si="0"/>
        <v>－</v>
      </c>
      <c r="AC34" s="16">
        <f>81</f>
        <v>81</v>
      </c>
    </row>
    <row r="35" spans="1:29">
      <c r="A35" s="8" t="s">
        <v>46</v>
      </c>
      <c r="B35" s="9" t="s">
        <v>268</v>
      </c>
      <c r="C35" s="9" t="s">
        <v>269</v>
      </c>
      <c r="D35" s="9" t="s">
        <v>86</v>
      </c>
      <c r="E35" s="10" t="s">
        <v>87</v>
      </c>
      <c r="F35" s="10" t="s">
        <v>88</v>
      </c>
      <c r="G35" s="11" t="s">
        <v>52</v>
      </c>
      <c r="H35" s="12" t="s">
        <v>275</v>
      </c>
      <c r="I35" s="11" t="s">
        <v>276</v>
      </c>
      <c r="J35" s="12" t="s">
        <v>291</v>
      </c>
      <c r="K35" s="11"/>
      <c r="L35" s="12"/>
      <c r="M35" s="11" t="s">
        <v>292</v>
      </c>
      <c r="N35" s="12" t="s">
        <v>293</v>
      </c>
      <c r="O35" s="11"/>
      <c r="P35" s="12"/>
      <c r="Q35" s="11" t="s">
        <v>292</v>
      </c>
      <c r="R35" s="12" t="s">
        <v>294</v>
      </c>
      <c r="S35" s="13">
        <f>91.28</f>
        <v>91.28</v>
      </c>
      <c r="T35" s="14">
        <f>974</f>
        <v>974</v>
      </c>
      <c r="U35" s="14"/>
      <c r="V35" s="14">
        <v>366</v>
      </c>
      <c r="W35" s="14">
        <f>879864000</f>
        <v>879864000</v>
      </c>
      <c r="X35" s="14"/>
      <c r="Y35" s="14">
        <v>329111000</v>
      </c>
      <c r="Z35" s="11" t="s">
        <v>60</v>
      </c>
      <c r="AA35" s="15">
        <f>57</f>
        <v>57</v>
      </c>
      <c r="AB35" s="15" t="str">
        <f t="shared" si="0"/>
        <v>－</v>
      </c>
      <c r="AC35" s="16">
        <f>111</f>
        <v>111</v>
      </c>
    </row>
    <row r="36" spans="1:29">
      <c r="A36" s="8" t="s">
        <v>46</v>
      </c>
      <c r="B36" s="9" t="s">
        <v>268</v>
      </c>
      <c r="C36" s="9" t="s">
        <v>269</v>
      </c>
      <c r="D36" s="9" t="s">
        <v>97</v>
      </c>
      <c r="E36" s="10" t="s">
        <v>98</v>
      </c>
      <c r="F36" s="10" t="s">
        <v>99</v>
      </c>
      <c r="G36" s="11" t="s">
        <v>52</v>
      </c>
      <c r="H36" s="12" t="s">
        <v>295</v>
      </c>
      <c r="I36" s="11" t="s">
        <v>276</v>
      </c>
      <c r="J36" s="12" t="s">
        <v>296</v>
      </c>
      <c r="K36" s="11"/>
      <c r="L36" s="12"/>
      <c r="M36" s="11" t="s">
        <v>297</v>
      </c>
      <c r="N36" s="12" t="s">
        <v>298</v>
      </c>
      <c r="O36" s="11"/>
      <c r="P36" s="12"/>
      <c r="Q36" s="11" t="s">
        <v>299</v>
      </c>
      <c r="R36" s="12" t="s">
        <v>300</v>
      </c>
      <c r="S36" s="13">
        <f>89.41</f>
        <v>89.41</v>
      </c>
      <c r="T36" s="14">
        <f>2968</f>
        <v>2968</v>
      </c>
      <c r="U36" s="14"/>
      <c r="V36" s="14">
        <v>954</v>
      </c>
      <c r="W36" s="14">
        <f>2685329000</f>
        <v>2685329000</v>
      </c>
      <c r="X36" s="14"/>
      <c r="Y36" s="14">
        <v>855454000</v>
      </c>
      <c r="Z36" s="11" t="s">
        <v>60</v>
      </c>
      <c r="AA36" s="15">
        <f>81</f>
        <v>81</v>
      </c>
      <c r="AB36" s="15" t="str">
        <f t="shared" si="0"/>
        <v>－</v>
      </c>
      <c r="AC36" s="16">
        <f>138</f>
        <v>138</v>
      </c>
    </row>
    <row r="37" spans="1:29">
      <c r="A37" s="8" t="s">
        <v>46</v>
      </c>
      <c r="B37" s="9" t="s">
        <v>268</v>
      </c>
      <c r="C37" s="9" t="s">
        <v>269</v>
      </c>
      <c r="D37" s="9" t="s">
        <v>109</v>
      </c>
      <c r="E37" s="10" t="s">
        <v>110</v>
      </c>
      <c r="F37" s="10" t="s">
        <v>111</v>
      </c>
      <c r="G37" s="11" t="s">
        <v>52</v>
      </c>
      <c r="H37" s="12" t="s">
        <v>301</v>
      </c>
      <c r="I37" s="11" t="s">
        <v>276</v>
      </c>
      <c r="J37" s="12" t="s">
        <v>302</v>
      </c>
      <c r="K37" s="11"/>
      <c r="L37" s="12"/>
      <c r="M37" s="11" t="s">
        <v>303</v>
      </c>
      <c r="N37" s="12" t="s">
        <v>304</v>
      </c>
      <c r="O37" s="11"/>
      <c r="P37" s="12"/>
      <c r="Q37" s="11" t="s">
        <v>303</v>
      </c>
      <c r="R37" s="12" t="s">
        <v>305</v>
      </c>
      <c r="S37" s="13">
        <f>89.04</f>
        <v>89.04</v>
      </c>
      <c r="T37" s="14">
        <f>11111</f>
        <v>11111</v>
      </c>
      <c r="U37" s="14"/>
      <c r="V37" s="14">
        <v>1375</v>
      </c>
      <c r="W37" s="14">
        <f>10172749000</f>
        <v>10172749000</v>
      </c>
      <c r="X37" s="14"/>
      <c r="Y37" s="14">
        <v>1247265000</v>
      </c>
      <c r="Z37" s="11" t="s">
        <v>60</v>
      </c>
      <c r="AA37" s="15">
        <f>75</f>
        <v>75</v>
      </c>
      <c r="AB37" s="15" t="str">
        <f t="shared" si="0"/>
        <v>－</v>
      </c>
      <c r="AC37" s="16">
        <f>173</f>
        <v>173</v>
      </c>
    </row>
    <row r="38" spans="1:29">
      <c r="A38" s="8" t="s">
        <v>46</v>
      </c>
      <c r="B38" s="9" t="s">
        <v>268</v>
      </c>
      <c r="C38" s="9" t="s">
        <v>269</v>
      </c>
      <c r="D38" s="9" t="s">
        <v>122</v>
      </c>
      <c r="E38" s="10" t="s">
        <v>123</v>
      </c>
      <c r="F38" s="10" t="s">
        <v>124</v>
      </c>
      <c r="G38" s="11" t="s">
        <v>125</v>
      </c>
      <c r="H38" s="12" t="s">
        <v>306</v>
      </c>
      <c r="I38" s="11" t="s">
        <v>102</v>
      </c>
      <c r="J38" s="12" t="s">
        <v>307</v>
      </c>
      <c r="K38" s="11"/>
      <c r="L38" s="12"/>
      <c r="M38" s="11" t="s">
        <v>308</v>
      </c>
      <c r="N38" s="12" t="s">
        <v>309</v>
      </c>
      <c r="O38" s="11"/>
      <c r="P38" s="12"/>
      <c r="Q38" s="11" t="s">
        <v>132</v>
      </c>
      <c r="R38" s="12" t="s">
        <v>310</v>
      </c>
      <c r="S38" s="13">
        <f>88.89</f>
        <v>88.89</v>
      </c>
      <c r="T38" s="14">
        <f>7055</f>
        <v>7055</v>
      </c>
      <c r="U38" s="14"/>
      <c r="V38" s="14">
        <v>973</v>
      </c>
      <c r="W38" s="14">
        <f>6491342000</f>
        <v>6491342000</v>
      </c>
      <c r="X38" s="14"/>
      <c r="Y38" s="14">
        <v>903570000</v>
      </c>
      <c r="Z38" s="11"/>
      <c r="AA38" s="15">
        <f>219</f>
        <v>219</v>
      </c>
      <c r="AB38" s="15" t="str">
        <f t="shared" si="0"/>
        <v>－</v>
      </c>
      <c r="AC38" s="16">
        <f>152</f>
        <v>152</v>
      </c>
    </row>
    <row r="39" spans="1:29">
      <c r="A39" s="8" t="s">
        <v>46</v>
      </c>
      <c r="B39" s="9" t="s">
        <v>268</v>
      </c>
      <c r="C39" s="9" t="s">
        <v>269</v>
      </c>
      <c r="D39" s="9" t="s">
        <v>134</v>
      </c>
      <c r="E39" s="10" t="s">
        <v>135</v>
      </c>
      <c r="F39" s="10" t="s">
        <v>136</v>
      </c>
      <c r="G39" s="11" t="s">
        <v>137</v>
      </c>
      <c r="H39" s="12" t="s">
        <v>311</v>
      </c>
      <c r="I39" s="11" t="s">
        <v>102</v>
      </c>
      <c r="J39" s="12" t="s">
        <v>277</v>
      </c>
      <c r="K39" s="11"/>
      <c r="L39" s="12"/>
      <c r="M39" s="11" t="s">
        <v>297</v>
      </c>
      <c r="N39" s="12" t="s">
        <v>312</v>
      </c>
      <c r="O39" s="11"/>
      <c r="P39" s="12"/>
      <c r="Q39" s="11" t="s">
        <v>132</v>
      </c>
      <c r="R39" s="12" t="s">
        <v>310</v>
      </c>
      <c r="S39" s="13">
        <f>88.32</f>
        <v>88.32</v>
      </c>
      <c r="T39" s="14">
        <f>6821</f>
        <v>6821</v>
      </c>
      <c r="U39" s="14"/>
      <c r="V39" s="14">
        <v>331</v>
      </c>
      <c r="W39" s="14">
        <f>6425138000</f>
        <v>6425138000</v>
      </c>
      <c r="X39" s="14"/>
      <c r="Y39" s="14">
        <v>309906000</v>
      </c>
      <c r="Z39" s="11"/>
      <c r="AA39" s="15">
        <f>224</f>
        <v>224</v>
      </c>
      <c r="AB39" s="15" t="str">
        <f t="shared" si="0"/>
        <v>－</v>
      </c>
      <c r="AC39" s="16">
        <f>146</f>
        <v>146</v>
      </c>
    </row>
    <row r="40" spans="1:29">
      <c r="A40" s="8" t="s">
        <v>46</v>
      </c>
      <c r="B40" s="9" t="s">
        <v>268</v>
      </c>
      <c r="C40" s="9" t="s">
        <v>269</v>
      </c>
      <c r="D40" s="9" t="s">
        <v>146</v>
      </c>
      <c r="E40" s="10" t="s">
        <v>147</v>
      </c>
      <c r="F40" s="10" t="s">
        <v>148</v>
      </c>
      <c r="G40" s="11" t="s">
        <v>149</v>
      </c>
      <c r="H40" s="12" t="s">
        <v>313</v>
      </c>
      <c r="I40" s="11" t="s">
        <v>314</v>
      </c>
      <c r="J40" s="12" t="s">
        <v>315</v>
      </c>
      <c r="K40" s="11"/>
      <c r="L40" s="12"/>
      <c r="M40" s="11" t="s">
        <v>316</v>
      </c>
      <c r="N40" s="12" t="s">
        <v>317</v>
      </c>
      <c r="O40" s="11"/>
      <c r="P40" s="12"/>
      <c r="Q40" s="11" t="s">
        <v>132</v>
      </c>
      <c r="R40" s="12" t="s">
        <v>318</v>
      </c>
      <c r="S40" s="13">
        <f>85.94</f>
        <v>85.94</v>
      </c>
      <c r="T40" s="14">
        <f>3374</f>
        <v>3374</v>
      </c>
      <c r="U40" s="14"/>
      <c r="V40" s="14">
        <v>138</v>
      </c>
      <c r="W40" s="14">
        <f>2947413000</f>
        <v>2947413000</v>
      </c>
      <c r="X40" s="14"/>
      <c r="Y40" s="14">
        <v>118071000</v>
      </c>
      <c r="Z40" s="11"/>
      <c r="AA40" s="15">
        <f>194</f>
        <v>194</v>
      </c>
      <c r="AB40" s="15" t="str">
        <f t="shared" si="0"/>
        <v>－</v>
      </c>
      <c r="AC40" s="16">
        <f>112</f>
        <v>112</v>
      </c>
    </row>
    <row r="41" spans="1:29">
      <c r="A41" s="8" t="s">
        <v>46</v>
      </c>
      <c r="B41" s="9" t="s">
        <v>268</v>
      </c>
      <c r="C41" s="9" t="s">
        <v>269</v>
      </c>
      <c r="D41" s="9" t="s">
        <v>158</v>
      </c>
      <c r="E41" s="10" t="s">
        <v>159</v>
      </c>
      <c r="F41" s="10" t="s">
        <v>160</v>
      </c>
      <c r="G41" s="11" t="s">
        <v>161</v>
      </c>
      <c r="H41" s="12" t="s">
        <v>319</v>
      </c>
      <c r="I41" s="11" t="s">
        <v>320</v>
      </c>
      <c r="J41" s="12" t="s">
        <v>321</v>
      </c>
      <c r="K41" s="11"/>
      <c r="L41" s="12"/>
      <c r="M41" s="11" t="s">
        <v>316</v>
      </c>
      <c r="N41" s="12" t="s">
        <v>312</v>
      </c>
      <c r="O41" s="11"/>
      <c r="P41" s="12"/>
      <c r="Q41" s="11" t="s">
        <v>132</v>
      </c>
      <c r="R41" s="12" t="s">
        <v>322</v>
      </c>
      <c r="S41" s="13">
        <f>84.59</f>
        <v>84.59</v>
      </c>
      <c r="T41" s="14">
        <f>4242</f>
        <v>4242</v>
      </c>
      <c r="U41" s="14"/>
      <c r="V41" s="14">
        <v>145</v>
      </c>
      <c r="W41" s="14">
        <f>3602627000</f>
        <v>3602627000</v>
      </c>
      <c r="X41" s="14"/>
      <c r="Y41" s="14">
        <v>125203000</v>
      </c>
      <c r="Z41" s="11"/>
      <c r="AA41" s="15">
        <f>175</f>
        <v>175</v>
      </c>
      <c r="AB41" s="15" t="str">
        <f t="shared" si="0"/>
        <v>－</v>
      </c>
      <c r="AC41" s="16">
        <f>86</f>
        <v>86</v>
      </c>
    </row>
    <row r="42" spans="1:29">
      <c r="A42" s="8" t="s">
        <v>46</v>
      </c>
      <c r="B42" s="9" t="s">
        <v>268</v>
      </c>
      <c r="C42" s="9" t="s">
        <v>269</v>
      </c>
      <c r="D42" s="9" t="s">
        <v>169</v>
      </c>
      <c r="E42" s="10" t="s">
        <v>170</v>
      </c>
      <c r="F42" s="10" t="s">
        <v>171</v>
      </c>
      <c r="G42" s="11" t="s">
        <v>172</v>
      </c>
      <c r="H42" s="12" t="s">
        <v>323</v>
      </c>
      <c r="I42" s="11" t="s">
        <v>320</v>
      </c>
      <c r="J42" s="12" t="s">
        <v>324</v>
      </c>
      <c r="K42" s="11"/>
      <c r="L42" s="12"/>
      <c r="M42" s="11" t="s">
        <v>303</v>
      </c>
      <c r="N42" s="12" t="s">
        <v>325</v>
      </c>
      <c r="O42" s="11"/>
      <c r="P42" s="12"/>
      <c r="Q42" s="11" t="s">
        <v>132</v>
      </c>
      <c r="R42" s="12" t="s">
        <v>310</v>
      </c>
      <c r="S42" s="13">
        <f>85.71</f>
        <v>85.71</v>
      </c>
      <c r="T42" s="14">
        <f>3624</f>
        <v>3624</v>
      </c>
      <c r="U42" s="14"/>
      <c r="V42" s="14">
        <v>48</v>
      </c>
      <c r="W42" s="14">
        <f>3100632000</f>
        <v>3100632000</v>
      </c>
      <c r="X42" s="14"/>
      <c r="Y42" s="14">
        <v>42604000</v>
      </c>
      <c r="Z42" s="11"/>
      <c r="AA42" s="15">
        <f>742</f>
        <v>742</v>
      </c>
      <c r="AB42" s="15" t="str">
        <f t="shared" si="0"/>
        <v>－</v>
      </c>
      <c r="AC42" s="16">
        <f>45</f>
        <v>45</v>
      </c>
    </row>
    <row r="43" spans="1:29">
      <c r="A43" s="8" t="s">
        <v>46</v>
      </c>
      <c r="B43" s="9" t="s">
        <v>268</v>
      </c>
      <c r="C43" s="9" t="s">
        <v>269</v>
      </c>
      <c r="D43" s="9" t="s">
        <v>182</v>
      </c>
      <c r="E43" s="10" t="s">
        <v>183</v>
      </c>
      <c r="F43" s="10" t="s">
        <v>184</v>
      </c>
      <c r="G43" s="11" t="s">
        <v>185</v>
      </c>
      <c r="H43" s="12" t="s">
        <v>326</v>
      </c>
      <c r="I43" s="11" t="s">
        <v>187</v>
      </c>
      <c r="J43" s="12" t="s">
        <v>327</v>
      </c>
      <c r="K43" s="11"/>
      <c r="L43" s="12"/>
      <c r="M43" s="11" t="s">
        <v>189</v>
      </c>
      <c r="N43" s="12" t="s">
        <v>328</v>
      </c>
      <c r="O43" s="11"/>
      <c r="P43" s="12"/>
      <c r="Q43" s="11" t="s">
        <v>132</v>
      </c>
      <c r="R43" s="12" t="s">
        <v>322</v>
      </c>
      <c r="S43" s="13">
        <f>84.96</f>
        <v>84.96</v>
      </c>
      <c r="T43" s="14">
        <f>565</f>
        <v>565</v>
      </c>
      <c r="U43" s="14"/>
      <c r="V43" s="14">
        <v>1</v>
      </c>
      <c r="W43" s="14">
        <f>480851000</f>
        <v>480851000</v>
      </c>
      <c r="X43" s="14"/>
      <c r="Y43" s="14">
        <v>852000</v>
      </c>
      <c r="Z43" s="11"/>
      <c r="AA43" s="15">
        <f>311</f>
        <v>311</v>
      </c>
      <c r="AB43" s="15" t="str">
        <f t="shared" si="0"/>
        <v>－</v>
      </c>
      <c r="AC43" s="16">
        <f>5</f>
        <v>5</v>
      </c>
    </row>
    <row r="44" spans="1:29">
      <c r="A44" s="8" t="s">
        <v>46</v>
      </c>
      <c r="B44" s="9" t="s">
        <v>329</v>
      </c>
      <c r="C44" s="9" t="s">
        <v>330</v>
      </c>
      <c r="D44" s="9" t="s">
        <v>49</v>
      </c>
      <c r="E44" s="10" t="s">
        <v>50</v>
      </c>
      <c r="F44" s="10" t="s">
        <v>51</v>
      </c>
      <c r="G44" s="11" t="s">
        <v>52</v>
      </c>
      <c r="H44" s="12" t="s">
        <v>331</v>
      </c>
      <c r="I44" s="11" t="s">
        <v>271</v>
      </c>
      <c r="J44" s="12" t="s">
        <v>332</v>
      </c>
      <c r="K44" s="11" t="s">
        <v>333</v>
      </c>
      <c r="L44" s="12" t="s">
        <v>334</v>
      </c>
      <c r="M44" s="11" t="s">
        <v>335</v>
      </c>
      <c r="N44" s="12" t="s">
        <v>336</v>
      </c>
      <c r="O44" s="11" t="s">
        <v>333</v>
      </c>
      <c r="P44" s="12" t="s">
        <v>334</v>
      </c>
      <c r="Q44" s="11" t="s">
        <v>58</v>
      </c>
      <c r="R44" s="12" t="s">
        <v>337</v>
      </c>
      <c r="S44" s="13">
        <f>3793.56</f>
        <v>3793.56</v>
      </c>
      <c r="T44" s="14">
        <f>3784</f>
        <v>3784</v>
      </c>
      <c r="U44" s="14">
        <v>3</v>
      </c>
      <c r="V44" s="14">
        <v>567</v>
      </c>
      <c r="W44" s="14">
        <f>7362922500</f>
        <v>7362922500</v>
      </c>
      <c r="X44" s="14">
        <v>5520000</v>
      </c>
      <c r="Y44" s="14">
        <v>1097197000</v>
      </c>
      <c r="Z44" s="11" t="s">
        <v>60</v>
      </c>
      <c r="AA44" s="15">
        <f>379</f>
        <v>379</v>
      </c>
      <c r="AB44" s="15" t="str">
        <f t="shared" si="0"/>
        <v>－</v>
      </c>
      <c r="AC44" s="16">
        <f>34</f>
        <v>34</v>
      </c>
    </row>
    <row r="45" spans="1:29">
      <c r="A45" s="8" t="s">
        <v>46</v>
      </c>
      <c r="B45" s="9" t="s">
        <v>329</v>
      </c>
      <c r="C45" s="9" t="s">
        <v>330</v>
      </c>
      <c r="D45" s="9" t="s">
        <v>61</v>
      </c>
      <c r="E45" s="10" t="s">
        <v>62</v>
      </c>
      <c r="F45" s="10" t="s">
        <v>63</v>
      </c>
      <c r="G45" s="11" t="s">
        <v>52</v>
      </c>
      <c r="H45" s="12" t="s">
        <v>338</v>
      </c>
      <c r="I45" s="11" t="s">
        <v>271</v>
      </c>
      <c r="J45" s="12" t="s">
        <v>339</v>
      </c>
      <c r="K45" s="11" t="s">
        <v>203</v>
      </c>
      <c r="L45" s="12" t="s">
        <v>340</v>
      </c>
      <c r="M45" s="11" t="s">
        <v>335</v>
      </c>
      <c r="N45" s="12" t="s">
        <v>341</v>
      </c>
      <c r="O45" s="11" t="s">
        <v>203</v>
      </c>
      <c r="P45" s="12" t="s">
        <v>340</v>
      </c>
      <c r="Q45" s="11" t="s">
        <v>70</v>
      </c>
      <c r="R45" s="12" t="s">
        <v>342</v>
      </c>
      <c r="S45" s="13">
        <f>4001.63</f>
        <v>4001.63</v>
      </c>
      <c r="T45" s="14">
        <f>5879</f>
        <v>5879</v>
      </c>
      <c r="U45" s="14">
        <v>1</v>
      </c>
      <c r="V45" s="14">
        <v>1392</v>
      </c>
      <c r="W45" s="14">
        <f>11790476000</f>
        <v>11790476000</v>
      </c>
      <c r="X45" s="14">
        <v>2093500</v>
      </c>
      <c r="Y45" s="14">
        <v>2749887000</v>
      </c>
      <c r="Z45" s="11" t="s">
        <v>60</v>
      </c>
      <c r="AA45" s="15">
        <f>748</f>
        <v>748</v>
      </c>
      <c r="AB45" s="15" t="str">
        <f t="shared" si="0"/>
        <v>－</v>
      </c>
      <c r="AC45" s="16">
        <f>78</f>
        <v>78</v>
      </c>
    </row>
    <row r="46" spans="1:29">
      <c r="A46" s="8" t="s">
        <v>46</v>
      </c>
      <c r="B46" s="9" t="s">
        <v>329</v>
      </c>
      <c r="C46" s="9" t="s">
        <v>330</v>
      </c>
      <c r="D46" s="9" t="s">
        <v>72</v>
      </c>
      <c r="E46" s="10" t="s">
        <v>73</v>
      </c>
      <c r="F46" s="10" t="s">
        <v>74</v>
      </c>
      <c r="G46" s="11" t="s">
        <v>52</v>
      </c>
      <c r="H46" s="12" t="s">
        <v>343</v>
      </c>
      <c r="I46" s="11" t="s">
        <v>271</v>
      </c>
      <c r="J46" s="12" t="s">
        <v>344</v>
      </c>
      <c r="K46" s="11" t="s">
        <v>345</v>
      </c>
      <c r="L46" s="12" t="s">
        <v>346</v>
      </c>
      <c r="M46" s="11" t="s">
        <v>335</v>
      </c>
      <c r="N46" s="12" t="s">
        <v>347</v>
      </c>
      <c r="O46" s="11" t="s">
        <v>345</v>
      </c>
      <c r="P46" s="12" t="s">
        <v>346</v>
      </c>
      <c r="Q46" s="11" t="s">
        <v>84</v>
      </c>
      <c r="R46" s="12" t="s">
        <v>348</v>
      </c>
      <c r="S46" s="13">
        <f>4045.08</f>
        <v>4045.08</v>
      </c>
      <c r="T46" s="14">
        <f>8090</f>
        <v>8090</v>
      </c>
      <c r="U46" s="14">
        <v>47</v>
      </c>
      <c r="V46" s="14">
        <v>1995</v>
      </c>
      <c r="W46" s="14">
        <f>16355684000</f>
        <v>16355684000</v>
      </c>
      <c r="X46" s="14">
        <v>100439000</v>
      </c>
      <c r="Y46" s="14">
        <v>3997268000</v>
      </c>
      <c r="Z46" s="11" t="s">
        <v>60</v>
      </c>
      <c r="AA46" s="15">
        <f>307</f>
        <v>307</v>
      </c>
      <c r="AB46" s="15">
        <f>10</f>
        <v>10</v>
      </c>
      <c r="AC46" s="16">
        <f>118</f>
        <v>118</v>
      </c>
    </row>
    <row r="47" spans="1:29">
      <c r="A47" s="8" t="s">
        <v>46</v>
      </c>
      <c r="B47" s="9" t="s">
        <v>329</v>
      </c>
      <c r="C47" s="9" t="s">
        <v>330</v>
      </c>
      <c r="D47" s="9" t="s">
        <v>86</v>
      </c>
      <c r="E47" s="10" t="s">
        <v>87</v>
      </c>
      <c r="F47" s="10" t="s">
        <v>88</v>
      </c>
      <c r="G47" s="11" t="s">
        <v>52</v>
      </c>
      <c r="H47" s="12" t="s">
        <v>349</v>
      </c>
      <c r="I47" s="11" t="s">
        <v>271</v>
      </c>
      <c r="J47" s="12" t="s">
        <v>350</v>
      </c>
      <c r="K47" s="11" t="s">
        <v>143</v>
      </c>
      <c r="L47" s="12" t="s">
        <v>351</v>
      </c>
      <c r="M47" s="11" t="s">
        <v>352</v>
      </c>
      <c r="N47" s="12" t="s">
        <v>353</v>
      </c>
      <c r="O47" s="11" t="s">
        <v>143</v>
      </c>
      <c r="P47" s="12" t="s">
        <v>351</v>
      </c>
      <c r="Q47" s="11" t="s">
        <v>95</v>
      </c>
      <c r="R47" s="12" t="s">
        <v>354</v>
      </c>
      <c r="S47" s="13">
        <f>3968.38</f>
        <v>3968.38</v>
      </c>
      <c r="T47" s="14">
        <f>13050</f>
        <v>13050</v>
      </c>
      <c r="U47" s="14">
        <v>2</v>
      </c>
      <c r="V47" s="14">
        <v>1992</v>
      </c>
      <c r="W47" s="14">
        <f>25191729500</f>
        <v>25191729500</v>
      </c>
      <c r="X47" s="14">
        <v>3625000</v>
      </c>
      <c r="Y47" s="14">
        <v>3898652500</v>
      </c>
      <c r="Z47" s="11" t="s">
        <v>60</v>
      </c>
      <c r="AA47" s="15">
        <f>90</f>
        <v>90</v>
      </c>
      <c r="AB47" s="15" t="str">
        <f t="shared" ref="AB47:AB78" si="1">"－"</f>
        <v>－</v>
      </c>
      <c r="AC47" s="16">
        <f>159</f>
        <v>159</v>
      </c>
    </row>
    <row r="48" spans="1:29">
      <c r="A48" s="8" t="s">
        <v>46</v>
      </c>
      <c r="B48" s="9" t="s">
        <v>329</v>
      </c>
      <c r="C48" s="9" t="s">
        <v>330</v>
      </c>
      <c r="D48" s="9" t="s">
        <v>97</v>
      </c>
      <c r="E48" s="10" t="s">
        <v>98</v>
      </c>
      <c r="F48" s="10" t="s">
        <v>99</v>
      </c>
      <c r="G48" s="11" t="s">
        <v>52</v>
      </c>
      <c r="H48" s="12" t="s">
        <v>331</v>
      </c>
      <c r="I48" s="11" t="s">
        <v>271</v>
      </c>
      <c r="J48" s="12" t="s">
        <v>350</v>
      </c>
      <c r="K48" s="11" t="s">
        <v>355</v>
      </c>
      <c r="L48" s="12" t="s">
        <v>356</v>
      </c>
      <c r="M48" s="11" t="s">
        <v>297</v>
      </c>
      <c r="N48" s="12" t="s">
        <v>357</v>
      </c>
      <c r="O48" s="11" t="s">
        <v>355</v>
      </c>
      <c r="P48" s="12" t="s">
        <v>356</v>
      </c>
      <c r="Q48" s="11" t="s">
        <v>107</v>
      </c>
      <c r="R48" s="12" t="s">
        <v>358</v>
      </c>
      <c r="S48" s="13">
        <f>3888.61</f>
        <v>3888.61</v>
      </c>
      <c r="T48" s="14">
        <f>58886</f>
        <v>58886</v>
      </c>
      <c r="U48" s="14">
        <v>7</v>
      </c>
      <c r="V48" s="14">
        <v>11314</v>
      </c>
      <c r="W48" s="14">
        <f>112384424500</f>
        <v>112384424500</v>
      </c>
      <c r="X48" s="14">
        <v>14707000</v>
      </c>
      <c r="Y48" s="14">
        <v>21739349500</v>
      </c>
      <c r="Z48" s="11" t="s">
        <v>60</v>
      </c>
      <c r="AA48" s="15">
        <f>443</f>
        <v>443</v>
      </c>
      <c r="AB48" s="15" t="str">
        <f t="shared" si="1"/>
        <v>－</v>
      </c>
      <c r="AC48" s="16">
        <f>200</f>
        <v>200</v>
      </c>
    </row>
    <row r="49" spans="1:29">
      <c r="A49" s="8" t="s">
        <v>46</v>
      </c>
      <c r="B49" s="9" t="s">
        <v>329</v>
      </c>
      <c r="C49" s="9" t="s">
        <v>330</v>
      </c>
      <c r="D49" s="9" t="s">
        <v>109</v>
      </c>
      <c r="E49" s="10" t="s">
        <v>110</v>
      </c>
      <c r="F49" s="10" t="s">
        <v>111</v>
      </c>
      <c r="G49" s="11" t="s">
        <v>52</v>
      </c>
      <c r="H49" s="12" t="s">
        <v>359</v>
      </c>
      <c r="I49" s="11" t="s">
        <v>271</v>
      </c>
      <c r="J49" s="12" t="s">
        <v>360</v>
      </c>
      <c r="K49" s="11" t="s">
        <v>102</v>
      </c>
      <c r="L49" s="12" t="s">
        <v>361</v>
      </c>
      <c r="M49" s="11" t="s">
        <v>297</v>
      </c>
      <c r="N49" s="12" t="s">
        <v>362</v>
      </c>
      <c r="O49" s="11" t="s">
        <v>228</v>
      </c>
      <c r="P49" s="12" t="s">
        <v>363</v>
      </c>
      <c r="Q49" s="11" t="s">
        <v>120</v>
      </c>
      <c r="R49" s="12" t="s">
        <v>364</v>
      </c>
      <c r="S49" s="13">
        <f>3853.72</f>
        <v>3853.72</v>
      </c>
      <c r="T49" s="14">
        <f>464618</f>
        <v>464618</v>
      </c>
      <c r="U49" s="14">
        <v>51</v>
      </c>
      <c r="V49" s="14">
        <v>20000</v>
      </c>
      <c r="W49" s="14">
        <f>903690346000</f>
        <v>903690346000</v>
      </c>
      <c r="X49" s="14">
        <v>99362500</v>
      </c>
      <c r="Y49" s="14">
        <v>39736234500</v>
      </c>
      <c r="Z49" s="11" t="s">
        <v>60</v>
      </c>
      <c r="AA49" s="15">
        <f>509</f>
        <v>509</v>
      </c>
      <c r="AB49" s="15" t="str">
        <f t="shared" si="1"/>
        <v>－</v>
      </c>
      <c r="AC49" s="16">
        <f>240</f>
        <v>240</v>
      </c>
    </row>
    <row r="50" spans="1:29">
      <c r="A50" s="8" t="s">
        <v>46</v>
      </c>
      <c r="B50" s="9" t="s">
        <v>329</v>
      </c>
      <c r="C50" s="9" t="s">
        <v>330</v>
      </c>
      <c r="D50" s="9" t="s">
        <v>122</v>
      </c>
      <c r="E50" s="10" t="s">
        <v>123</v>
      </c>
      <c r="F50" s="10" t="s">
        <v>124</v>
      </c>
      <c r="G50" s="11" t="s">
        <v>125</v>
      </c>
      <c r="H50" s="12" t="s">
        <v>365</v>
      </c>
      <c r="I50" s="11" t="s">
        <v>366</v>
      </c>
      <c r="J50" s="12" t="s">
        <v>367</v>
      </c>
      <c r="K50" s="11" t="s">
        <v>102</v>
      </c>
      <c r="L50" s="12" t="s">
        <v>368</v>
      </c>
      <c r="M50" s="11" t="s">
        <v>297</v>
      </c>
      <c r="N50" s="12" t="s">
        <v>369</v>
      </c>
      <c r="O50" s="11" t="s">
        <v>166</v>
      </c>
      <c r="P50" s="12" t="s">
        <v>370</v>
      </c>
      <c r="Q50" s="11" t="s">
        <v>132</v>
      </c>
      <c r="R50" s="12" t="s">
        <v>371</v>
      </c>
      <c r="S50" s="13">
        <f>3858.09</f>
        <v>3858.09</v>
      </c>
      <c r="T50" s="14">
        <f>469751</f>
        <v>469751</v>
      </c>
      <c r="U50" s="14">
        <v>555</v>
      </c>
      <c r="V50" s="14">
        <v>19032</v>
      </c>
      <c r="W50" s="14">
        <f>973419829000</f>
        <v>973419829000</v>
      </c>
      <c r="X50" s="14">
        <v>1085870000</v>
      </c>
      <c r="Y50" s="14">
        <v>39218393000</v>
      </c>
      <c r="Z50" s="11"/>
      <c r="AA50" s="15">
        <f>1899</f>
        <v>1899</v>
      </c>
      <c r="AB50" s="15" t="str">
        <f t="shared" si="1"/>
        <v>－</v>
      </c>
      <c r="AC50" s="16">
        <f>211</f>
        <v>211</v>
      </c>
    </row>
    <row r="51" spans="1:29">
      <c r="A51" s="8" t="s">
        <v>46</v>
      </c>
      <c r="B51" s="9" t="s">
        <v>329</v>
      </c>
      <c r="C51" s="9" t="s">
        <v>330</v>
      </c>
      <c r="D51" s="9" t="s">
        <v>134</v>
      </c>
      <c r="E51" s="10" t="s">
        <v>135</v>
      </c>
      <c r="F51" s="10" t="s">
        <v>136</v>
      </c>
      <c r="G51" s="11" t="s">
        <v>137</v>
      </c>
      <c r="H51" s="12" t="s">
        <v>372</v>
      </c>
      <c r="I51" s="11" t="s">
        <v>366</v>
      </c>
      <c r="J51" s="12" t="s">
        <v>373</v>
      </c>
      <c r="K51" s="11" t="s">
        <v>152</v>
      </c>
      <c r="L51" s="12" t="s">
        <v>374</v>
      </c>
      <c r="M51" s="11" t="s">
        <v>297</v>
      </c>
      <c r="N51" s="12" t="s">
        <v>375</v>
      </c>
      <c r="O51" s="11" t="s">
        <v>177</v>
      </c>
      <c r="P51" s="12" t="s">
        <v>376</v>
      </c>
      <c r="Q51" s="11" t="s">
        <v>132</v>
      </c>
      <c r="R51" s="12" t="s">
        <v>377</v>
      </c>
      <c r="S51" s="13">
        <f>3776.4</f>
        <v>3776.4</v>
      </c>
      <c r="T51" s="14">
        <f>431975</f>
        <v>431975</v>
      </c>
      <c r="U51" s="14">
        <v>124</v>
      </c>
      <c r="V51" s="14">
        <v>20271</v>
      </c>
      <c r="W51" s="14">
        <f>873083211500</f>
        <v>873083211500</v>
      </c>
      <c r="X51" s="14">
        <v>223910500</v>
      </c>
      <c r="Y51" s="14">
        <v>39383523000</v>
      </c>
      <c r="Z51" s="11"/>
      <c r="AA51" s="15">
        <f>7143</f>
        <v>7143</v>
      </c>
      <c r="AB51" s="15" t="str">
        <f t="shared" si="1"/>
        <v>－</v>
      </c>
      <c r="AC51" s="16">
        <f>167</f>
        <v>167</v>
      </c>
    </row>
    <row r="52" spans="1:29">
      <c r="A52" s="8" t="s">
        <v>46</v>
      </c>
      <c r="B52" s="9" t="s">
        <v>329</v>
      </c>
      <c r="C52" s="9" t="s">
        <v>330</v>
      </c>
      <c r="D52" s="9" t="s">
        <v>146</v>
      </c>
      <c r="E52" s="10" t="s">
        <v>147</v>
      </c>
      <c r="F52" s="10" t="s">
        <v>148</v>
      </c>
      <c r="G52" s="11" t="s">
        <v>149</v>
      </c>
      <c r="H52" s="12" t="s">
        <v>378</v>
      </c>
      <c r="I52" s="11" t="s">
        <v>113</v>
      </c>
      <c r="J52" s="12" t="s">
        <v>379</v>
      </c>
      <c r="K52" s="11" t="s">
        <v>380</v>
      </c>
      <c r="L52" s="12" t="s">
        <v>381</v>
      </c>
      <c r="M52" s="11" t="s">
        <v>297</v>
      </c>
      <c r="N52" s="12" t="s">
        <v>382</v>
      </c>
      <c r="O52" s="11" t="s">
        <v>155</v>
      </c>
      <c r="P52" s="12" t="s">
        <v>383</v>
      </c>
      <c r="Q52" s="11" t="s">
        <v>132</v>
      </c>
      <c r="R52" s="12" t="s">
        <v>384</v>
      </c>
      <c r="S52" s="13">
        <f>3643.24</f>
        <v>3643.24</v>
      </c>
      <c r="T52" s="14">
        <f>439869</f>
        <v>439869</v>
      </c>
      <c r="U52" s="14">
        <v>66</v>
      </c>
      <c r="V52" s="14">
        <v>24084</v>
      </c>
      <c r="W52" s="14">
        <f>808871544500</f>
        <v>808871544500</v>
      </c>
      <c r="X52" s="14">
        <v>124006000</v>
      </c>
      <c r="Y52" s="14">
        <v>43741662500</v>
      </c>
      <c r="Z52" s="11"/>
      <c r="AA52" s="15">
        <f>2693</f>
        <v>2693</v>
      </c>
      <c r="AB52" s="15" t="str">
        <f t="shared" si="1"/>
        <v>－</v>
      </c>
      <c r="AC52" s="16">
        <f>127</f>
        <v>127</v>
      </c>
    </row>
    <row r="53" spans="1:29">
      <c r="A53" s="8" t="s">
        <v>46</v>
      </c>
      <c r="B53" s="9" t="s">
        <v>329</v>
      </c>
      <c r="C53" s="9" t="s">
        <v>330</v>
      </c>
      <c r="D53" s="9" t="s">
        <v>158</v>
      </c>
      <c r="E53" s="10" t="s">
        <v>159</v>
      </c>
      <c r="F53" s="10" t="s">
        <v>160</v>
      </c>
      <c r="G53" s="11" t="s">
        <v>161</v>
      </c>
      <c r="H53" s="12" t="s">
        <v>385</v>
      </c>
      <c r="I53" s="11" t="s">
        <v>113</v>
      </c>
      <c r="J53" s="12" t="s">
        <v>386</v>
      </c>
      <c r="K53" s="11" t="s">
        <v>152</v>
      </c>
      <c r="L53" s="12" t="s">
        <v>387</v>
      </c>
      <c r="M53" s="11" t="s">
        <v>297</v>
      </c>
      <c r="N53" s="12" t="s">
        <v>388</v>
      </c>
      <c r="O53" s="11" t="s">
        <v>389</v>
      </c>
      <c r="P53" s="12" t="s">
        <v>390</v>
      </c>
      <c r="Q53" s="11" t="s">
        <v>132</v>
      </c>
      <c r="R53" s="12" t="s">
        <v>391</v>
      </c>
      <c r="S53" s="13">
        <f>3590.95</f>
        <v>3590.95</v>
      </c>
      <c r="T53" s="14">
        <f>406170</f>
        <v>406170</v>
      </c>
      <c r="U53" s="14">
        <v>239</v>
      </c>
      <c r="V53" s="14">
        <v>20409</v>
      </c>
      <c r="W53" s="14">
        <f>722866855500</f>
        <v>722866855500</v>
      </c>
      <c r="X53" s="14">
        <v>449368000</v>
      </c>
      <c r="Y53" s="14">
        <v>36746994000</v>
      </c>
      <c r="Z53" s="11"/>
      <c r="AA53" s="15">
        <f>6011</f>
        <v>6011</v>
      </c>
      <c r="AB53" s="15" t="str">
        <f t="shared" si="1"/>
        <v>－</v>
      </c>
      <c r="AC53" s="16">
        <f>86</f>
        <v>86</v>
      </c>
    </row>
    <row r="54" spans="1:29">
      <c r="A54" s="8" t="s">
        <v>46</v>
      </c>
      <c r="B54" s="9" t="s">
        <v>329</v>
      </c>
      <c r="C54" s="9" t="s">
        <v>330</v>
      </c>
      <c r="D54" s="9" t="s">
        <v>169</v>
      </c>
      <c r="E54" s="10" t="s">
        <v>170</v>
      </c>
      <c r="F54" s="10" t="s">
        <v>171</v>
      </c>
      <c r="G54" s="11" t="s">
        <v>172</v>
      </c>
      <c r="H54" s="12" t="s">
        <v>392</v>
      </c>
      <c r="I54" s="11" t="s">
        <v>113</v>
      </c>
      <c r="J54" s="12" t="s">
        <v>393</v>
      </c>
      <c r="K54" s="11" t="s">
        <v>238</v>
      </c>
      <c r="L54" s="12" t="s">
        <v>394</v>
      </c>
      <c r="M54" s="11" t="s">
        <v>303</v>
      </c>
      <c r="N54" s="12" t="s">
        <v>395</v>
      </c>
      <c r="O54" s="11" t="s">
        <v>303</v>
      </c>
      <c r="P54" s="12" t="s">
        <v>396</v>
      </c>
      <c r="Q54" s="11" t="s">
        <v>132</v>
      </c>
      <c r="R54" s="12" t="s">
        <v>397</v>
      </c>
      <c r="S54" s="13">
        <f>3629.53</f>
        <v>3629.53</v>
      </c>
      <c r="T54" s="14">
        <f>289199</f>
        <v>289199</v>
      </c>
      <c r="U54" s="14">
        <v>220</v>
      </c>
      <c r="V54" s="14">
        <v>9197</v>
      </c>
      <c r="W54" s="14">
        <f>523729612500</f>
        <v>523729612500</v>
      </c>
      <c r="X54" s="14">
        <v>417528500</v>
      </c>
      <c r="Y54" s="14">
        <v>16830026000</v>
      </c>
      <c r="Z54" s="11"/>
      <c r="AA54" s="15">
        <f>14564</f>
        <v>14564</v>
      </c>
      <c r="AB54" s="15" t="str">
        <f t="shared" si="1"/>
        <v>－</v>
      </c>
      <c r="AC54" s="16">
        <f>45</f>
        <v>45</v>
      </c>
    </row>
    <row r="55" spans="1:29">
      <c r="A55" s="8" t="s">
        <v>46</v>
      </c>
      <c r="B55" s="9" t="s">
        <v>329</v>
      </c>
      <c r="C55" s="9" t="s">
        <v>330</v>
      </c>
      <c r="D55" s="9" t="s">
        <v>182</v>
      </c>
      <c r="E55" s="10" t="s">
        <v>183</v>
      </c>
      <c r="F55" s="10" t="s">
        <v>184</v>
      </c>
      <c r="G55" s="11" t="s">
        <v>185</v>
      </c>
      <c r="H55" s="12" t="s">
        <v>398</v>
      </c>
      <c r="I55" s="11" t="s">
        <v>187</v>
      </c>
      <c r="J55" s="12" t="s">
        <v>399</v>
      </c>
      <c r="K55" s="11"/>
      <c r="L55" s="12"/>
      <c r="M55" s="11" t="s">
        <v>400</v>
      </c>
      <c r="N55" s="12" t="s">
        <v>401</v>
      </c>
      <c r="O55" s="11"/>
      <c r="P55" s="12"/>
      <c r="Q55" s="11" t="s">
        <v>132</v>
      </c>
      <c r="R55" s="12" t="s">
        <v>384</v>
      </c>
      <c r="S55" s="13">
        <f>3564.6</f>
        <v>3564.6</v>
      </c>
      <c r="T55" s="14">
        <f>17834</f>
        <v>17834</v>
      </c>
      <c r="U55" s="14"/>
      <c r="V55" s="14">
        <v>1755</v>
      </c>
      <c r="W55" s="14">
        <f>31883795000</f>
        <v>31883795000</v>
      </c>
      <c r="X55" s="14"/>
      <c r="Y55" s="14">
        <v>3138272000</v>
      </c>
      <c r="Z55" s="11"/>
      <c r="AA55" s="15">
        <f>4704</f>
        <v>4704</v>
      </c>
      <c r="AB55" s="15" t="str">
        <f t="shared" si="1"/>
        <v>－</v>
      </c>
      <c r="AC55" s="16">
        <f>5</f>
        <v>5</v>
      </c>
    </row>
    <row r="56" spans="1:29">
      <c r="A56" s="8" t="s">
        <v>46</v>
      </c>
      <c r="B56" s="9" t="s">
        <v>402</v>
      </c>
      <c r="C56" s="9" t="s">
        <v>403</v>
      </c>
      <c r="D56" s="9" t="s">
        <v>49</v>
      </c>
      <c r="E56" s="10" t="s">
        <v>50</v>
      </c>
      <c r="F56" s="10" t="s">
        <v>195</v>
      </c>
      <c r="G56" s="11" t="s">
        <v>52</v>
      </c>
      <c r="H56" s="12" t="s">
        <v>404</v>
      </c>
      <c r="I56" s="11" t="s">
        <v>271</v>
      </c>
      <c r="J56" s="12" t="s">
        <v>405</v>
      </c>
      <c r="K56" s="11"/>
      <c r="L56" s="12"/>
      <c r="M56" s="11" t="s">
        <v>52</v>
      </c>
      <c r="N56" s="12" t="s">
        <v>404</v>
      </c>
      <c r="O56" s="11"/>
      <c r="P56" s="12"/>
      <c r="Q56" s="11" t="s">
        <v>56</v>
      </c>
      <c r="R56" s="12" t="s">
        <v>406</v>
      </c>
      <c r="S56" s="13">
        <f>3775.18</f>
        <v>3775.18</v>
      </c>
      <c r="T56" s="14">
        <f>415</f>
        <v>415</v>
      </c>
      <c r="U56" s="14"/>
      <c r="V56" s="14"/>
      <c r="W56" s="14">
        <f>160402200</f>
        <v>160402200</v>
      </c>
      <c r="X56" s="14"/>
      <c r="Y56" s="14"/>
      <c r="Z56" s="11" t="s">
        <v>60</v>
      </c>
      <c r="AA56" s="15">
        <f>119</f>
        <v>119</v>
      </c>
      <c r="AB56" s="15" t="str">
        <f t="shared" si="1"/>
        <v>－</v>
      </c>
      <c r="AC56" s="16">
        <f>29</f>
        <v>29</v>
      </c>
    </row>
    <row r="57" spans="1:29">
      <c r="A57" s="8" t="s">
        <v>46</v>
      </c>
      <c r="B57" s="9" t="s">
        <v>402</v>
      </c>
      <c r="C57" s="9" t="s">
        <v>403</v>
      </c>
      <c r="D57" s="9" t="s">
        <v>61</v>
      </c>
      <c r="E57" s="10" t="s">
        <v>62</v>
      </c>
      <c r="F57" s="10" t="s">
        <v>200</v>
      </c>
      <c r="G57" s="11" t="s">
        <v>52</v>
      </c>
      <c r="H57" s="12" t="s">
        <v>407</v>
      </c>
      <c r="I57" s="11" t="s">
        <v>408</v>
      </c>
      <c r="J57" s="12" t="s">
        <v>337</v>
      </c>
      <c r="K57" s="11"/>
      <c r="L57" s="12"/>
      <c r="M57" s="11" t="s">
        <v>52</v>
      </c>
      <c r="N57" s="12" t="s">
        <v>407</v>
      </c>
      <c r="O57" s="11"/>
      <c r="P57" s="12"/>
      <c r="Q57" s="11" t="s">
        <v>203</v>
      </c>
      <c r="R57" s="12" t="s">
        <v>409</v>
      </c>
      <c r="S57" s="13">
        <f>3998.56</f>
        <v>3998.56</v>
      </c>
      <c r="T57" s="14">
        <f>321</f>
        <v>321</v>
      </c>
      <c r="U57" s="14"/>
      <c r="V57" s="14">
        <v>3</v>
      </c>
      <c r="W57" s="14">
        <f>128066300</f>
        <v>128066300</v>
      </c>
      <c r="X57" s="14"/>
      <c r="Y57" s="14">
        <v>1218300</v>
      </c>
      <c r="Z57" s="11" t="s">
        <v>60</v>
      </c>
      <c r="AA57" s="15">
        <f>61</f>
        <v>61</v>
      </c>
      <c r="AB57" s="15" t="str">
        <f t="shared" si="1"/>
        <v>－</v>
      </c>
      <c r="AC57" s="16">
        <f>56</f>
        <v>56</v>
      </c>
    </row>
    <row r="58" spans="1:29">
      <c r="A58" s="8" t="s">
        <v>46</v>
      </c>
      <c r="B58" s="9" t="s">
        <v>402</v>
      </c>
      <c r="C58" s="9" t="s">
        <v>403</v>
      </c>
      <c r="D58" s="9" t="s">
        <v>72</v>
      </c>
      <c r="E58" s="10" t="s">
        <v>73</v>
      </c>
      <c r="F58" s="10" t="s">
        <v>205</v>
      </c>
      <c r="G58" s="11" t="s">
        <v>52</v>
      </c>
      <c r="H58" s="12" t="s">
        <v>401</v>
      </c>
      <c r="I58" s="11" t="s">
        <v>366</v>
      </c>
      <c r="J58" s="12" t="s">
        <v>410</v>
      </c>
      <c r="K58" s="11"/>
      <c r="L58" s="12"/>
      <c r="M58" s="11" t="s">
        <v>411</v>
      </c>
      <c r="N58" s="12" t="s">
        <v>412</v>
      </c>
      <c r="O58" s="11"/>
      <c r="P58" s="12"/>
      <c r="Q58" s="11" t="s">
        <v>211</v>
      </c>
      <c r="R58" s="12" t="s">
        <v>413</v>
      </c>
      <c r="S58" s="13">
        <f>4046.62</f>
        <v>4046.62</v>
      </c>
      <c r="T58" s="14">
        <f>465</f>
        <v>465</v>
      </c>
      <c r="U58" s="14"/>
      <c r="V58" s="14">
        <v>28</v>
      </c>
      <c r="W58" s="14">
        <f>188036500</f>
        <v>188036500</v>
      </c>
      <c r="X58" s="14"/>
      <c r="Y58" s="14">
        <v>11554100</v>
      </c>
      <c r="Z58" s="11" t="s">
        <v>60</v>
      </c>
      <c r="AA58" s="15">
        <f>83</f>
        <v>83</v>
      </c>
      <c r="AB58" s="15" t="str">
        <f t="shared" si="1"/>
        <v>－</v>
      </c>
      <c r="AC58" s="16">
        <f>79</f>
        <v>79</v>
      </c>
    </row>
    <row r="59" spans="1:29">
      <c r="A59" s="8" t="s">
        <v>46</v>
      </c>
      <c r="B59" s="9" t="s">
        <v>402</v>
      </c>
      <c r="C59" s="9" t="s">
        <v>403</v>
      </c>
      <c r="D59" s="9" t="s">
        <v>86</v>
      </c>
      <c r="E59" s="10" t="s">
        <v>87</v>
      </c>
      <c r="F59" s="10" t="s">
        <v>213</v>
      </c>
      <c r="G59" s="11" t="s">
        <v>52</v>
      </c>
      <c r="H59" s="12" t="s">
        <v>343</v>
      </c>
      <c r="I59" s="11" t="s">
        <v>271</v>
      </c>
      <c r="J59" s="12" t="s">
        <v>414</v>
      </c>
      <c r="K59" s="11"/>
      <c r="L59" s="12"/>
      <c r="M59" s="11" t="s">
        <v>415</v>
      </c>
      <c r="N59" s="12" t="s">
        <v>416</v>
      </c>
      <c r="O59" s="11"/>
      <c r="P59" s="12"/>
      <c r="Q59" s="11" t="s">
        <v>217</v>
      </c>
      <c r="R59" s="12" t="s">
        <v>417</v>
      </c>
      <c r="S59" s="13">
        <f>3971.04</f>
        <v>3971.04</v>
      </c>
      <c r="T59" s="14">
        <f>1035</f>
        <v>1035</v>
      </c>
      <c r="U59" s="14"/>
      <c r="V59" s="14">
        <v>120</v>
      </c>
      <c r="W59" s="14">
        <f>399846200</f>
        <v>399846200</v>
      </c>
      <c r="X59" s="14"/>
      <c r="Y59" s="14">
        <v>48929400</v>
      </c>
      <c r="Z59" s="11" t="s">
        <v>60</v>
      </c>
      <c r="AA59" s="15">
        <f>133</f>
        <v>133</v>
      </c>
      <c r="AB59" s="15" t="str">
        <f t="shared" si="1"/>
        <v>－</v>
      </c>
      <c r="AC59" s="16">
        <f>101</f>
        <v>101</v>
      </c>
    </row>
    <row r="60" spans="1:29">
      <c r="A60" s="8" t="s">
        <v>46</v>
      </c>
      <c r="B60" s="9" t="s">
        <v>402</v>
      </c>
      <c r="C60" s="9" t="s">
        <v>403</v>
      </c>
      <c r="D60" s="9" t="s">
        <v>97</v>
      </c>
      <c r="E60" s="10" t="s">
        <v>98</v>
      </c>
      <c r="F60" s="10" t="s">
        <v>218</v>
      </c>
      <c r="G60" s="11" t="s">
        <v>52</v>
      </c>
      <c r="H60" s="12" t="s">
        <v>331</v>
      </c>
      <c r="I60" s="11" t="s">
        <v>271</v>
      </c>
      <c r="J60" s="12" t="s">
        <v>350</v>
      </c>
      <c r="K60" s="11"/>
      <c r="L60" s="12"/>
      <c r="M60" s="11" t="s">
        <v>297</v>
      </c>
      <c r="N60" s="12" t="s">
        <v>418</v>
      </c>
      <c r="O60" s="11"/>
      <c r="P60" s="12"/>
      <c r="Q60" s="11" t="s">
        <v>221</v>
      </c>
      <c r="R60" s="12" t="s">
        <v>419</v>
      </c>
      <c r="S60" s="13">
        <f>3888.78</f>
        <v>3888.78</v>
      </c>
      <c r="T60" s="14">
        <f>4913</f>
        <v>4913</v>
      </c>
      <c r="U60" s="14"/>
      <c r="V60" s="14">
        <v>125</v>
      </c>
      <c r="W60" s="14">
        <f>1846396700</f>
        <v>1846396700</v>
      </c>
      <c r="X60" s="14"/>
      <c r="Y60" s="14">
        <v>49730800</v>
      </c>
      <c r="Z60" s="11" t="s">
        <v>60</v>
      </c>
      <c r="AA60" s="15">
        <f>51</f>
        <v>51</v>
      </c>
      <c r="AB60" s="15" t="str">
        <f t="shared" si="1"/>
        <v>－</v>
      </c>
      <c r="AC60" s="16">
        <f>150</f>
        <v>150</v>
      </c>
    </row>
    <row r="61" spans="1:29">
      <c r="A61" s="8" t="s">
        <v>46</v>
      </c>
      <c r="B61" s="9" t="s">
        <v>402</v>
      </c>
      <c r="C61" s="9" t="s">
        <v>403</v>
      </c>
      <c r="D61" s="9" t="s">
        <v>109</v>
      </c>
      <c r="E61" s="10" t="s">
        <v>110</v>
      </c>
      <c r="F61" s="10" t="s">
        <v>223</v>
      </c>
      <c r="G61" s="11" t="s">
        <v>52</v>
      </c>
      <c r="H61" s="12" t="s">
        <v>420</v>
      </c>
      <c r="I61" s="11" t="s">
        <v>271</v>
      </c>
      <c r="J61" s="12" t="s">
        <v>339</v>
      </c>
      <c r="K61" s="11" t="s">
        <v>228</v>
      </c>
      <c r="L61" s="12" t="s">
        <v>363</v>
      </c>
      <c r="M61" s="11" t="s">
        <v>297</v>
      </c>
      <c r="N61" s="12" t="s">
        <v>421</v>
      </c>
      <c r="O61" s="11" t="s">
        <v>228</v>
      </c>
      <c r="P61" s="12" t="s">
        <v>363</v>
      </c>
      <c r="Q61" s="11" t="s">
        <v>228</v>
      </c>
      <c r="R61" s="12" t="s">
        <v>422</v>
      </c>
      <c r="S61" s="13">
        <f>3855.05</f>
        <v>3855.05</v>
      </c>
      <c r="T61" s="14">
        <f>74537</f>
        <v>74537</v>
      </c>
      <c r="U61" s="14">
        <v>50</v>
      </c>
      <c r="V61" s="14">
        <v>166</v>
      </c>
      <c r="W61" s="14">
        <f>28528035900</f>
        <v>28528035900</v>
      </c>
      <c r="X61" s="14">
        <v>17215000</v>
      </c>
      <c r="Y61" s="14">
        <v>66627300</v>
      </c>
      <c r="Z61" s="11" t="s">
        <v>60</v>
      </c>
      <c r="AA61" s="15">
        <f>91</f>
        <v>91</v>
      </c>
      <c r="AB61" s="15" t="str">
        <f t="shared" si="1"/>
        <v>－</v>
      </c>
      <c r="AC61" s="16">
        <f>208</f>
        <v>208</v>
      </c>
    </row>
    <row r="62" spans="1:29">
      <c r="A62" s="8" t="s">
        <v>46</v>
      </c>
      <c r="B62" s="9" t="s">
        <v>402</v>
      </c>
      <c r="C62" s="9" t="s">
        <v>403</v>
      </c>
      <c r="D62" s="9" t="s">
        <v>122</v>
      </c>
      <c r="E62" s="10" t="s">
        <v>123</v>
      </c>
      <c r="F62" s="10" t="s">
        <v>230</v>
      </c>
      <c r="G62" s="11" t="s">
        <v>125</v>
      </c>
      <c r="H62" s="12" t="s">
        <v>423</v>
      </c>
      <c r="I62" s="11" t="s">
        <v>366</v>
      </c>
      <c r="J62" s="12" t="s">
        <v>424</v>
      </c>
      <c r="K62" s="11"/>
      <c r="L62" s="12"/>
      <c r="M62" s="11" t="s">
        <v>297</v>
      </c>
      <c r="N62" s="12" t="s">
        <v>425</v>
      </c>
      <c r="O62" s="11"/>
      <c r="P62" s="12"/>
      <c r="Q62" s="11" t="s">
        <v>132</v>
      </c>
      <c r="R62" s="12" t="s">
        <v>426</v>
      </c>
      <c r="S62" s="13">
        <f>3858.09</f>
        <v>3858.09</v>
      </c>
      <c r="T62" s="14">
        <f>44120</f>
        <v>44120</v>
      </c>
      <c r="U62" s="14"/>
      <c r="V62" s="14">
        <v>198</v>
      </c>
      <c r="W62" s="14">
        <f>18347722900</f>
        <v>18347722900</v>
      </c>
      <c r="X62" s="14"/>
      <c r="Y62" s="14">
        <v>80525600</v>
      </c>
      <c r="Z62" s="11"/>
      <c r="AA62" s="15">
        <f>263</f>
        <v>263</v>
      </c>
      <c r="AB62" s="15" t="str">
        <f t="shared" si="1"/>
        <v>－</v>
      </c>
      <c r="AC62" s="16">
        <f>172</f>
        <v>172</v>
      </c>
    </row>
    <row r="63" spans="1:29">
      <c r="A63" s="8" t="s">
        <v>46</v>
      </c>
      <c r="B63" s="9" t="s">
        <v>402</v>
      </c>
      <c r="C63" s="9" t="s">
        <v>403</v>
      </c>
      <c r="D63" s="9" t="s">
        <v>134</v>
      </c>
      <c r="E63" s="10" t="s">
        <v>135</v>
      </c>
      <c r="F63" s="10" t="s">
        <v>235</v>
      </c>
      <c r="G63" s="11" t="s">
        <v>137</v>
      </c>
      <c r="H63" s="12" t="s">
        <v>427</v>
      </c>
      <c r="I63" s="11" t="s">
        <v>366</v>
      </c>
      <c r="J63" s="12" t="s">
        <v>428</v>
      </c>
      <c r="K63" s="11" t="s">
        <v>143</v>
      </c>
      <c r="L63" s="12" t="s">
        <v>429</v>
      </c>
      <c r="M63" s="11" t="s">
        <v>297</v>
      </c>
      <c r="N63" s="12" t="s">
        <v>430</v>
      </c>
      <c r="O63" s="11" t="s">
        <v>143</v>
      </c>
      <c r="P63" s="12" t="s">
        <v>429</v>
      </c>
      <c r="Q63" s="11" t="s">
        <v>132</v>
      </c>
      <c r="R63" s="12" t="s">
        <v>431</v>
      </c>
      <c r="S63" s="13">
        <f>3776.4</f>
        <v>3776.4</v>
      </c>
      <c r="T63" s="14">
        <f>39005</f>
        <v>39005</v>
      </c>
      <c r="U63" s="14">
        <v>3</v>
      </c>
      <c r="V63" s="14">
        <v>74</v>
      </c>
      <c r="W63" s="14">
        <f>15861354500</f>
        <v>15861354500</v>
      </c>
      <c r="X63" s="14">
        <v>1089000</v>
      </c>
      <c r="Y63" s="14">
        <v>28210900</v>
      </c>
      <c r="Z63" s="11"/>
      <c r="AA63" s="15">
        <f>608</f>
        <v>608</v>
      </c>
      <c r="AB63" s="15" t="str">
        <f t="shared" si="1"/>
        <v>－</v>
      </c>
      <c r="AC63" s="16">
        <f>161</f>
        <v>161</v>
      </c>
    </row>
    <row r="64" spans="1:29">
      <c r="A64" s="8" t="s">
        <v>46</v>
      </c>
      <c r="B64" s="9" t="s">
        <v>402</v>
      </c>
      <c r="C64" s="9" t="s">
        <v>403</v>
      </c>
      <c r="D64" s="9" t="s">
        <v>146</v>
      </c>
      <c r="E64" s="10" t="s">
        <v>147</v>
      </c>
      <c r="F64" s="10" t="s">
        <v>241</v>
      </c>
      <c r="G64" s="11" t="s">
        <v>149</v>
      </c>
      <c r="H64" s="12" t="s">
        <v>432</v>
      </c>
      <c r="I64" s="11" t="s">
        <v>113</v>
      </c>
      <c r="J64" s="12" t="s">
        <v>433</v>
      </c>
      <c r="K64" s="11" t="s">
        <v>225</v>
      </c>
      <c r="L64" s="12" t="s">
        <v>434</v>
      </c>
      <c r="M64" s="11" t="s">
        <v>297</v>
      </c>
      <c r="N64" s="12" t="s">
        <v>435</v>
      </c>
      <c r="O64" s="11" t="s">
        <v>225</v>
      </c>
      <c r="P64" s="12" t="s">
        <v>434</v>
      </c>
      <c r="Q64" s="11" t="s">
        <v>187</v>
      </c>
      <c r="R64" s="12" t="s">
        <v>436</v>
      </c>
      <c r="S64" s="13">
        <f>3643.24</f>
        <v>3643.24</v>
      </c>
      <c r="T64" s="14">
        <f>47804</f>
        <v>47804</v>
      </c>
      <c r="U64" s="14">
        <v>1</v>
      </c>
      <c r="V64" s="14">
        <v>45</v>
      </c>
      <c r="W64" s="14">
        <f>17714016400</f>
        <v>17714016400</v>
      </c>
      <c r="X64" s="14">
        <v>340800</v>
      </c>
      <c r="Y64" s="14">
        <v>15432200</v>
      </c>
      <c r="Z64" s="11"/>
      <c r="AA64" s="15">
        <f>466</f>
        <v>466</v>
      </c>
      <c r="AB64" s="15" t="str">
        <f t="shared" si="1"/>
        <v>－</v>
      </c>
      <c r="AC64" s="16">
        <f>125</f>
        <v>125</v>
      </c>
    </row>
    <row r="65" spans="1:29">
      <c r="A65" s="8" t="s">
        <v>46</v>
      </c>
      <c r="B65" s="9" t="s">
        <v>402</v>
      </c>
      <c r="C65" s="9" t="s">
        <v>403</v>
      </c>
      <c r="D65" s="9" t="s">
        <v>158</v>
      </c>
      <c r="E65" s="10" t="s">
        <v>159</v>
      </c>
      <c r="F65" s="10" t="s">
        <v>244</v>
      </c>
      <c r="G65" s="11" t="s">
        <v>161</v>
      </c>
      <c r="H65" s="12" t="s">
        <v>437</v>
      </c>
      <c r="I65" s="11" t="s">
        <v>113</v>
      </c>
      <c r="J65" s="12" t="s">
        <v>438</v>
      </c>
      <c r="K65" s="11"/>
      <c r="L65" s="12"/>
      <c r="M65" s="11" t="s">
        <v>297</v>
      </c>
      <c r="N65" s="12" t="s">
        <v>439</v>
      </c>
      <c r="O65" s="11"/>
      <c r="P65" s="12"/>
      <c r="Q65" s="11" t="s">
        <v>132</v>
      </c>
      <c r="R65" s="12" t="s">
        <v>440</v>
      </c>
      <c r="S65" s="13">
        <f>3590.95</f>
        <v>3590.95</v>
      </c>
      <c r="T65" s="14">
        <f>89334</f>
        <v>89334</v>
      </c>
      <c r="U65" s="14"/>
      <c r="V65" s="14">
        <v>44</v>
      </c>
      <c r="W65" s="14">
        <f>32147821100</f>
        <v>32147821100</v>
      </c>
      <c r="X65" s="14"/>
      <c r="Y65" s="14">
        <v>14998900</v>
      </c>
      <c r="Z65" s="11"/>
      <c r="AA65" s="15">
        <f>395</f>
        <v>395</v>
      </c>
      <c r="AB65" s="15" t="str">
        <f t="shared" si="1"/>
        <v>－</v>
      </c>
      <c r="AC65" s="16">
        <f>86</f>
        <v>86</v>
      </c>
    </row>
    <row r="66" spans="1:29">
      <c r="A66" s="8" t="s">
        <v>46</v>
      </c>
      <c r="B66" s="9" t="s">
        <v>402</v>
      </c>
      <c r="C66" s="9" t="s">
        <v>403</v>
      </c>
      <c r="D66" s="9" t="s">
        <v>169</v>
      </c>
      <c r="E66" s="10" t="s">
        <v>170</v>
      </c>
      <c r="F66" s="10" t="s">
        <v>252</v>
      </c>
      <c r="G66" s="11" t="s">
        <v>172</v>
      </c>
      <c r="H66" s="12" t="s">
        <v>441</v>
      </c>
      <c r="I66" s="11" t="s">
        <v>113</v>
      </c>
      <c r="J66" s="12" t="s">
        <v>393</v>
      </c>
      <c r="K66" s="11"/>
      <c r="L66" s="12"/>
      <c r="M66" s="11" t="s">
        <v>303</v>
      </c>
      <c r="N66" s="12" t="s">
        <v>442</v>
      </c>
      <c r="O66" s="11"/>
      <c r="P66" s="12"/>
      <c r="Q66" s="11" t="s">
        <v>132</v>
      </c>
      <c r="R66" s="12" t="s">
        <v>377</v>
      </c>
      <c r="S66" s="13">
        <f>3629.53</f>
        <v>3629.53</v>
      </c>
      <c r="T66" s="14">
        <f>63308</f>
        <v>63308</v>
      </c>
      <c r="U66" s="14"/>
      <c r="V66" s="14">
        <v>7</v>
      </c>
      <c r="W66" s="14">
        <f>23077655600</f>
        <v>23077655600</v>
      </c>
      <c r="X66" s="14"/>
      <c r="Y66" s="14">
        <v>2392700</v>
      </c>
      <c r="Z66" s="11"/>
      <c r="AA66" s="15">
        <f>1132</f>
        <v>1132</v>
      </c>
      <c r="AB66" s="15" t="str">
        <f t="shared" si="1"/>
        <v>－</v>
      </c>
      <c r="AC66" s="16">
        <f>45</f>
        <v>45</v>
      </c>
    </row>
    <row r="67" spans="1:29">
      <c r="A67" s="8" t="s">
        <v>46</v>
      </c>
      <c r="B67" s="9" t="s">
        <v>402</v>
      </c>
      <c r="C67" s="9" t="s">
        <v>403</v>
      </c>
      <c r="D67" s="9" t="s">
        <v>182</v>
      </c>
      <c r="E67" s="10" t="s">
        <v>183</v>
      </c>
      <c r="F67" s="10" t="s">
        <v>256</v>
      </c>
      <c r="G67" s="11" t="s">
        <v>185</v>
      </c>
      <c r="H67" s="12" t="s">
        <v>443</v>
      </c>
      <c r="I67" s="11" t="s">
        <v>187</v>
      </c>
      <c r="J67" s="12" t="s">
        <v>399</v>
      </c>
      <c r="K67" s="11"/>
      <c r="L67" s="12"/>
      <c r="M67" s="11" t="s">
        <v>400</v>
      </c>
      <c r="N67" s="12" t="s">
        <v>444</v>
      </c>
      <c r="O67" s="11"/>
      <c r="P67" s="12"/>
      <c r="Q67" s="11" t="s">
        <v>132</v>
      </c>
      <c r="R67" s="12" t="s">
        <v>445</v>
      </c>
      <c r="S67" s="13">
        <f>3564.6</f>
        <v>3564.6</v>
      </c>
      <c r="T67" s="14">
        <f>3118</f>
        <v>3118</v>
      </c>
      <c r="U67" s="14"/>
      <c r="V67" s="14"/>
      <c r="W67" s="14">
        <f>1115831400</f>
        <v>1115831400</v>
      </c>
      <c r="X67" s="14"/>
      <c r="Y67" s="14"/>
      <c r="Z67" s="11"/>
      <c r="AA67" s="15">
        <f>479</f>
        <v>479</v>
      </c>
      <c r="AB67" s="15" t="str">
        <f t="shared" si="1"/>
        <v>－</v>
      </c>
      <c r="AC67" s="16">
        <f>5</f>
        <v>5</v>
      </c>
    </row>
    <row r="68" spans="1:29">
      <c r="A68" s="8" t="s">
        <v>46</v>
      </c>
      <c r="B68" s="9" t="s">
        <v>446</v>
      </c>
      <c r="C68" s="9" t="s">
        <v>447</v>
      </c>
      <c r="D68" s="9" t="s">
        <v>260</v>
      </c>
      <c r="E68" s="10" t="s">
        <v>260</v>
      </c>
      <c r="F68" s="10" t="s">
        <v>260</v>
      </c>
      <c r="G68" s="11" t="s">
        <v>52</v>
      </c>
      <c r="H68" s="12" t="s">
        <v>384</v>
      </c>
      <c r="I68" s="11" t="s">
        <v>271</v>
      </c>
      <c r="J68" s="12" t="s">
        <v>448</v>
      </c>
      <c r="K68" s="11" t="s">
        <v>271</v>
      </c>
      <c r="L68" s="12" t="s">
        <v>449</v>
      </c>
      <c r="M68" s="11" t="s">
        <v>297</v>
      </c>
      <c r="N68" s="12" t="s">
        <v>450</v>
      </c>
      <c r="O68" s="11" t="s">
        <v>380</v>
      </c>
      <c r="P68" s="12" t="s">
        <v>451</v>
      </c>
      <c r="Q68" s="11" t="s">
        <v>132</v>
      </c>
      <c r="R68" s="12" t="s">
        <v>452</v>
      </c>
      <c r="S68" s="13">
        <f>3851.87</f>
        <v>3851.87</v>
      </c>
      <c r="T68" s="14">
        <f>119542</f>
        <v>119542</v>
      </c>
      <c r="U68" s="14">
        <v>908</v>
      </c>
      <c r="V68" s="14">
        <v>2</v>
      </c>
      <c r="W68" s="14">
        <f>46762016000</f>
        <v>46762016000</v>
      </c>
      <c r="X68" s="14">
        <v>375895600</v>
      </c>
      <c r="Y68" s="14">
        <v>863000</v>
      </c>
      <c r="Z68" s="11"/>
      <c r="AA68" s="15">
        <f>13572</f>
        <v>13572</v>
      </c>
      <c r="AB68" s="15" t="str">
        <f t="shared" si="1"/>
        <v>－</v>
      </c>
      <c r="AC68" s="16">
        <f>245</f>
        <v>245</v>
      </c>
    </row>
    <row r="69" spans="1:29">
      <c r="A69" s="8" t="s">
        <v>46</v>
      </c>
      <c r="B69" s="9" t="s">
        <v>453</v>
      </c>
      <c r="C69" s="9" t="s">
        <v>454</v>
      </c>
      <c r="D69" s="9" t="s">
        <v>49</v>
      </c>
      <c r="E69" s="10" t="s">
        <v>50</v>
      </c>
      <c r="F69" s="10" t="s">
        <v>51</v>
      </c>
      <c r="G69" s="11" t="s">
        <v>52</v>
      </c>
      <c r="H69" s="12" t="s">
        <v>455</v>
      </c>
      <c r="I69" s="11" t="s">
        <v>56</v>
      </c>
      <c r="J69" s="12" t="s">
        <v>456</v>
      </c>
      <c r="K69" s="11" t="s">
        <v>276</v>
      </c>
      <c r="L69" s="12" t="s">
        <v>457</v>
      </c>
      <c r="M69" s="11" t="s">
        <v>276</v>
      </c>
      <c r="N69" s="12" t="s">
        <v>458</v>
      </c>
      <c r="O69" s="11" t="s">
        <v>276</v>
      </c>
      <c r="P69" s="12" t="s">
        <v>459</v>
      </c>
      <c r="Q69" s="11" t="s">
        <v>56</v>
      </c>
      <c r="R69" s="12" t="s">
        <v>456</v>
      </c>
      <c r="S69" s="13">
        <f>7923.62</f>
        <v>7923.62</v>
      </c>
      <c r="T69" s="14">
        <f>214</f>
        <v>214</v>
      </c>
      <c r="U69" s="14">
        <v>140</v>
      </c>
      <c r="V69" s="14"/>
      <c r="W69" s="14">
        <f>814127000</f>
        <v>814127000</v>
      </c>
      <c r="X69" s="14">
        <v>526715000</v>
      </c>
      <c r="Y69" s="14"/>
      <c r="Z69" s="11" t="s">
        <v>60</v>
      </c>
      <c r="AA69" s="15">
        <f>24</f>
        <v>24</v>
      </c>
      <c r="AB69" s="15" t="str">
        <f t="shared" si="1"/>
        <v>－</v>
      </c>
      <c r="AC69" s="16">
        <f>16</f>
        <v>16</v>
      </c>
    </row>
    <row r="70" spans="1:29">
      <c r="A70" s="8" t="s">
        <v>46</v>
      </c>
      <c r="B70" s="9" t="s">
        <v>453</v>
      </c>
      <c r="C70" s="9" t="s">
        <v>454</v>
      </c>
      <c r="D70" s="9" t="s">
        <v>61</v>
      </c>
      <c r="E70" s="10" t="s">
        <v>62</v>
      </c>
      <c r="F70" s="10" t="s">
        <v>63</v>
      </c>
      <c r="G70" s="11" t="s">
        <v>460</v>
      </c>
      <c r="H70" s="12" t="s">
        <v>461</v>
      </c>
      <c r="I70" s="11" t="s">
        <v>462</v>
      </c>
      <c r="J70" s="12" t="s">
        <v>463</v>
      </c>
      <c r="K70" s="11"/>
      <c r="L70" s="12"/>
      <c r="M70" s="11" t="s">
        <v>278</v>
      </c>
      <c r="N70" s="12" t="s">
        <v>464</v>
      </c>
      <c r="O70" s="11"/>
      <c r="P70" s="12"/>
      <c r="Q70" s="11" t="s">
        <v>465</v>
      </c>
      <c r="R70" s="12" t="s">
        <v>466</v>
      </c>
      <c r="S70" s="13">
        <f>8441.37</f>
        <v>8441.3700000000008</v>
      </c>
      <c r="T70" s="14">
        <f>13</f>
        <v>13</v>
      </c>
      <c r="U70" s="14"/>
      <c r="V70" s="14"/>
      <c r="W70" s="14">
        <f>58424000</f>
        <v>58424000</v>
      </c>
      <c r="X70" s="14"/>
      <c r="Y70" s="14"/>
      <c r="Z70" s="11" t="s">
        <v>60</v>
      </c>
      <c r="AA70" s="15">
        <f>18</f>
        <v>18</v>
      </c>
      <c r="AB70" s="15" t="str">
        <f t="shared" si="1"/>
        <v>－</v>
      </c>
      <c r="AC70" s="16">
        <f>10</f>
        <v>10</v>
      </c>
    </row>
    <row r="71" spans="1:29">
      <c r="A71" s="8" t="s">
        <v>46</v>
      </c>
      <c r="B71" s="9" t="s">
        <v>453</v>
      </c>
      <c r="C71" s="9" t="s">
        <v>454</v>
      </c>
      <c r="D71" s="9" t="s">
        <v>72</v>
      </c>
      <c r="E71" s="10" t="s">
        <v>73</v>
      </c>
      <c r="F71" s="10" t="s">
        <v>74</v>
      </c>
      <c r="G71" s="11" t="s">
        <v>287</v>
      </c>
      <c r="H71" s="12" t="s">
        <v>467</v>
      </c>
      <c r="I71" s="11" t="s">
        <v>355</v>
      </c>
      <c r="J71" s="12" t="s">
        <v>468</v>
      </c>
      <c r="K71" s="11"/>
      <c r="L71" s="12"/>
      <c r="M71" s="11" t="s">
        <v>278</v>
      </c>
      <c r="N71" s="12" t="s">
        <v>469</v>
      </c>
      <c r="O71" s="11"/>
      <c r="P71" s="12"/>
      <c r="Q71" s="11" t="s">
        <v>470</v>
      </c>
      <c r="R71" s="12" t="s">
        <v>471</v>
      </c>
      <c r="S71" s="13">
        <f>8912.26</f>
        <v>8912.26</v>
      </c>
      <c r="T71" s="14">
        <f>70</f>
        <v>70</v>
      </c>
      <c r="U71" s="14"/>
      <c r="V71" s="14">
        <v>1</v>
      </c>
      <c r="W71" s="14">
        <f>344678500</f>
        <v>344678500</v>
      </c>
      <c r="X71" s="14"/>
      <c r="Y71" s="14">
        <v>5033500</v>
      </c>
      <c r="Z71" s="11" t="s">
        <v>60</v>
      </c>
      <c r="AA71" s="15">
        <f>54</f>
        <v>54</v>
      </c>
      <c r="AB71" s="15" t="str">
        <f t="shared" si="1"/>
        <v>－</v>
      </c>
      <c r="AC71" s="16">
        <f>11</f>
        <v>11</v>
      </c>
    </row>
    <row r="72" spans="1:29">
      <c r="A72" s="8" t="s">
        <v>46</v>
      </c>
      <c r="B72" s="9" t="s">
        <v>453</v>
      </c>
      <c r="C72" s="9" t="s">
        <v>454</v>
      </c>
      <c r="D72" s="9" t="s">
        <v>86</v>
      </c>
      <c r="E72" s="10" t="s">
        <v>87</v>
      </c>
      <c r="F72" s="10" t="s">
        <v>88</v>
      </c>
      <c r="G72" s="11" t="s">
        <v>472</v>
      </c>
      <c r="H72" s="12" t="s">
        <v>473</v>
      </c>
      <c r="I72" s="11" t="s">
        <v>474</v>
      </c>
      <c r="J72" s="12" t="s">
        <v>475</v>
      </c>
      <c r="K72" s="11"/>
      <c r="L72" s="12"/>
      <c r="M72" s="11" t="s">
        <v>276</v>
      </c>
      <c r="N72" s="12" t="s">
        <v>476</v>
      </c>
      <c r="O72" s="11"/>
      <c r="P72" s="12"/>
      <c r="Q72" s="11" t="s">
        <v>477</v>
      </c>
      <c r="R72" s="12" t="s">
        <v>478</v>
      </c>
      <c r="S72" s="13">
        <f>9046.04</f>
        <v>9046.0400000000009</v>
      </c>
      <c r="T72" s="14">
        <f>151</f>
        <v>151</v>
      </c>
      <c r="U72" s="14"/>
      <c r="V72" s="14">
        <v>4</v>
      </c>
      <c r="W72" s="14">
        <f>699787000</f>
        <v>699787000</v>
      </c>
      <c r="X72" s="14"/>
      <c r="Y72" s="14">
        <v>18122000</v>
      </c>
      <c r="Z72" s="11" t="s">
        <v>60</v>
      </c>
      <c r="AA72" s="15">
        <f>90</f>
        <v>90</v>
      </c>
      <c r="AB72" s="15" t="str">
        <f t="shared" si="1"/>
        <v>－</v>
      </c>
      <c r="AC72" s="16">
        <f>25</f>
        <v>25</v>
      </c>
    </row>
    <row r="73" spans="1:29">
      <c r="A73" s="8" t="s">
        <v>46</v>
      </c>
      <c r="B73" s="9" t="s">
        <v>453</v>
      </c>
      <c r="C73" s="9" t="s">
        <v>454</v>
      </c>
      <c r="D73" s="9" t="s">
        <v>97</v>
      </c>
      <c r="E73" s="10" t="s">
        <v>98</v>
      </c>
      <c r="F73" s="10" t="s">
        <v>99</v>
      </c>
      <c r="G73" s="11" t="s">
        <v>335</v>
      </c>
      <c r="H73" s="12" t="s">
        <v>479</v>
      </c>
      <c r="I73" s="11" t="s">
        <v>480</v>
      </c>
      <c r="J73" s="12" t="s">
        <v>481</v>
      </c>
      <c r="K73" s="11"/>
      <c r="L73" s="12"/>
      <c r="M73" s="11" t="s">
        <v>278</v>
      </c>
      <c r="N73" s="12" t="s">
        <v>482</v>
      </c>
      <c r="O73" s="11"/>
      <c r="P73" s="12"/>
      <c r="Q73" s="11" t="s">
        <v>483</v>
      </c>
      <c r="R73" s="12" t="s">
        <v>484</v>
      </c>
      <c r="S73" s="13">
        <f>8765.17</f>
        <v>8765.17</v>
      </c>
      <c r="T73" s="14">
        <f>106</f>
        <v>106</v>
      </c>
      <c r="U73" s="14"/>
      <c r="V73" s="14">
        <v>36</v>
      </c>
      <c r="W73" s="14">
        <f>438087500</f>
        <v>438087500</v>
      </c>
      <c r="X73" s="14"/>
      <c r="Y73" s="14">
        <v>143081500</v>
      </c>
      <c r="Z73" s="11" t="s">
        <v>60</v>
      </c>
      <c r="AA73" s="15">
        <f>12</f>
        <v>12</v>
      </c>
      <c r="AB73" s="15" t="str">
        <f t="shared" si="1"/>
        <v>－</v>
      </c>
      <c r="AC73" s="16">
        <f>32</f>
        <v>32</v>
      </c>
    </row>
    <row r="74" spans="1:29">
      <c r="A74" s="8" t="s">
        <v>46</v>
      </c>
      <c r="B74" s="9" t="s">
        <v>453</v>
      </c>
      <c r="C74" s="9" t="s">
        <v>454</v>
      </c>
      <c r="D74" s="9" t="s">
        <v>109</v>
      </c>
      <c r="E74" s="10" t="s">
        <v>110</v>
      </c>
      <c r="F74" s="10" t="s">
        <v>111</v>
      </c>
      <c r="G74" s="11" t="s">
        <v>335</v>
      </c>
      <c r="H74" s="12" t="s">
        <v>485</v>
      </c>
      <c r="I74" s="11" t="s">
        <v>105</v>
      </c>
      <c r="J74" s="12" t="s">
        <v>486</v>
      </c>
      <c r="K74" s="11"/>
      <c r="L74" s="12"/>
      <c r="M74" s="11" t="s">
        <v>303</v>
      </c>
      <c r="N74" s="12" t="s">
        <v>487</v>
      </c>
      <c r="O74" s="11"/>
      <c r="P74" s="12"/>
      <c r="Q74" s="11" t="s">
        <v>488</v>
      </c>
      <c r="R74" s="12" t="s">
        <v>489</v>
      </c>
      <c r="S74" s="13">
        <f>8460.16</f>
        <v>8460.16</v>
      </c>
      <c r="T74" s="14">
        <f>437</f>
        <v>437</v>
      </c>
      <c r="U74" s="14"/>
      <c r="V74" s="14">
        <v>104</v>
      </c>
      <c r="W74" s="14">
        <f>1874751500</f>
        <v>1874751500</v>
      </c>
      <c r="X74" s="14"/>
      <c r="Y74" s="14">
        <v>495476500</v>
      </c>
      <c r="Z74" s="11" t="s">
        <v>60</v>
      </c>
      <c r="AA74" s="15">
        <f>66</f>
        <v>66</v>
      </c>
      <c r="AB74" s="15" t="str">
        <f t="shared" si="1"/>
        <v>－</v>
      </c>
      <c r="AC74" s="16">
        <f>58</f>
        <v>58</v>
      </c>
    </row>
    <row r="75" spans="1:29">
      <c r="A75" s="8" t="s">
        <v>46</v>
      </c>
      <c r="B75" s="9" t="s">
        <v>453</v>
      </c>
      <c r="C75" s="9" t="s">
        <v>454</v>
      </c>
      <c r="D75" s="9" t="s">
        <v>122</v>
      </c>
      <c r="E75" s="10" t="s">
        <v>123</v>
      </c>
      <c r="F75" s="10" t="s">
        <v>124</v>
      </c>
      <c r="G75" s="11" t="s">
        <v>490</v>
      </c>
      <c r="H75" s="12" t="s">
        <v>491</v>
      </c>
      <c r="I75" s="11" t="s">
        <v>480</v>
      </c>
      <c r="J75" s="12" t="s">
        <v>492</v>
      </c>
      <c r="K75" s="11"/>
      <c r="L75" s="12"/>
      <c r="M75" s="11" t="s">
        <v>493</v>
      </c>
      <c r="N75" s="12" t="s">
        <v>494</v>
      </c>
      <c r="O75" s="11"/>
      <c r="P75" s="12"/>
      <c r="Q75" s="11" t="s">
        <v>493</v>
      </c>
      <c r="R75" s="12" t="s">
        <v>494</v>
      </c>
      <c r="S75" s="13">
        <f>8517.66</f>
        <v>8517.66</v>
      </c>
      <c r="T75" s="14">
        <f>468</f>
        <v>468</v>
      </c>
      <c r="U75" s="14"/>
      <c r="V75" s="14">
        <v>71</v>
      </c>
      <c r="W75" s="14">
        <f>2159936500</f>
        <v>2159936500</v>
      </c>
      <c r="X75" s="14"/>
      <c r="Y75" s="14">
        <v>348280500</v>
      </c>
      <c r="Z75" s="11"/>
      <c r="AA75" s="15">
        <f>72</f>
        <v>72</v>
      </c>
      <c r="AB75" s="15" t="str">
        <f t="shared" si="1"/>
        <v>－</v>
      </c>
      <c r="AC75" s="16">
        <f>53</f>
        <v>53</v>
      </c>
    </row>
    <row r="76" spans="1:29">
      <c r="A76" s="8" t="s">
        <v>46</v>
      </c>
      <c r="B76" s="9" t="s">
        <v>453</v>
      </c>
      <c r="C76" s="9" t="s">
        <v>454</v>
      </c>
      <c r="D76" s="9" t="s">
        <v>134</v>
      </c>
      <c r="E76" s="10" t="s">
        <v>135</v>
      </c>
      <c r="F76" s="10" t="s">
        <v>136</v>
      </c>
      <c r="G76" s="11" t="s">
        <v>137</v>
      </c>
      <c r="H76" s="12" t="s">
        <v>495</v>
      </c>
      <c r="I76" s="11" t="s">
        <v>480</v>
      </c>
      <c r="J76" s="12" t="s">
        <v>496</v>
      </c>
      <c r="K76" s="11"/>
      <c r="L76" s="12"/>
      <c r="M76" s="11" t="s">
        <v>497</v>
      </c>
      <c r="N76" s="12" t="s">
        <v>206</v>
      </c>
      <c r="O76" s="11"/>
      <c r="P76" s="12"/>
      <c r="Q76" s="11" t="s">
        <v>497</v>
      </c>
      <c r="R76" s="12" t="s">
        <v>206</v>
      </c>
      <c r="S76" s="13">
        <f>8418.17</f>
        <v>8418.17</v>
      </c>
      <c r="T76" s="14">
        <f>85</f>
        <v>85</v>
      </c>
      <c r="U76" s="14"/>
      <c r="V76" s="14"/>
      <c r="W76" s="14">
        <f>409335000</f>
        <v>409335000</v>
      </c>
      <c r="X76" s="14"/>
      <c r="Y76" s="14"/>
      <c r="Z76" s="11"/>
      <c r="AA76" s="15">
        <f>9</f>
        <v>9</v>
      </c>
      <c r="AB76" s="15" t="str">
        <f t="shared" si="1"/>
        <v>－</v>
      </c>
      <c r="AC76" s="16">
        <f>36</f>
        <v>36</v>
      </c>
    </row>
    <row r="77" spans="1:29">
      <c r="A77" s="8" t="s">
        <v>46</v>
      </c>
      <c r="B77" s="9" t="s">
        <v>453</v>
      </c>
      <c r="C77" s="9" t="s">
        <v>454</v>
      </c>
      <c r="D77" s="9" t="s">
        <v>146</v>
      </c>
      <c r="E77" s="10" t="s">
        <v>147</v>
      </c>
      <c r="F77" s="10" t="s">
        <v>148</v>
      </c>
      <c r="G77" s="11" t="s">
        <v>498</v>
      </c>
      <c r="H77" s="12" t="s">
        <v>499</v>
      </c>
      <c r="I77" s="11" t="s">
        <v>500</v>
      </c>
      <c r="J77" s="12" t="s">
        <v>501</v>
      </c>
      <c r="K77" s="11"/>
      <c r="L77" s="12"/>
      <c r="M77" s="11" t="s">
        <v>179</v>
      </c>
      <c r="N77" s="12" t="s">
        <v>502</v>
      </c>
      <c r="O77" s="11"/>
      <c r="P77" s="12"/>
      <c r="Q77" s="11" t="s">
        <v>179</v>
      </c>
      <c r="R77" s="12" t="s">
        <v>502</v>
      </c>
      <c r="S77" s="13">
        <f>7943.91</f>
        <v>7943.91</v>
      </c>
      <c r="T77" s="14">
        <f>42</f>
        <v>42</v>
      </c>
      <c r="U77" s="14"/>
      <c r="V77" s="14"/>
      <c r="W77" s="14">
        <f>188609000</f>
        <v>188609000</v>
      </c>
      <c r="X77" s="14"/>
      <c r="Y77" s="14"/>
      <c r="Z77" s="11"/>
      <c r="AA77" s="15">
        <f>6</f>
        <v>6</v>
      </c>
      <c r="AB77" s="15" t="str">
        <f t="shared" si="1"/>
        <v>－</v>
      </c>
      <c r="AC77" s="16">
        <f>22</f>
        <v>22</v>
      </c>
    </row>
    <row r="78" spans="1:29">
      <c r="A78" s="8" t="s">
        <v>46</v>
      </c>
      <c r="B78" s="9" t="s">
        <v>453</v>
      </c>
      <c r="C78" s="9" t="s">
        <v>454</v>
      </c>
      <c r="D78" s="9" t="s">
        <v>158</v>
      </c>
      <c r="E78" s="10" t="s">
        <v>159</v>
      </c>
      <c r="F78" s="10" t="s">
        <v>160</v>
      </c>
      <c r="G78" s="11" t="s">
        <v>503</v>
      </c>
      <c r="H78" s="12" t="s">
        <v>504</v>
      </c>
      <c r="I78" s="11" t="s">
        <v>503</v>
      </c>
      <c r="J78" s="12" t="s">
        <v>504</v>
      </c>
      <c r="K78" s="11"/>
      <c r="L78" s="12"/>
      <c r="M78" s="11" t="s">
        <v>505</v>
      </c>
      <c r="N78" s="12" t="s">
        <v>506</v>
      </c>
      <c r="O78" s="11"/>
      <c r="P78" s="12"/>
      <c r="Q78" s="11" t="s">
        <v>505</v>
      </c>
      <c r="R78" s="12" t="s">
        <v>506</v>
      </c>
      <c r="S78" s="13">
        <f>7252.26</f>
        <v>7252.26</v>
      </c>
      <c r="T78" s="14">
        <f>38</f>
        <v>38</v>
      </c>
      <c r="U78" s="14"/>
      <c r="V78" s="14"/>
      <c r="W78" s="14">
        <f>136729500</f>
        <v>136729500</v>
      </c>
      <c r="X78" s="14"/>
      <c r="Y78" s="14"/>
      <c r="Z78" s="11"/>
      <c r="AA78" s="15">
        <f>8</f>
        <v>8</v>
      </c>
      <c r="AB78" s="15" t="str">
        <f t="shared" si="1"/>
        <v>－</v>
      </c>
      <c r="AC78" s="16">
        <f>22</f>
        <v>22</v>
      </c>
    </row>
    <row r="79" spans="1:29">
      <c r="A79" s="8" t="s">
        <v>46</v>
      </c>
      <c r="B79" s="9" t="s">
        <v>453</v>
      </c>
      <c r="C79" s="9" t="s">
        <v>454</v>
      </c>
      <c r="D79" s="9" t="s">
        <v>169</v>
      </c>
      <c r="E79" s="10" t="s">
        <v>170</v>
      </c>
      <c r="F79" s="10" t="s">
        <v>171</v>
      </c>
      <c r="G79" s="11" t="s">
        <v>507</v>
      </c>
      <c r="H79" s="12" t="s">
        <v>508</v>
      </c>
      <c r="I79" s="11" t="s">
        <v>509</v>
      </c>
      <c r="J79" s="12" t="s">
        <v>510</v>
      </c>
      <c r="K79" s="11"/>
      <c r="L79" s="12"/>
      <c r="M79" s="11" t="s">
        <v>493</v>
      </c>
      <c r="N79" s="12" t="s">
        <v>511</v>
      </c>
      <c r="O79" s="11"/>
      <c r="P79" s="12"/>
      <c r="Q79" s="11" t="s">
        <v>187</v>
      </c>
      <c r="R79" s="12" t="s">
        <v>512</v>
      </c>
      <c r="S79" s="13">
        <f>6935.02</f>
        <v>6935.02</v>
      </c>
      <c r="T79" s="14">
        <f>62</f>
        <v>62</v>
      </c>
      <c r="U79" s="14"/>
      <c r="V79" s="14"/>
      <c r="W79" s="14">
        <f>216770000</f>
        <v>216770000</v>
      </c>
      <c r="X79" s="14"/>
      <c r="Y79" s="14"/>
      <c r="Z79" s="11"/>
      <c r="AA79" s="15">
        <f>15</f>
        <v>15</v>
      </c>
      <c r="AB79" s="15" t="str">
        <f t="shared" ref="AB79:AB110" si="2">"－"</f>
        <v>－</v>
      </c>
      <c r="AC79" s="16">
        <f>18</f>
        <v>18</v>
      </c>
    </row>
    <row r="80" spans="1:29">
      <c r="A80" s="8" t="s">
        <v>46</v>
      </c>
      <c r="B80" s="9" t="s">
        <v>453</v>
      </c>
      <c r="C80" s="9" t="s">
        <v>454</v>
      </c>
      <c r="D80" s="9" t="s">
        <v>182</v>
      </c>
      <c r="E80" s="10" t="s">
        <v>183</v>
      </c>
      <c r="F80" s="10" t="s">
        <v>184</v>
      </c>
      <c r="G80" s="11" t="s">
        <v>189</v>
      </c>
      <c r="H80" s="12" t="s">
        <v>513</v>
      </c>
      <c r="I80" s="11" t="s">
        <v>189</v>
      </c>
      <c r="J80" s="12" t="s">
        <v>513</v>
      </c>
      <c r="K80" s="11"/>
      <c r="L80" s="12"/>
      <c r="M80" s="11" t="s">
        <v>189</v>
      </c>
      <c r="N80" s="12" t="s">
        <v>512</v>
      </c>
      <c r="O80" s="11"/>
      <c r="P80" s="12"/>
      <c r="Q80" s="11" t="s">
        <v>189</v>
      </c>
      <c r="R80" s="12" t="s">
        <v>512</v>
      </c>
      <c r="S80" s="13">
        <f>7200</f>
        <v>7200</v>
      </c>
      <c r="T80" s="14">
        <f>9</f>
        <v>9</v>
      </c>
      <c r="U80" s="14"/>
      <c r="V80" s="14"/>
      <c r="W80" s="14">
        <f>32993000</f>
        <v>32993000</v>
      </c>
      <c r="X80" s="14"/>
      <c r="Y80" s="14"/>
      <c r="Z80" s="11"/>
      <c r="AA80" s="15">
        <f>5</f>
        <v>5</v>
      </c>
      <c r="AB80" s="15" t="str">
        <f t="shared" si="2"/>
        <v>－</v>
      </c>
      <c r="AC80" s="16">
        <f>1</f>
        <v>1</v>
      </c>
    </row>
    <row r="81" spans="1:29">
      <c r="A81" s="8" t="s">
        <v>46</v>
      </c>
      <c r="B81" s="9" t="s">
        <v>514</v>
      </c>
      <c r="C81" s="9" t="s">
        <v>515</v>
      </c>
      <c r="D81" s="9" t="s">
        <v>97</v>
      </c>
      <c r="E81" s="10" t="s">
        <v>516</v>
      </c>
      <c r="F81" s="10" t="s">
        <v>517</v>
      </c>
      <c r="G81" s="11" t="s">
        <v>297</v>
      </c>
      <c r="H81" s="12" t="s">
        <v>518</v>
      </c>
      <c r="I81" s="11" t="s">
        <v>519</v>
      </c>
      <c r="J81" s="12" t="s">
        <v>520</v>
      </c>
      <c r="K81" s="11"/>
      <c r="L81" s="12"/>
      <c r="M81" s="11" t="s">
        <v>521</v>
      </c>
      <c r="N81" s="12" t="s">
        <v>522</v>
      </c>
      <c r="O81" s="11"/>
      <c r="P81" s="12"/>
      <c r="Q81" s="11" t="s">
        <v>308</v>
      </c>
      <c r="R81" s="12" t="s">
        <v>523</v>
      </c>
      <c r="S81" s="13">
        <f>180.25</f>
        <v>180.25</v>
      </c>
      <c r="T81" s="14">
        <f>322</f>
        <v>322</v>
      </c>
      <c r="U81" s="14"/>
      <c r="V81" s="14"/>
      <c r="W81" s="14">
        <f>579754000</f>
        <v>579754000</v>
      </c>
      <c r="X81" s="14"/>
      <c r="Y81" s="14"/>
      <c r="Z81" s="11" t="s">
        <v>60</v>
      </c>
      <c r="AA81" s="15">
        <f>32</f>
        <v>32</v>
      </c>
      <c r="AB81" s="15" t="str">
        <f t="shared" si="2"/>
        <v>－</v>
      </c>
      <c r="AC81" s="16">
        <f>8</f>
        <v>8</v>
      </c>
    </row>
    <row r="82" spans="1:29">
      <c r="A82" s="8" t="s">
        <v>46</v>
      </c>
      <c r="B82" s="9" t="s">
        <v>514</v>
      </c>
      <c r="C82" s="9" t="s">
        <v>515</v>
      </c>
      <c r="D82" s="9" t="s">
        <v>524</v>
      </c>
      <c r="E82" s="10" t="s">
        <v>516</v>
      </c>
      <c r="F82" s="10" t="s">
        <v>525</v>
      </c>
      <c r="G82" s="11" t="s">
        <v>297</v>
      </c>
      <c r="H82" s="12" t="s">
        <v>526</v>
      </c>
      <c r="I82" s="11" t="s">
        <v>172</v>
      </c>
      <c r="J82" s="12" t="s">
        <v>527</v>
      </c>
      <c r="K82" s="11" t="s">
        <v>528</v>
      </c>
      <c r="L82" s="12" t="s">
        <v>529</v>
      </c>
      <c r="M82" s="11" t="s">
        <v>521</v>
      </c>
      <c r="N82" s="12" t="s">
        <v>530</v>
      </c>
      <c r="O82" s="11" t="s">
        <v>531</v>
      </c>
      <c r="P82" s="12" t="s">
        <v>532</v>
      </c>
      <c r="Q82" s="11" t="s">
        <v>533</v>
      </c>
      <c r="R82" s="12" t="s">
        <v>534</v>
      </c>
      <c r="S82" s="13">
        <f>192.9</f>
        <v>192.9</v>
      </c>
      <c r="T82" s="14">
        <f>3213</f>
        <v>3213</v>
      </c>
      <c r="U82" s="14">
        <v>38</v>
      </c>
      <c r="V82" s="14">
        <v>7</v>
      </c>
      <c r="W82" s="14">
        <f>6182803500</f>
        <v>6182803500</v>
      </c>
      <c r="X82" s="14">
        <v>75033500</v>
      </c>
      <c r="Y82" s="14">
        <v>13292000</v>
      </c>
      <c r="Z82" s="11" t="s">
        <v>60</v>
      </c>
      <c r="AA82" s="15">
        <f>219</f>
        <v>219</v>
      </c>
      <c r="AB82" s="15" t="str">
        <f t="shared" si="2"/>
        <v>－</v>
      </c>
      <c r="AC82" s="16">
        <f>29</f>
        <v>29</v>
      </c>
    </row>
    <row r="83" spans="1:29">
      <c r="A83" s="8" t="s">
        <v>46</v>
      </c>
      <c r="B83" s="9" t="s">
        <v>514</v>
      </c>
      <c r="C83" s="9" t="s">
        <v>515</v>
      </c>
      <c r="D83" s="9" t="s">
        <v>109</v>
      </c>
      <c r="E83" s="10" t="s">
        <v>516</v>
      </c>
      <c r="F83" s="10" t="s">
        <v>535</v>
      </c>
      <c r="G83" s="11" t="s">
        <v>316</v>
      </c>
      <c r="H83" s="12" t="s">
        <v>536</v>
      </c>
      <c r="I83" s="11" t="s">
        <v>221</v>
      </c>
      <c r="J83" s="12" t="s">
        <v>537</v>
      </c>
      <c r="K83" s="11" t="s">
        <v>528</v>
      </c>
      <c r="L83" s="12" t="s">
        <v>538</v>
      </c>
      <c r="M83" s="11" t="s">
        <v>539</v>
      </c>
      <c r="N83" s="12" t="s">
        <v>540</v>
      </c>
      <c r="O83" s="11" t="s">
        <v>541</v>
      </c>
      <c r="P83" s="12" t="s">
        <v>542</v>
      </c>
      <c r="Q83" s="11" t="s">
        <v>539</v>
      </c>
      <c r="R83" s="12" t="s">
        <v>543</v>
      </c>
      <c r="S83" s="13">
        <f>189.78</f>
        <v>189.78</v>
      </c>
      <c r="T83" s="14">
        <f>1209</f>
        <v>1209</v>
      </c>
      <c r="U83" s="14">
        <v>8</v>
      </c>
      <c r="V83" s="14">
        <v>1</v>
      </c>
      <c r="W83" s="14">
        <f>2294927500</f>
        <v>2294927500</v>
      </c>
      <c r="X83" s="14">
        <v>15834000</v>
      </c>
      <c r="Y83" s="14">
        <v>2000000</v>
      </c>
      <c r="Z83" s="11" t="s">
        <v>60</v>
      </c>
      <c r="AA83" s="15">
        <f>14</f>
        <v>14</v>
      </c>
      <c r="AB83" s="15" t="str">
        <f t="shared" si="2"/>
        <v>－</v>
      </c>
      <c r="AC83" s="16">
        <f>35</f>
        <v>35</v>
      </c>
    </row>
    <row r="84" spans="1:29">
      <c r="A84" s="8" t="s">
        <v>46</v>
      </c>
      <c r="B84" s="9" t="s">
        <v>514</v>
      </c>
      <c r="C84" s="9" t="s">
        <v>515</v>
      </c>
      <c r="D84" s="9" t="s">
        <v>544</v>
      </c>
      <c r="E84" s="10" t="s">
        <v>516</v>
      </c>
      <c r="F84" s="10" t="s">
        <v>545</v>
      </c>
      <c r="G84" s="11" t="s">
        <v>546</v>
      </c>
      <c r="H84" s="12" t="s">
        <v>547</v>
      </c>
      <c r="I84" s="11" t="s">
        <v>546</v>
      </c>
      <c r="J84" s="12" t="s">
        <v>547</v>
      </c>
      <c r="K84" s="11"/>
      <c r="L84" s="12"/>
      <c r="M84" s="11" t="s">
        <v>177</v>
      </c>
      <c r="N84" s="12" t="s">
        <v>548</v>
      </c>
      <c r="O84" s="11"/>
      <c r="P84" s="12"/>
      <c r="Q84" s="11" t="s">
        <v>132</v>
      </c>
      <c r="R84" s="12" t="s">
        <v>549</v>
      </c>
      <c r="S84" s="13">
        <f>184.32</f>
        <v>184.32</v>
      </c>
      <c r="T84" s="14">
        <f>1305</f>
        <v>1305</v>
      </c>
      <c r="U84" s="14"/>
      <c r="V84" s="14"/>
      <c r="W84" s="14">
        <f>2238527000</f>
        <v>2238527000</v>
      </c>
      <c r="X84" s="14"/>
      <c r="Y84" s="14"/>
      <c r="Z84" s="11"/>
      <c r="AA84" s="15">
        <f>3</f>
        <v>3</v>
      </c>
      <c r="AB84" s="15" t="str">
        <f t="shared" si="2"/>
        <v>－</v>
      </c>
      <c r="AC84" s="16">
        <f>26</f>
        <v>26</v>
      </c>
    </row>
    <row r="85" spans="1:29">
      <c r="A85" s="8" t="s">
        <v>46</v>
      </c>
      <c r="B85" s="9" t="s">
        <v>514</v>
      </c>
      <c r="C85" s="9" t="s">
        <v>515</v>
      </c>
      <c r="D85" s="9" t="s">
        <v>122</v>
      </c>
      <c r="E85" s="10" t="s">
        <v>516</v>
      </c>
      <c r="F85" s="10" t="s">
        <v>550</v>
      </c>
      <c r="G85" s="11" t="s">
        <v>521</v>
      </c>
      <c r="H85" s="12" t="s">
        <v>551</v>
      </c>
      <c r="I85" s="11" t="s">
        <v>552</v>
      </c>
      <c r="J85" s="12" t="s">
        <v>553</v>
      </c>
      <c r="K85" s="11"/>
      <c r="L85" s="12"/>
      <c r="M85" s="11" t="s">
        <v>554</v>
      </c>
      <c r="N85" s="12" t="s">
        <v>555</v>
      </c>
      <c r="O85" s="11"/>
      <c r="P85" s="12"/>
      <c r="Q85" s="11" t="s">
        <v>187</v>
      </c>
      <c r="R85" s="12" t="s">
        <v>556</v>
      </c>
      <c r="S85" s="13">
        <f>182.64</f>
        <v>182.64</v>
      </c>
      <c r="T85" s="14">
        <f>80</f>
        <v>80</v>
      </c>
      <c r="U85" s="14"/>
      <c r="V85" s="14"/>
      <c r="W85" s="14">
        <f>145084000</f>
        <v>145084000</v>
      </c>
      <c r="X85" s="14"/>
      <c r="Y85" s="14"/>
      <c r="Z85" s="11"/>
      <c r="AA85" s="15">
        <f>8</f>
        <v>8</v>
      </c>
      <c r="AB85" s="15" t="str">
        <f t="shared" si="2"/>
        <v>－</v>
      </c>
      <c r="AC85" s="16">
        <f>20</f>
        <v>20</v>
      </c>
    </row>
    <row r="86" spans="1:29">
      <c r="A86" s="8" t="s">
        <v>46</v>
      </c>
      <c r="B86" s="9" t="s">
        <v>514</v>
      </c>
      <c r="C86" s="9" t="s">
        <v>515</v>
      </c>
      <c r="D86" s="9" t="s">
        <v>557</v>
      </c>
      <c r="E86" s="10" t="s">
        <v>516</v>
      </c>
      <c r="F86" s="10" t="s">
        <v>558</v>
      </c>
      <c r="G86" s="11" t="s">
        <v>297</v>
      </c>
      <c r="H86" s="12" t="s">
        <v>559</v>
      </c>
      <c r="I86" s="11" t="s">
        <v>299</v>
      </c>
      <c r="J86" s="12" t="s">
        <v>560</v>
      </c>
      <c r="K86" s="11" t="s">
        <v>561</v>
      </c>
      <c r="L86" s="12" t="s">
        <v>562</v>
      </c>
      <c r="M86" s="11" t="s">
        <v>554</v>
      </c>
      <c r="N86" s="12" t="s">
        <v>563</v>
      </c>
      <c r="O86" s="11" t="s">
        <v>521</v>
      </c>
      <c r="P86" s="12" t="s">
        <v>564</v>
      </c>
      <c r="Q86" s="11" t="s">
        <v>565</v>
      </c>
      <c r="R86" s="12" t="s">
        <v>566</v>
      </c>
      <c r="S86" s="13">
        <f>182.64</f>
        <v>182.64</v>
      </c>
      <c r="T86" s="14">
        <f>2317</f>
        <v>2317</v>
      </c>
      <c r="U86" s="14">
        <v>28</v>
      </c>
      <c r="V86" s="14">
        <v>7</v>
      </c>
      <c r="W86" s="14">
        <f>4135722000</f>
        <v>4135722000</v>
      </c>
      <c r="X86" s="14">
        <v>52427000</v>
      </c>
      <c r="Y86" s="14">
        <v>13020000</v>
      </c>
      <c r="Z86" s="11"/>
      <c r="AA86" s="15">
        <f>117</f>
        <v>117</v>
      </c>
      <c r="AB86" s="15" t="str">
        <f t="shared" si="2"/>
        <v>－</v>
      </c>
      <c r="AC86" s="16">
        <f>43</f>
        <v>43</v>
      </c>
    </row>
    <row r="87" spans="1:29">
      <c r="A87" s="8" t="s">
        <v>46</v>
      </c>
      <c r="B87" s="9" t="s">
        <v>514</v>
      </c>
      <c r="C87" s="9" t="s">
        <v>515</v>
      </c>
      <c r="D87" s="9" t="s">
        <v>134</v>
      </c>
      <c r="E87" s="10" t="s">
        <v>567</v>
      </c>
      <c r="F87" s="10" t="s">
        <v>568</v>
      </c>
      <c r="G87" s="11" t="s">
        <v>569</v>
      </c>
      <c r="H87" s="12" t="s">
        <v>570</v>
      </c>
      <c r="I87" s="11" t="s">
        <v>571</v>
      </c>
      <c r="J87" s="12" t="s">
        <v>572</v>
      </c>
      <c r="K87" s="11" t="s">
        <v>528</v>
      </c>
      <c r="L87" s="12" t="s">
        <v>573</v>
      </c>
      <c r="M87" s="11" t="s">
        <v>554</v>
      </c>
      <c r="N87" s="12" t="s">
        <v>574</v>
      </c>
      <c r="O87" s="11" t="s">
        <v>541</v>
      </c>
      <c r="P87" s="12" t="s">
        <v>575</v>
      </c>
      <c r="Q87" s="11" t="s">
        <v>132</v>
      </c>
      <c r="R87" s="12" t="s">
        <v>576</v>
      </c>
      <c r="S87" s="13">
        <f>182.19</f>
        <v>182.19</v>
      </c>
      <c r="T87" s="14">
        <f>1055</f>
        <v>1055</v>
      </c>
      <c r="U87" s="14">
        <v>33</v>
      </c>
      <c r="V87" s="14">
        <v>1</v>
      </c>
      <c r="W87" s="14">
        <f>1981059600</f>
        <v>1981059600</v>
      </c>
      <c r="X87" s="14">
        <v>63229500</v>
      </c>
      <c r="Y87" s="14">
        <v>1920100</v>
      </c>
      <c r="Z87" s="11"/>
      <c r="AA87" s="15">
        <f>196</f>
        <v>196</v>
      </c>
      <c r="AB87" s="15" t="str">
        <f t="shared" si="2"/>
        <v>－</v>
      </c>
      <c r="AC87" s="16">
        <f>50</f>
        <v>50</v>
      </c>
    </row>
    <row r="88" spans="1:29">
      <c r="A88" s="8" t="s">
        <v>46</v>
      </c>
      <c r="B88" s="9" t="s">
        <v>514</v>
      </c>
      <c r="C88" s="9" t="s">
        <v>515</v>
      </c>
      <c r="D88" s="9" t="s">
        <v>577</v>
      </c>
      <c r="E88" s="10" t="s">
        <v>578</v>
      </c>
      <c r="F88" s="10" t="s">
        <v>579</v>
      </c>
      <c r="G88" s="11" t="s">
        <v>580</v>
      </c>
      <c r="H88" s="12" t="s">
        <v>581</v>
      </c>
      <c r="I88" s="11" t="s">
        <v>546</v>
      </c>
      <c r="J88" s="12" t="s">
        <v>582</v>
      </c>
      <c r="K88" s="11"/>
      <c r="L88" s="12"/>
      <c r="M88" s="11" t="s">
        <v>177</v>
      </c>
      <c r="N88" s="12" t="s">
        <v>583</v>
      </c>
      <c r="O88" s="11"/>
      <c r="P88" s="12"/>
      <c r="Q88" s="11" t="s">
        <v>132</v>
      </c>
      <c r="R88" s="12" t="s">
        <v>584</v>
      </c>
      <c r="S88" s="13">
        <f>177.31</f>
        <v>177.31</v>
      </c>
      <c r="T88" s="14">
        <f>502</f>
        <v>502</v>
      </c>
      <c r="U88" s="14"/>
      <c r="V88" s="14"/>
      <c r="W88" s="14">
        <f>895851000</f>
        <v>895851000</v>
      </c>
      <c r="X88" s="14"/>
      <c r="Y88" s="14"/>
      <c r="Z88" s="11"/>
      <c r="AA88" s="15">
        <f>53</f>
        <v>53</v>
      </c>
      <c r="AB88" s="15" t="str">
        <f t="shared" si="2"/>
        <v>－</v>
      </c>
      <c r="AC88" s="16">
        <f>35</f>
        <v>35</v>
      </c>
    </row>
    <row r="89" spans="1:29">
      <c r="A89" s="8" t="s">
        <v>46</v>
      </c>
      <c r="B89" s="9" t="s">
        <v>514</v>
      </c>
      <c r="C89" s="9" t="s">
        <v>515</v>
      </c>
      <c r="D89" s="9" t="s">
        <v>146</v>
      </c>
      <c r="E89" s="10" t="s">
        <v>585</v>
      </c>
      <c r="F89" s="10" t="s">
        <v>586</v>
      </c>
      <c r="G89" s="11" t="s">
        <v>554</v>
      </c>
      <c r="H89" s="12" t="s">
        <v>587</v>
      </c>
      <c r="I89" s="11" t="s">
        <v>132</v>
      </c>
      <c r="J89" s="12" t="s">
        <v>588</v>
      </c>
      <c r="K89" s="11"/>
      <c r="L89" s="12"/>
      <c r="M89" s="11" t="s">
        <v>177</v>
      </c>
      <c r="N89" s="12" t="s">
        <v>589</v>
      </c>
      <c r="O89" s="11"/>
      <c r="P89" s="12"/>
      <c r="Q89" s="11" t="s">
        <v>132</v>
      </c>
      <c r="R89" s="12" t="s">
        <v>588</v>
      </c>
      <c r="S89" s="13">
        <f>172.23</f>
        <v>172.23</v>
      </c>
      <c r="T89" s="14">
        <f>138</f>
        <v>138</v>
      </c>
      <c r="U89" s="14"/>
      <c r="V89" s="14"/>
      <c r="W89" s="14">
        <f>236972000</f>
        <v>236972000</v>
      </c>
      <c r="X89" s="14"/>
      <c r="Y89" s="14"/>
      <c r="Z89" s="11"/>
      <c r="AA89" s="15">
        <f>26</f>
        <v>26</v>
      </c>
      <c r="AB89" s="15" t="str">
        <f t="shared" si="2"/>
        <v>－</v>
      </c>
      <c r="AC89" s="16">
        <f>20</f>
        <v>20</v>
      </c>
    </row>
    <row r="90" spans="1:29">
      <c r="A90" s="8" t="s">
        <v>46</v>
      </c>
      <c r="B90" s="9" t="s">
        <v>590</v>
      </c>
      <c r="C90" s="9" t="s">
        <v>591</v>
      </c>
      <c r="D90" s="9" t="s">
        <v>592</v>
      </c>
      <c r="E90" s="10" t="s">
        <v>593</v>
      </c>
      <c r="F90" s="10" t="s">
        <v>594</v>
      </c>
      <c r="G90" s="11" t="s">
        <v>52</v>
      </c>
      <c r="H90" s="12" t="s">
        <v>595</v>
      </c>
      <c r="I90" s="11" t="s">
        <v>596</v>
      </c>
      <c r="J90" s="12" t="s">
        <v>597</v>
      </c>
      <c r="K90" s="11" t="s">
        <v>596</v>
      </c>
      <c r="L90" s="12" t="s">
        <v>598</v>
      </c>
      <c r="M90" s="11" t="s">
        <v>52</v>
      </c>
      <c r="N90" s="12" t="s">
        <v>599</v>
      </c>
      <c r="O90" s="11" t="s">
        <v>600</v>
      </c>
      <c r="P90" s="12" t="s">
        <v>601</v>
      </c>
      <c r="Q90" s="11" t="s">
        <v>602</v>
      </c>
      <c r="R90" s="12" t="s">
        <v>603</v>
      </c>
      <c r="S90" s="13">
        <f>305.82</f>
        <v>305.82</v>
      </c>
      <c r="T90" s="14">
        <f>983</f>
        <v>983</v>
      </c>
      <c r="U90" s="14">
        <v>246</v>
      </c>
      <c r="V90" s="14">
        <v>14</v>
      </c>
      <c r="W90" s="14">
        <f>1469672500</f>
        <v>1469672500</v>
      </c>
      <c r="X90" s="14">
        <v>397423500</v>
      </c>
      <c r="Y90" s="14">
        <v>19476000</v>
      </c>
      <c r="Z90" s="11" t="s">
        <v>60</v>
      </c>
      <c r="AA90" s="15">
        <f>247</f>
        <v>247</v>
      </c>
      <c r="AB90" s="15" t="str">
        <f t="shared" si="2"/>
        <v>－</v>
      </c>
      <c r="AC90" s="16">
        <f>14</f>
        <v>14</v>
      </c>
    </row>
    <row r="91" spans="1:29">
      <c r="A91" s="8" t="s">
        <v>46</v>
      </c>
      <c r="B91" s="9" t="s">
        <v>590</v>
      </c>
      <c r="C91" s="9" t="s">
        <v>591</v>
      </c>
      <c r="D91" s="9" t="s">
        <v>49</v>
      </c>
      <c r="E91" s="10" t="s">
        <v>604</v>
      </c>
      <c r="F91" s="10" t="s">
        <v>195</v>
      </c>
      <c r="G91" s="11" t="s">
        <v>52</v>
      </c>
      <c r="H91" s="12" t="s">
        <v>605</v>
      </c>
      <c r="I91" s="11" t="s">
        <v>596</v>
      </c>
      <c r="J91" s="12" t="s">
        <v>606</v>
      </c>
      <c r="K91" s="11" t="s">
        <v>600</v>
      </c>
      <c r="L91" s="12" t="s">
        <v>607</v>
      </c>
      <c r="M91" s="11" t="s">
        <v>608</v>
      </c>
      <c r="N91" s="12" t="s">
        <v>609</v>
      </c>
      <c r="O91" s="11" t="s">
        <v>608</v>
      </c>
      <c r="P91" s="12" t="s">
        <v>610</v>
      </c>
      <c r="Q91" s="11" t="s">
        <v>82</v>
      </c>
      <c r="R91" s="12" t="s">
        <v>611</v>
      </c>
      <c r="S91" s="13">
        <f>253.31</f>
        <v>253.31</v>
      </c>
      <c r="T91" s="14">
        <f>1817</f>
        <v>1817</v>
      </c>
      <c r="U91" s="14">
        <v>220</v>
      </c>
      <c r="V91" s="14">
        <v>134</v>
      </c>
      <c r="W91" s="14">
        <f>2311751500</f>
        <v>2311751500</v>
      </c>
      <c r="X91" s="14">
        <v>284248500</v>
      </c>
      <c r="Y91" s="14">
        <v>167828000</v>
      </c>
      <c r="Z91" s="11" t="s">
        <v>60</v>
      </c>
      <c r="AA91" s="15">
        <f>141</f>
        <v>141</v>
      </c>
      <c r="AB91" s="15" t="str">
        <f t="shared" si="2"/>
        <v>－</v>
      </c>
      <c r="AC91" s="16">
        <f>32</f>
        <v>32</v>
      </c>
    </row>
    <row r="92" spans="1:29">
      <c r="A92" s="8" t="s">
        <v>46</v>
      </c>
      <c r="B92" s="9" t="s">
        <v>590</v>
      </c>
      <c r="C92" s="9" t="s">
        <v>591</v>
      </c>
      <c r="D92" s="9" t="s">
        <v>612</v>
      </c>
      <c r="E92" s="10" t="s">
        <v>613</v>
      </c>
      <c r="F92" s="10" t="s">
        <v>614</v>
      </c>
      <c r="G92" s="11" t="s">
        <v>52</v>
      </c>
      <c r="H92" s="12" t="s">
        <v>609</v>
      </c>
      <c r="I92" s="11" t="s">
        <v>490</v>
      </c>
      <c r="J92" s="12" t="s">
        <v>615</v>
      </c>
      <c r="K92" s="11" t="s">
        <v>616</v>
      </c>
      <c r="L92" s="12" t="s">
        <v>617</v>
      </c>
      <c r="M92" s="11" t="s">
        <v>618</v>
      </c>
      <c r="N92" s="12" t="s">
        <v>619</v>
      </c>
      <c r="O92" s="11" t="s">
        <v>620</v>
      </c>
      <c r="P92" s="12" t="s">
        <v>621</v>
      </c>
      <c r="Q92" s="11" t="s">
        <v>622</v>
      </c>
      <c r="R92" s="12" t="s">
        <v>623</v>
      </c>
      <c r="S92" s="13">
        <f>255.57</f>
        <v>255.57</v>
      </c>
      <c r="T92" s="14">
        <f>4330</f>
        <v>4330</v>
      </c>
      <c r="U92" s="14">
        <v>15</v>
      </c>
      <c r="V92" s="14">
        <v>1046</v>
      </c>
      <c r="W92" s="14">
        <f>5505568500</f>
        <v>5505568500</v>
      </c>
      <c r="X92" s="14">
        <v>18979500</v>
      </c>
      <c r="Y92" s="14">
        <v>1330042000</v>
      </c>
      <c r="Z92" s="11" t="s">
        <v>60</v>
      </c>
      <c r="AA92" s="15">
        <f>228</f>
        <v>228</v>
      </c>
      <c r="AB92" s="15" t="str">
        <f t="shared" si="2"/>
        <v>－</v>
      </c>
      <c r="AC92" s="16">
        <f>55</f>
        <v>55</v>
      </c>
    </row>
    <row r="93" spans="1:29">
      <c r="A93" s="8" t="s">
        <v>46</v>
      </c>
      <c r="B93" s="9" t="s">
        <v>590</v>
      </c>
      <c r="C93" s="9" t="s">
        <v>591</v>
      </c>
      <c r="D93" s="9" t="s">
        <v>61</v>
      </c>
      <c r="E93" s="10" t="s">
        <v>624</v>
      </c>
      <c r="F93" s="10" t="s">
        <v>200</v>
      </c>
      <c r="G93" s="11" t="s">
        <v>52</v>
      </c>
      <c r="H93" s="12" t="s">
        <v>625</v>
      </c>
      <c r="I93" s="11" t="s">
        <v>490</v>
      </c>
      <c r="J93" s="12" t="s">
        <v>626</v>
      </c>
      <c r="K93" s="11" t="s">
        <v>627</v>
      </c>
      <c r="L93" s="12" t="s">
        <v>628</v>
      </c>
      <c r="M93" s="11" t="s">
        <v>128</v>
      </c>
      <c r="N93" s="12" t="s">
        <v>629</v>
      </c>
      <c r="O93" s="11" t="s">
        <v>462</v>
      </c>
      <c r="P93" s="12" t="s">
        <v>630</v>
      </c>
      <c r="Q93" s="11" t="s">
        <v>631</v>
      </c>
      <c r="R93" s="12" t="s">
        <v>632</v>
      </c>
      <c r="S93" s="13">
        <f>249.03</f>
        <v>249.03</v>
      </c>
      <c r="T93" s="14">
        <f>8886</f>
        <v>8886</v>
      </c>
      <c r="U93" s="14">
        <v>242</v>
      </c>
      <c r="V93" s="14">
        <v>2294</v>
      </c>
      <c r="W93" s="14">
        <f>11078102000</f>
        <v>11078102000</v>
      </c>
      <c r="X93" s="14">
        <v>281968500</v>
      </c>
      <c r="Y93" s="14">
        <v>2870387000</v>
      </c>
      <c r="Z93" s="11" t="s">
        <v>60</v>
      </c>
      <c r="AA93" s="15">
        <f>581</f>
        <v>581</v>
      </c>
      <c r="AB93" s="15" t="str">
        <f t="shared" si="2"/>
        <v>－</v>
      </c>
      <c r="AC93" s="16">
        <f>76</f>
        <v>76</v>
      </c>
    </row>
    <row r="94" spans="1:29">
      <c r="A94" s="8" t="s">
        <v>46</v>
      </c>
      <c r="B94" s="9" t="s">
        <v>590</v>
      </c>
      <c r="C94" s="9" t="s">
        <v>591</v>
      </c>
      <c r="D94" s="9" t="s">
        <v>633</v>
      </c>
      <c r="E94" s="10" t="s">
        <v>634</v>
      </c>
      <c r="F94" s="10" t="s">
        <v>635</v>
      </c>
      <c r="G94" s="11" t="s">
        <v>52</v>
      </c>
      <c r="H94" s="12" t="s">
        <v>636</v>
      </c>
      <c r="I94" s="11" t="s">
        <v>490</v>
      </c>
      <c r="J94" s="12" t="s">
        <v>637</v>
      </c>
      <c r="K94" s="11" t="s">
        <v>638</v>
      </c>
      <c r="L94" s="12" t="s">
        <v>639</v>
      </c>
      <c r="M94" s="11" t="s">
        <v>70</v>
      </c>
      <c r="N94" s="12" t="s">
        <v>640</v>
      </c>
      <c r="O94" s="11" t="s">
        <v>128</v>
      </c>
      <c r="P94" s="12" t="s">
        <v>641</v>
      </c>
      <c r="Q94" s="11" t="s">
        <v>642</v>
      </c>
      <c r="R94" s="12" t="s">
        <v>643</v>
      </c>
      <c r="S94" s="13">
        <f>247.17</f>
        <v>247.17</v>
      </c>
      <c r="T94" s="14">
        <f>24497</f>
        <v>24497</v>
      </c>
      <c r="U94" s="14">
        <v>380</v>
      </c>
      <c r="V94" s="14">
        <v>9257</v>
      </c>
      <c r="W94" s="14">
        <f>29828191000</f>
        <v>29828191000</v>
      </c>
      <c r="X94" s="14">
        <v>467935500</v>
      </c>
      <c r="Y94" s="14">
        <v>11229350000</v>
      </c>
      <c r="Z94" s="11" t="s">
        <v>60</v>
      </c>
      <c r="AA94" s="15">
        <f>218</f>
        <v>218</v>
      </c>
      <c r="AB94" s="15" t="str">
        <f t="shared" si="2"/>
        <v>－</v>
      </c>
      <c r="AC94" s="16">
        <f>95</f>
        <v>95</v>
      </c>
    </row>
    <row r="95" spans="1:29">
      <c r="A95" s="8" t="s">
        <v>46</v>
      </c>
      <c r="B95" s="9" t="s">
        <v>590</v>
      </c>
      <c r="C95" s="9" t="s">
        <v>591</v>
      </c>
      <c r="D95" s="9" t="s">
        <v>72</v>
      </c>
      <c r="E95" s="10" t="s">
        <v>644</v>
      </c>
      <c r="F95" s="10" t="s">
        <v>205</v>
      </c>
      <c r="G95" s="11" t="s">
        <v>52</v>
      </c>
      <c r="H95" s="12" t="s">
        <v>645</v>
      </c>
      <c r="I95" s="11" t="s">
        <v>490</v>
      </c>
      <c r="J95" s="12" t="s">
        <v>646</v>
      </c>
      <c r="K95" s="11" t="s">
        <v>78</v>
      </c>
      <c r="L95" s="12" t="s">
        <v>647</v>
      </c>
      <c r="M95" s="11" t="s">
        <v>52</v>
      </c>
      <c r="N95" s="12" t="s">
        <v>648</v>
      </c>
      <c r="O95" s="11" t="s">
        <v>602</v>
      </c>
      <c r="P95" s="12" t="s">
        <v>649</v>
      </c>
      <c r="Q95" s="11" t="s">
        <v>211</v>
      </c>
      <c r="R95" s="12" t="s">
        <v>650</v>
      </c>
      <c r="S95" s="13">
        <f>247.72</f>
        <v>247.72</v>
      </c>
      <c r="T95" s="14">
        <f>66805</f>
        <v>66805</v>
      </c>
      <c r="U95" s="14">
        <v>69</v>
      </c>
      <c r="V95" s="14">
        <v>15562</v>
      </c>
      <c r="W95" s="14">
        <f>80575980000</f>
        <v>80575980000</v>
      </c>
      <c r="X95" s="14">
        <v>82334500</v>
      </c>
      <c r="Y95" s="14">
        <v>18923837000</v>
      </c>
      <c r="Z95" s="11" t="s">
        <v>60</v>
      </c>
      <c r="AA95" s="15">
        <f>178</f>
        <v>178</v>
      </c>
      <c r="AB95" s="15" t="str">
        <f t="shared" si="2"/>
        <v>－</v>
      </c>
      <c r="AC95" s="16">
        <f>117</f>
        <v>117</v>
      </c>
    </row>
    <row r="96" spans="1:29">
      <c r="A96" s="8" t="s">
        <v>46</v>
      </c>
      <c r="B96" s="9" t="s">
        <v>590</v>
      </c>
      <c r="C96" s="9" t="s">
        <v>591</v>
      </c>
      <c r="D96" s="9" t="s">
        <v>651</v>
      </c>
      <c r="E96" s="10" t="s">
        <v>652</v>
      </c>
      <c r="F96" s="10" t="s">
        <v>653</v>
      </c>
      <c r="G96" s="11" t="s">
        <v>608</v>
      </c>
      <c r="H96" s="12" t="s">
        <v>654</v>
      </c>
      <c r="I96" s="11" t="s">
        <v>490</v>
      </c>
      <c r="J96" s="12" t="s">
        <v>655</v>
      </c>
      <c r="K96" s="11" t="s">
        <v>480</v>
      </c>
      <c r="L96" s="12" t="s">
        <v>656</v>
      </c>
      <c r="M96" s="11" t="s">
        <v>657</v>
      </c>
      <c r="N96" s="12" t="s">
        <v>658</v>
      </c>
      <c r="O96" s="11" t="s">
        <v>657</v>
      </c>
      <c r="P96" s="12" t="s">
        <v>659</v>
      </c>
      <c r="Q96" s="11" t="s">
        <v>660</v>
      </c>
      <c r="R96" s="12" t="s">
        <v>661</v>
      </c>
      <c r="S96" s="13">
        <f>244.8</f>
        <v>244.8</v>
      </c>
      <c r="T96" s="14">
        <f>66087</f>
        <v>66087</v>
      </c>
      <c r="U96" s="14">
        <v>139</v>
      </c>
      <c r="V96" s="14">
        <v>16229</v>
      </c>
      <c r="W96" s="14">
        <f>83286993500</f>
        <v>83286993500</v>
      </c>
      <c r="X96" s="14">
        <v>168597500</v>
      </c>
      <c r="Y96" s="14">
        <v>20536924500</v>
      </c>
      <c r="Z96" s="11" t="s">
        <v>60</v>
      </c>
      <c r="AA96" s="15">
        <f>241</f>
        <v>241</v>
      </c>
      <c r="AB96" s="15" t="str">
        <f t="shared" si="2"/>
        <v>－</v>
      </c>
      <c r="AC96" s="16">
        <f>122</f>
        <v>122</v>
      </c>
    </row>
    <row r="97" spans="1:29">
      <c r="A97" s="8" t="s">
        <v>46</v>
      </c>
      <c r="B97" s="9" t="s">
        <v>590</v>
      </c>
      <c r="C97" s="9" t="s">
        <v>591</v>
      </c>
      <c r="D97" s="9" t="s">
        <v>86</v>
      </c>
      <c r="E97" s="10" t="s">
        <v>51</v>
      </c>
      <c r="F97" s="10" t="s">
        <v>213</v>
      </c>
      <c r="G97" s="11" t="s">
        <v>58</v>
      </c>
      <c r="H97" s="12" t="s">
        <v>662</v>
      </c>
      <c r="I97" s="11" t="s">
        <v>490</v>
      </c>
      <c r="J97" s="12" t="s">
        <v>663</v>
      </c>
      <c r="K97" s="11" t="s">
        <v>664</v>
      </c>
      <c r="L97" s="12" t="s">
        <v>665</v>
      </c>
      <c r="M97" s="11" t="s">
        <v>415</v>
      </c>
      <c r="N97" s="12" t="s">
        <v>666</v>
      </c>
      <c r="O97" s="11" t="s">
        <v>217</v>
      </c>
      <c r="P97" s="12" t="s">
        <v>667</v>
      </c>
      <c r="Q97" s="11" t="s">
        <v>217</v>
      </c>
      <c r="R97" s="12" t="s">
        <v>668</v>
      </c>
      <c r="S97" s="13">
        <f>239.86</f>
        <v>239.86</v>
      </c>
      <c r="T97" s="14">
        <f>77987</f>
        <v>77987</v>
      </c>
      <c r="U97" s="14">
        <v>264</v>
      </c>
      <c r="V97" s="14">
        <v>15636</v>
      </c>
      <c r="W97" s="14">
        <f>101214998000</f>
        <v>101214998000</v>
      </c>
      <c r="X97" s="14">
        <v>291132500</v>
      </c>
      <c r="Y97" s="14">
        <v>19841837500</v>
      </c>
      <c r="Z97" s="11" t="s">
        <v>60</v>
      </c>
      <c r="AA97" s="15">
        <f>215</f>
        <v>215</v>
      </c>
      <c r="AB97" s="15" t="str">
        <f t="shared" si="2"/>
        <v>－</v>
      </c>
      <c r="AC97" s="16">
        <f>125</f>
        <v>125</v>
      </c>
    </row>
    <row r="98" spans="1:29">
      <c r="A98" s="8" t="s">
        <v>46</v>
      </c>
      <c r="B98" s="9" t="s">
        <v>590</v>
      </c>
      <c r="C98" s="9" t="s">
        <v>591</v>
      </c>
      <c r="D98" s="9" t="s">
        <v>669</v>
      </c>
      <c r="E98" s="10" t="s">
        <v>670</v>
      </c>
      <c r="F98" s="10" t="s">
        <v>671</v>
      </c>
      <c r="G98" s="11" t="s">
        <v>672</v>
      </c>
      <c r="H98" s="12" t="s">
        <v>605</v>
      </c>
      <c r="I98" s="11" t="s">
        <v>480</v>
      </c>
      <c r="J98" s="12" t="s">
        <v>673</v>
      </c>
      <c r="K98" s="11" t="s">
        <v>674</v>
      </c>
      <c r="L98" s="12" t="s">
        <v>675</v>
      </c>
      <c r="M98" s="11" t="s">
        <v>676</v>
      </c>
      <c r="N98" s="12" t="s">
        <v>677</v>
      </c>
      <c r="O98" s="11" t="s">
        <v>676</v>
      </c>
      <c r="P98" s="12" t="s">
        <v>678</v>
      </c>
      <c r="Q98" s="11" t="s">
        <v>679</v>
      </c>
      <c r="R98" s="12" t="s">
        <v>680</v>
      </c>
      <c r="S98" s="13">
        <f>225.53</f>
        <v>225.53</v>
      </c>
      <c r="T98" s="14">
        <f>61704</f>
        <v>61704</v>
      </c>
      <c r="U98" s="14">
        <v>90</v>
      </c>
      <c r="V98" s="14">
        <v>15084</v>
      </c>
      <c r="W98" s="14">
        <f>73597628200</f>
        <v>73597628200</v>
      </c>
      <c r="X98" s="14">
        <v>94692200</v>
      </c>
      <c r="Y98" s="14">
        <v>18083515500</v>
      </c>
      <c r="Z98" s="11" t="s">
        <v>60</v>
      </c>
      <c r="AA98" s="15">
        <f>371</f>
        <v>371</v>
      </c>
      <c r="AB98" s="15" t="str">
        <f t="shared" si="2"/>
        <v>－</v>
      </c>
      <c r="AC98" s="16">
        <f>122</f>
        <v>122</v>
      </c>
    </row>
    <row r="99" spans="1:29">
      <c r="A99" s="8" t="s">
        <v>46</v>
      </c>
      <c r="B99" s="9" t="s">
        <v>590</v>
      </c>
      <c r="C99" s="9" t="s">
        <v>591</v>
      </c>
      <c r="D99" s="9" t="s">
        <v>97</v>
      </c>
      <c r="E99" s="10" t="s">
        <v>63</v>
      </c>
      <c r="F99" s="10" t="s">
        <v>218</v>
      </c>
      <c r="G99" s="11" t="s">
        <v>70</v>
      </c>
      <c r="H99" s="12" t="s">
        <v>681</v>
      </c>
      <c r="I99" s="11" t="s">
        <v>480</v>
      </c>
      <c r="J99" s="12" t="s">
        <v>682</v>
      </c>
      <c r="K99" s="11" t="s">
        <v>683</v>
      </c>
      <c r="L99" s="12" t="s">
        <v>684</v>
      </c>
      <c r="M99" s="11" t="s">
        <v>297</v>
      </c>
      <c r="N99" s="12" t="s">
        <v>685</v>
      </c>
      <c r="O99" s="11" t="s">
        <v>686</v>
      </c>
      <c r="P99" s="12" t="s">
        <v>687</v>
      </c>
      <c r="Q99" s="11" t="s">
        <v>221</v>
      </c>
      <c r="R99" s="12" t="s">
        <v>688</v>
      </c>
      <c r="S99" s="13">
        <f>220.46</f>
        <v>220.46</v>
      </c>
      <c r="T99" s="14">
        <f>56710</f>
        <v>56710</v>
      </c>
      <c r="U99" s="14">
        <v>105</v>
      </c>
      <c r="V99" s="14">
        <v>14096</v>
      </c>
      <c r="W99" s="14">
        <f>68813098000</f>
        <v>68813098000</v>
      </c>
      <c r="X99" s="14">
        <v>117019000</v>
      </c>
      <c r="Y99" s="14">
        <v>16872180000</v>
      </c>
      <c r="Z99" s="11" t="s">
        <v>60</v>
      </c>
      <c r="AA99" s="15">
        <f>305</f>
        <v>305</v>
      </c>
      <c r="AB99" s="15" t="str">
        <f t="shared" si="2"/>
        <v>－</v>
      </c>
      <c r="AC99" s="16">
        <f>122</f>
        <v>122</v>
      </c>
    </row>
    <row r="100" spans="1:29">
      <c r="A100" s="8" t="s">
        <v>46</v>
      </c>
      <c r="B100" s="9" t="s">
        <v>590</v>
      </c>
      <c r="C100" s="9" t="s">
        <v>591</v>
      </c>
      <c r="D100" s="9" t="s">
        <v>524</v>
      </c>
      <c r="E100" s="10" t="s">
        <v>689</v>
      </c>
      <c r="F100" s="10" t="s">
        <v>690</v>
      </c>
      <c r="G100" s="11" t="s">
        <v>691</v>
      </c>
      <c r="H100" s="12" t="s">
        <v>692</v>
      </c>
      <c r="I100" s="11" t="s">
        <v>693</v>
      </c>
      <c r="J100" s="12" t="s">
        <v>694</v>
      </c>
      <c r="K100" s="11" t="s">
        <v>90</v>
      </c>
      <c r="L100" s="12" t="s">
        <v>695</v>
      </c>
      <c r="M100" s="11" t="s">
        <v>297</v>
      </c>
      <c r="N100" s="12" t="s">
        <v>696</v>
      </c>
      <c r="O100" s="11" t="s">
        <v>238</v>
      </c>
      <c r="P100" s="12" t="s">
        <v>697</v>
      </c>
      <c r="Q100" s="11" t="s">
        <v>698</v>
      </c>
      <c r="R100" s="12" t="s">
        <v>699</v>
      </c>
      <c r="S100" s="13">
        <f>216.29</f>
        <v>216.29</v>
      </c>
      <c r="T100" s="14">
        <f>54177</f>
        <v>54177</v>
      </c>
      <c r="U100" s="14">
        <v>99</v>
      </c>
      <c r="V100" s="14">
        <v>16204</v>
      </c>
      <c r="W100" s="14">
        <f>62365822000</f>
        <v>62365822000</v>
      </c>
      <c r="X100" s="14">
        <v>115457500</v>
      </c>
      <c r="Y100" s="14">
        <v>18316808000</v>
      </c>
      <c r="Z100" s="11" t="s">
        <v>60</v>
      </c>
      <c r="AA100" s="15">
        <f>189</f>
        <v>189</v>
      </c>
      <c r="AB100" s="15" t="str">
        <f t="shared" si="2"/>
        <v>－</v>
      </c>
      <c r="AC100" s="16">
        <f>124</f>
        <v>124</v>
      </c>
    </row>
    <row r="101" spans="1:29">
      <c r="A101" s="8" t="s">
        <v>46</v>
      </c>
      <c r="B101" s="9" t="s">
        <v>590</v>
      </c>
      <c r="C101" s="9" t="s">
        <v>591</v>
      </c>
      <c r="D101" s="9" t="s">
        <v>109</v>
      </c>
      <c r="E101" s="10" t="s">
        <v>74</v>
      </c>
      <c r="F101" s="10" t="s">
        <v>223</v>
      </c>
      <c r="G101" s="11" t="s">
        <v>84</v>
      </c>
      <c r="H101" s="12" t="s">
        <v>700</v>
      </c>
      <c r="I101" s="11" t="s">
        <v>84</v>
      </c>
      <c r="J101" s="12" t="s">
        <v>701</v>
      </c>
      <c r="K101" s="11" t="s">
        <v>702</v>
      </c>
      <c r="L101" s="12" t="s">
        <v>703</v>
      </c>
      <c r="M101" s="11" t="s">
        <v>297</v>
      </c>
      <c r="N101" s="12" t="s">
        <v>704</v>
      </c>
      <c r="O101" s="11" t="s">
        <v>705</v>
      </c>
      <c r="P101" s="12" t="s">
        <v>706</v>
      </c>
      <c r="Q101" s="11" t="s">
        <v>228</v>
      </c>
      <c r="R101" s="12" t="s">
        <v>707</v>
      </c>
      <c r="S101" s="13">
        <f>215.05</f>
        <v>215.05</v>
      </c>
      <c r="T101" s="14">
        <f>64904</f>
        <v>64904</v>
      </c>
      <c r="U101" s="14">
        <v>124</v>
      </c>
      <c r="V101" s="14">
        <v>19540</v>
      </c>
      <c r="W101" s="14">
        <f>70462833500</f>
        <v>70462833500</v>
      </c>
      <c r="X101" s="14">
        <v>137836000</v>
      </c>
      <c r="Y101" s="14">
        <v>21290651000</v>
      </c>
      <c r="Z101" s="11" t="s">
        <v>60</v>
      </c>
      <c r="AA101" s="15">
        <f>211</f>
        <v>211</v>
      </c>
      <c r="AB101" s="15" t="str">
        <f t="shared" si="2"/>
        <v>－</v>
      </c>
      <c r="AC101" s="16">
        <f>122</f>
        <v>122</v>
      </c>
    </row>
    <row r="102" spans="1:29">
      <c r="A102" s="8" t="s">
        <v>46</v>
      </c>
      <c r="B102" s="9" t="s">
        <v>590</v>
      </c>
      <c r="C102" s="9" t="s">
        <v>591</v>
      </c>
      <c r="D102" s="9" t="s">
        <v>544</v>
      </c>
      <c r="E102" s="10" t="s">
        <v>708</v>
      </c>
      <c r="F102" s="10" t="s">
        <v>709</v>
      </c>
      <c r="G102" s="11" t="s">
        <v>710</v>
      </c>
      <c r="H102" s="12" t="s">
        <v>711</v>
      </c>
      <c r="I102" s="11" t="s">
        <v>698</v>
      </c>
      <c r="J102" s="12" t="s">
        <v>712</v>
      </c>
      <c r="K102" s="11" t="s">
        <v>187</v>
      </c>
      <c r="L102" s="12" t="s">
        <v>641</v>
      </c>
      <c r="M102" s="11" t="s">
        <v>297</v>
      </c>
      <c r="N102" s="12" t="s">
        <v>713</v>
      </c>
      <c r="O102" s="11" t="s">
        <v>238</v>
      </c>
      <c r="P102" s="12" t="s">
        <v>714</v>
      </c>
      <c r="Q102" s="11" t="s">
        <v>132</v>
      </c>
      <c r="R102" s="12" t="s">
        <v>715</v>
      </c>
      <c r="S102" s="13">
        <f>216.3</f>
        <v>216.3</v>
      </c>
      <c r="T102" s="14">
        <f>56815</f>
        <v>56815</v>
      </c>
      <c r="U102" s="14">
        <v>354</v>
      </c>
      <c r="V102" s="14">
        <v>19769</v>
      </c>
      <c r="W102" s="14">
        <f>60936274000</f>
        <v>60936274000</v>
      </c>
      <c r="X102" s="14">
        <v>390836500</v>
      </c>
      <c r="Y102" s="14">
        <v>20942500000</v>
      </c>
      <c r="Z102" s="11"/>
      <c r="AA102" s="15">
        <f>489</f>
        <v>489</v>
      </c>
      <c r="AB102" s="15" t="str">
        <f t="shared" si="2"/>
        <v>－</v>
      </c>
      <c r="AC102" s="16">
        <f>108</f>
        <v>108</v>
      </c>
    </row>
    <row r="103" spans="1:29">
      <c r="A103" s="8" t="s">
        <v>46</v>
      </c>
      <c r="B103" s="9" t="s">
        <v>590</v>
      </c>
      <c r="C103" s="9" t="s">
        <v>591</v>
      </c>
      <c r="D103" s="9" t="s">
        <v>122</v>
      </c>
      <c r="E103" s="10" t="s">
        <v>88</v>
      </c>
      <c r="F103" s="10" t="s">
        <v>230</v>
      </c>
      <c r="G103" s="11" t="s">
        <v>95</v>
      </c>
      <c r="H103" s="12" t="s">
        <v>716</v>
      </c>
      <c r="I103" s="11" t="s">
        <v>698</v>
      </c>
      <c r="J103" s="12" t="s">
        <v>717</v>
      </c>
      <c r="K103" s="11" t="s">
        <v>541</v>
      </c>
      <c r="L103" s="12" t="s">
        <v>718</v>
      </c>
      <c r="M103" s="11" t="s">
        <v>297</v>
      </c>
      <c r="N103" s="12" t="s">
        <v>719</v>
      </c>
      <c r="O103" s="11" t="s">
        <v>166</v>
      </c>
      <c r="P103" s="12" t="s">
        <v>720</v>
      </c>
      <c r="Q103" s="11" t="s">
        <v>132</v>
      </c>
      <c r="R103" s="12" t="s">
        <v>721</v>
      </c>
      <c r="S103" s="13">
        <f>217.62</f>
        <v>217.62</v>
      </c>
      <c r="T103" s="14">
        <f>51879</f>
        <v>51879</v>
      </c>
      <c r="U103" s="14">
        <v>49</v>
      </c>
      <c r="V103" s="14">
        <v>17493</v>
      </c>
      <c r="W103" s="14">
        <f>54686993500</f>
        <v>54686993500</v>
      </c>
      <c r="X103" s="14">
        <v>51912500</v>
      </c>
      <c r="Y103" s="14">
        <v>18535076500</v>
      </c>
      <c r="Z103" s="11"/>
      <c r="AA103" s="15">
        <f>771</f>
        <v>771</v>
      </c>
      <c r="AB103" s="15" t="str">
        <f t="shared" si="2"/>
        <v>－</v>
      </c>
      <c r="AC103" s="16">
        <f>87</f>
        <v>87</v>
      </c>
    </row>
    <row r="104" spans="1:29">
      <c r="A104" s="8" t="s">
        <v>46</v>
      </c>
      <c r="B104" s="9" t="s">
        <v>590</v>
      </c>
      <c r="C104" s="9" t="s">
        <v>591</v>
      </c>
      <c r="D104" s="9" t="s">
        <v>557</v>
      </c>
      <c r="E104" s="10" t="s">
        <v>516</v>
      </c>
      <c r="F104" s="10" t="s">
        <v>722</v>
      </c>
      <c r="G104" s="11" t="s">
        <v>531</v>
      </c>
      <c r="H104" s="12" t="s">
        <v>723</v>
      </c>
      <c r="I104" s="11" t="s">
        <v>698</v>
      </c>
      <c r="J104" s="12" t="s">
        <v>724</v>
      </c>
      <c r="K104" s="11" t="s">
        <v>561</v>
      </c>
      <c r="L104" s="12" t="s">
        <v>725</v>
      </c>
      <c r="M104" s="11" t="s">
        <v>531</v>
      </c>
      <c r="N104" s="12" t="s">
        <v>723</v>
      </c>
      <c r="O104" s="11" t="s">
        <v>531</v>
      </c>
      <c r="P104" s="12" t="s">
        <v>726</v>
      </c>
      <c r="Q104" s="11" t="s">
        <v>132</v>
      </c>
      <c r="R104" s="12" t="s">
        <v>727</v>
      </c>
      <c r="S104" s="13">
        <f>223.62</f>
        <v>223.62</v>
      </c>
      <c r="T104" s="14">
        <f>54055</f>
        <v>54055</v>
      </c>
      <c r="U104" s="14">
        <v>81</v>
      </c>
      <c r="V104" s="14">
        <v>15563</v>
      </c>
      <c r="W104" s="14">
        <f>60799338000</f>
        <v>60799338000</v>
      </c>
      <c r="X104" s="14">
        <v>91285000</v>
      </c>
      <c r="Y104" s="14">
        <v>17336664500</v>
      </c>
      <c r="Z104" s="11"/>
      <c r="AA104" s="15">
        <f>1279</f>
        <v>1279</v>
      </c>
      <c r="AB104" s="15" t="str">
        <f t="shared" si="2"/>
        <v>－</v>
      </c>
      <c r="AC104" s="16">
        <f>67</f>
        <v>67</v>
      </c>
    </row>
    <row r="105" spans="1:29">
      <c r="A105" s="8" t="s">
        <v>46</v>
      </c>
      <c r="B105" s="9" t="s">
        <v>590</v>
      </c>
      <c r="C105" s="9" t="s">
        <v>591</v>
      </c>
      <c r="D105" s="9" t="s">
        <v>134</v>
      </c>
      <c r="E105" s="10" t="s">
        <v>516</v>
      </c>
      <c r="F105" s="10" t="s">
        <v>235</v>
      </c>
      <c r="G105" s="11" t="s">
        <v>531</v>
      </c>
      <c r="H105" s="12" t="s">
        <v>728</v>
      </c>
      <c r="I105" s="11" t="s">
        <v>729</v>
      </c>
      <c r="J105" s="12" t="s">
        <v>730</v>
      </c>
      <c r="K105" s="11" t="s">
        <v>698</v>
      </c>
      <c r="L105" s="12" t="s">
        <v>731</v>
      </c>
      <c r="M105" s="11" t="s">
        <v>531</v>
      </c>
      <c r="N105" s="12" t="s">
        <v>728</v>
      </c>
      <c r="O105" s="11" t="s">
        <v>238</v>
      </c>
      <c r="P105" s="12" t="s">
        <v>732</v>
      </c>
      <c r="Q105" s="11" t="s">
        <v>132</v>
      </c>
      <c r="R105" s="12" t="s">
        <v>733</v>
      </c>
      <c r="S105" s="13">
        <f>226.34</f>
        <v>226.34</v>
      </c>
      <c r="T105" s="14">
        <f>45808</f>
        <v>45808</v>
      </c>
      <c r="U105" s="14">
        <v>212</v>
      </c>
      <c r="V105" s="14">
        <v>13278</v>
      </c>
      <c r="W105" s="14">
        <f>53304116000</f>
        <v>53304116000</v>
      </c>
      <c r="X105" s="14">
        <v>237422500</v>
      </c>
      <c r="Y105" s="14">
        <v>15445656000</v>
      </c>
      <c r="Z105" s="11"/>
      <c r="AA105" s="15">
        <f>1567</f>
        <v>1567</v>
      </c>
      <c r="AB105" s="15" t="str">
        <f t="shared" si="2"/>
        <v>－</v>
      </c>
      <c r="AC105" s="16">
        <f>61</f>
        <v>61</v>
      </c>
    </row>
    <row r="106" spans="1:29">
      <c r="A106" s="8" t="s">
        <v>46</v>
      </c>
      <c r="B106" s="9" t="s">
        <v>590</v>
      </c>
      <c r="C106" s="9" t="s">
        <v>591</v>
      </c>
      <c r="D106" s="9" t="s">
        <v>577</v>
      </c>
      <c r="E106" s="10" t="s">
        <v>516</v>
      </c>
      <c r="F106" s="10" t="s">
        <v>734</v>
      </c>
      <c r="G106" s="11" t="s">
        <v>221</v>
      </c>
      <c r="H106" s="12" t="s">
        <v>735</v>
      </c>
      <c r="I106" s="11" t="s">
        <v>729</v>
      </c>
      <c r="J106" s="12" t="s">
        <v>736</v>
      </c>
      <c r="K106" s="11" t="s">
        <v>580</v>
      </c>
      <c r="L106" s="12" t="s">
        <v>737</v>
      </c>
      <c r="M106" s="11" t="s">
        <v>546</v>
      </c>
      <c r="N106" s="12" t="s">
        <v>738</v>
      </c>
      <c r="O106" s="11" t="s">
        <v>238</v>
      </c>
      <c r="P106" s="12" t="s">
        <v>739</v>
      </c>
      <c r="Q106" s="11" t="s">
        <v>132</v>
      </c>
      <c r="R106" s="12" t="s">
        <v>740</v>
      </c>
      <c r="S106" s="13">
        <f>228.6</f>
        <v>228.6</v>
      </c>
      <c r="T106" s="14">
        <f>30486</f>
        <v>30486</v>
      </c>
      <c r="U106" s="14">
        <v>2</v>
      </c>
      <c r="V106" s="14">
        <v>8372</v>
      </c>
      <c r="W106" s="14">
        <f>36039470500</f>
        <v>36039470500</v>
      </c>
      <c r="X106" s="14">
        <v>2227000</v>
      </c>
      <c r="Y106" s="14">
        <v>9992245500</v>
      </c>
      <c r="Z106" s="11"/>
      <c r="AA106" s="15">
        <f>2795</f>
        <v>2795</v>
      </c>
      <c r="AB106" s="15" t="str">
        <f t="shared" si="2"/>
        <v>－</v>
      </c>
      <c r="AC106" s="16">
        <f>43</f>
        <v>43</v>
      </c>
    </row>
    <row r="107" spans="1:29">
      <c r="A107" s="8" t="s">
        <v>46</v>
      </c>
      <c r="B107" s="9" t="s">
        <v>590</v>
      </c>
      <c r="C107" s="9" t="s">
        <v>591</v>
      </c>
      <c r="D107" s="9" t="s">
        <v>146</v>
      </c>
      <c r="E107" s="10" t="s">
        <v>516</v>
      </c>
      <c r="F107" s="10" t="s">
        <v>241</v>
      </c>
      <c r="G107" s="11" t="s">
        <v>698</v>
      </c>
      <c r="H107" s="12" t="s">
        <v>741</v>
      </c>
      <c r="I107" s="11" t="s">
        <v>729</v>
      </c>
      <c r="J107" s="12" t="s">
        <v>742</v>
      </c>
      <c r="K107" s="11"/>
      <c r="L107" s="12"/>
      <c r="M107" s="11" t="s">
        <v>189</v>
      </c>
      <c r="N107" s="12" t="s">
        <v>743</v>
      </c>
      <c r="O107" s="11"/>
      <c r="P107" s="12"/>
      <c r="Q107" s="11" t="s">
        <v>132</v>
      </c>
      <c r="R107" s="12" t="s">
        <v>744</v>
      </c>
      <c r="S107" s="13">
        <f>229.82</f>
        <v>229.82</v>
      </c>
      <c r="T107" s="14">
        <f>4066</f>
        <v>4066</v>
      </c>
      <c r="U107" s="14"/>
      <c r="V107" s="14">
        <v>1997</v>
      </c>
      <c r="W107" s="14">
        <f>4754549000</f>
        <v>4754549000</v>
      </c>
      <c r="X107" s="14"/>
      <c r="Y107" s="14">
        <v>2341889500</v>
      </c>
      <c r="Z107" s="11"/>
      <c r="AA107" s="15">
        <f>1295</f>
        <v>1295</v>
      </c>
      <c r="AB107" s="15" t="str">
        <f t="shared" si="2"/>
        <v>－</v>
      </c>
      <c r="AC107" s="16">
        <f>27</f>
        <v>27</v>
      </c>
    </row>
    <row r="108" spans="1:29">
      <c r="A108" s="8" t="s">
        <v>46</v>
      </c>
      <c r="B108" s="9" t="s">
        <v>590</v>
      </c>
      <c r="C108" s="9" t="s">
        <v>591</v>
      </c>
      <c r="D108" s="9" t="s">
        <v>745</v>
      </c>
      <c r="E108" s="10" t="s">
        <v>516</v>
      </c>
      <c r="F108" s="10" t="s">
        <v>746</v>
      </c>
      <c r="G108" s="11" t="s">
        <v>531</v>
      </c>
      <c r="H108" s="12" t="s">
        <v>747</v>
      </c>
      <c r="I108" s="11" t="s">
        <v>698</v>
      </c>
      <c r="J108" s="12" t="s">
        <v>748</v>
      </c>
      <c r="K108" s="11" t="s">
        <v>238</v>
      </c>
      <c r="L108" s="12" t="s">
        <v>749</v>
      </c>
      <c r="M108" s="11" t="s">
        <v>531</v>
      </c>
      <c r="N108" s="12" t="s">
        <v>747</v>
      </c>
      <c r="O108" s="11" t="s">
        <v>238</v>
      </c>
      <c r="P108" s="12" t="s">
        <v>749</v>
      </c>
      <c r="Q108" s="11" t="s">
        <v>187</v>
      </c>
      <c r="R108" s="12" t="s">
        <v>750</v>
      </c>
      <c r="S108" s="13">
        <f>230.32</f>
        <v>230.32</v>
      </c>
      <c r="T108" s="14">
        <f>67</f>
        <v>67</v>
      </c>
      <c r="U108" s="14">
        <v>1</v>
      </c>
      <c r="V108" s="14">
        <v>46</v>
      </c>
      <c r="W108" s="14">
        <f>79228000</f>
        <v>79228000</v>
      </c>
      <c r="X108" s="14">
        <v>1120000</v>
      </c>
      <c r="Y108" s="14">
        <v>55153500</v>
      </c>
      <c r="Z108" s="11"/>
      <c r="AA108" s="15">
        <f>12</f>
        <v>12</v>
      </c>
      <c r="AB108" s="15" t="str">
        <f t="shared" si="2"/>
        <v>－</v>
      </c>
      <c r="AC108" s="16">
        <f>24</f>
        <v>24</v>
      </c>
    </row>
    <row r="109" spans="1:29">
      <c r="A109" s="8" t="s">
        <v>46</v>
      </c>
      <c r="B109" s="9" t="s">
        <v>590</v>
      </c>
      <c r="C109" s="9" t="s">
        <v>591</v>
      </c>
      <c r="D109" s="9" t="s">
        <v>158</v>
      </c>
      <c r="E109" s="10" t="s">
        <v>516</v>
      </c>
      <c r="F109" s="10" t="s">
        <v>244</v>
      </c>
      <c r="G109" s="11" t="s">
        <v>297</v>
      </c>
      <c r="H109" s="12" t="s">
        <v>751</v>
      </c>
      <c r="I109" s="11" t="s">
        <v>698</v>
      </c>
      <c r="J109" s="12" t="s">
        <v>752</v>
      </c>
      <c r="K109" s="11" t="s">
        <v>238</v>
      </c>
      <c r="L109" s="12" t="s">
        <v>718</v>
      </c>
      <c r="M109" s="11" t="s">
        <v>297</v>
      </c>
      <c r="N109" s="12" t="s">
        <v>751</v>
      </c>
      <c r="O109" s="11" t="s">
        <v>238</v>
      </c>
      <c r="P109" s="12" t="s">
        <v>718</v>
      </c>
      <c r="Q109" s="11" t="s">
        <v>185</v>
      </c>
      <c r="R109" s="12" t="s">
        <v>753</v>
      </c>
      <c r="S109" s="13">
        <f>231.74</f>
        <v>231.74</v>
      </c>
      <c r="T109" s="14">
        <f>402</f>
        <v>402</v>
      </c>
      <c r="U109" s="14">
        <v>4</v>
      </c>
      <c r="V109" s="14">
        <v>53</v>
      </c>
      <c r="W109" s="14">
        <f>439063000</f>
        <v>439063000</v>
      </c>
      <c r="X109" s="14">
        <v>4500000</v>
      </c>
      <c r="Y109" s="14">
        <v>63437000</v>
      </c>
      <c r="Z109" s="11"/>
      <c r="AA109" s="15">
        <f>40</f>
        <v>40</v>
      </c>
      <c r="AB109" s="15" t="str">
        <f t="shared" si="2"/>
        <v>－</v>
      </c>
      <c r="AC109" s="16">
        <f>44</f>
        <v>44</v>
      </c>
    </row>
    <row r="110" spans="1:29">
      <c r="A110" s="8" t="s">
        <v>46</v>
      </c>
      <c r="B110" s="9" t="s">
        <v>590</v>
      </c>
      <c r="C110" s="9" t="s">
        <v>591</v>
      </c>
      <c r="D110" s="9" t="s">
        <v>754</v>
      </c>
      <c r="E110" s="10" t="s">
        <v>755</v>
      </c>
      <c r="F110" s="10" t="s">
        <v>756</v>
      </c>
      <c r="G110" s="11" t="s">
        <v>531</v>
      </c>
      <c r="H110" s="12" t="s">
        <v>757</v>
      </c>
      <c r="I110" s="11" t="s">
        <v>729</v>
      </c>
      <c r="J110" s="12" t="s">
        <v>758</v>
      </c>
      <c r="K110" s="11" t="s">
        <v>238</v>
      </c>
      <c r="L110" s="12" t="s">
        <v>759</v>
      </c>
      <c r="M110" s="11" t="s">
        <v>531</v>
      </c>
      <c r="N110" s="12" t="s">
        <v>760</v>
      </c>
      <c r="O110" s="11" t="s">
        <v>238</v>
      </c>
      <c r="P110" s="12" t="s">
        <v>759</v>
      </c>
      <c r="Q110" s="11" t="s">
        <v>228</v>
      </c>
      <c r="R110" s="12" t="s">
        <v>609</v>
      </c>
      <c r="S110" s="13">
        <f>234.4</f>
        <v>234.4</v>
      </c>
      <c r="T110" s="14">
        <f>726</f>
        <v>726</v>
      </c>
      <c r="U110" s="14">
        <v>6</v>
      </c>
      <c r="V110" s="14">
        <v>34</v>
      </c>
      <c r="W110" s="14">
        <f>840641500</f>
        <v>840641500</v>
      </c>
      <c r="X110" s="14">
        <v>6831000</v>
      </c>
      <c r="Y110" s="14">
        <v>41127000</v>
      </c>
      <c r="Z110" s="11"/>
      <c r="AA110" s="15">
        <f>87</f>
        <v>87</v>
      </c>
      <c r="AB110" s="15" t="str">
        <f t="shared" si="2"/>
        <v>－</v>
      </c>
      <c r="AC110" s="16">
        <f>52</f>
        <v>52</v>
      </c>
    </row>
    <row r="111" spans="1:29">
      <c r="A111" s="8" t="s">
        <v>46</v>
      </c>
      <c r="B111" s="9" t="s">
        <v>590</v>
      </c>
      <c r="C111" s="9" t="s">
        <v>591</v>
      </c>
      <c r="D111" s="9" t="s">
        <v>169</v>
      </c>
      <c r="E111" s="10" t="s">
        <v>99</v>
      </c>
      <c r="F111" s="10" t="s">
        <v>252</v>
      </c>
      <c r="G111" s="11" t="s">
        <v>107</v>
      </c>
      <c r="H111" s="12" t="s">
        <v>761</v>
      </c>
      <c r="I111" s="11" t="s">
        <v>729</v>
      </c>
      <c r="J111" s="12" t="s">
        <v>762</v>
      </c>
      <c r="K111" s="11" t="s">
        <v>546</v>
      </c>
      <c r="L111" s="12" t="s">
        <v>763</v>
      </c>
      <c r="M111" s="11" t="s">
        <v>546</v>
      </c>
      <c r="N111" s="12" t="s">
        <v>764</v>
      </c>
      <c r="O111" s="11" t="s">
        <v>238</v>
      </c>
      <c r="P111" s="12" t="s">
        <v>765</v>
      </c>
      <c r="Q111" s="11" t="s">
        <v>400</v>
      </c>
      <c r="R111" s="12" t="s">
        <v>766</v>
      </c>
      <c r="S111" s="13">
        <f>239.09</f>
        <v>239.09</v>
      </c>
      <c r="T111" s="14">
        <f>459</f>
        <v>459</v>
      </c>
      <c r="U111" s="14">
        <v>5</v>
      </c>
      <c r="V111" s="14">
        <v>19</v>
      </c>
      <c r="W111" s="14">
        <f>549744500</f>
        <v>549744500</v>
      </c>
      <c r="X111" s="14">
        <v>5746500</v>
      </c>
      <c r="Y111" s="14">
        <v>23447000</v>
      </c>
      <c r="Z111" s="11"/>
      <c r="AA111" s="15">
        <f>55</f>
        <v>55</v>
      </c>
      <c r="AB111" s="15" t="str">
        <f t="shared" ref="AB111:AB142" si="3">"－"</f>
        <v>－</v>
      </c>
      <c r="AC111" s="16">
        <f>37</f>
        <v>37</v>
      </c>
    </row>
    <row r="112" spans="1:29">
      <c r="A112" s="8" t="s">
        <v>46</v>
      </c>
      <c r="B112" s="9" t="s">
        <v>590</v>
      </c>
      <c r="C112" s="9" t="s">
        <v>591</v>
      </c>
      <c r="D112" s="9" t="s">
        <v>767</v>
      </c>
      <c r="E112" s="10" t="s">
        <v>768</v>
      </c>
      <c r="F112" s="10" t="s">
        <v>769</v>
      </c>
      <c r="G112" s="11" t="s">
        <v>729</v>
      </c>
      <c r="H112" s="12" t="s">
        <v>770</v>
      </c>
      <c r="I112" s="11" t="s">
        <v>729</v>
      </c>
      <c r="J112" s="12" t="s">
        <v>771</v>
      </c>
      <c r="K112" s="11"/>
      <c r="L112" s="12"/>
      <c r="M112" s="11" t="s">
        <v>565</v>
      </c>
      <c r="N112" s="12" t="s">
        <v>772</v>
      </c>
      <c r="O112" s="11"/>
      <c r="P112" s="12"/>
      <c r="Q112" s="11" t="s">
        <v>132</v>
      </c>
      <c r="R112" s="12" t="s">
        <v>773</v>
      </c>
      <c r="S112" s="13">
        <f>242.32</f>
        <v>242.32</v>
      </c>
      <c r="T112" s="14">
        <f>223</f>
        <v>223</v>
      </c>
      <c r="U112" s="14"/>
      <c r="V112" s="14">
        <v>18</v>
      </c>
      <c r="W112" s="14">
        <f>271276000</f>
        <v>271276000</v>
      </c>
      <c r="X112" s="14"/>
      <c r="Y112" s="14">
        <v>21952000</v>
      </c>
      <c r="Z112" s="11"/>
      <c r="AA112" s="15">
        <f>24</f>
        <v>24</v>
      </c>
      <c r="AB112" s="15" t="str">
        <f t="shared" si="3"/>
        <v>－</v>
      </c>
      <c r="AC112" s="16">
        <f>26</f>
        <v>26</v>
      </c>
    </row>
    <row r="113" spans="1:29">
      <c r="A113" s="8" t="s">
        <v>46</v>
      </c>
      <c r="B113" s="9" t="s">
        <v>590</v>
      </c>
      <c r="C113" s="9" t="s">
        <v>591</v>
      </c>
      <c r="D113" s="9" t="s">
        <v>182</v>
      </c>
      <c r="E113" s="10" t="s">
        <v>111</v>
      </c>
      <c r="F113" s="10" t="s">
        <v>256</v>
      </c>
      <c r="G113" s="11" t="s">
        <v>189</v>
      </c>
      <c r="H113" s="12" t="s">
        <v>774</v>
      </c>
      <c r="I113" s="11" t="s">
        <v>187</v>
      </c>
      <c r="J113" s="12" t="s">
        <v>605</v>
      </c>
      <c r="K113" s="11"/>
      <c r="L113" s="12"/>
      <c r="M113" s="11" t="s">
        <v>189</v>
      </c>
      <c r="N113" s="12" t="s">
        <v>774</v>
      </c>
      <c r="O113" s="11"/>
      <c r="P113" s="12"/>
      <c r="Q113" s="11" t="s">
        <v>132</v>
      </c>
      <c r="R113" s="12" t="s">
        <v>775</v>
      </c>
      <c r="S113" s="13">
        <f>241.27</f>
        <v>241.27</v>
      </c>
      <c r="T113" s="14">
        <f>13</f>
        <v>13</v>
      </c>
      <c r="U113" s="14"/>
      <c r="V113" s="14"/>
      <c r="W113" s="14">
        <f>15972000</f>
        <v>15972000</v>
      </c>
      <c r="X113" s="14"/>
      <c r="Y113" s="14"/>
      <c r="Z113" s="11"/>
      <c r="AA113" s="15">
        <f>6</f>
        <v>6</v>
      </c>
      <c r="AB113" s="15" t="str">
        <f t="shared" si="3"/>
        <v>－</v>
      </c>
      <c r="AC113" s="16">
        <f>4</f>
        <v>4</v>
      </c>
    </row>
    <row r="114" spans="1:29">
      <c r="A114" s="8" t="s">
        <v>46</v>
      </c>
      <c r="B114" s="9" t="s">
        <v>776</v>
      </c>
      <c r="C114" s="9" t="s">
        <v>777</v>
      </c>
      <c r="D114" s="9" t="s">
        <v>49</v>
      </c>
      <c r="E114" s="10" t="s">
        <v>778</v>
      </c>
      <c r="F114" s="10" t="s">
        <v>779</v>
      </c>
      <c r="G114" s="11"/>
      <c r="H114" s="12" t="s">
        <v>260</v>
      </c>
      <c r="I114" s="11"/>
      <c r="J114" s="12" t="s">
        <v>260</v>
      </c>
      <c r="K114" s="11"/>
      <c r="L114" s="12"/>
      <c r="M114" s="11"/>
      <c r="N114" s="12" t="s">
        <v>260</v>
      </c>
      <c r="O114" s="11"/>
      <c r="P114" s="12"/>
      <c r="Q114" s="11"/>
      <c r="R114" s="12" t="s">
        <v>260</v>
      </c>
      <c r="S114" s="13">
        <f>165.11</f>
        <v>165.11</v>
      </c>
      <c r="T114" s="14" t="str">
        <f>"－"</f>
        <v>－</v>
      </c>
      <c r="U114" s="14"/>
      <c r="V114" s="14"/>
      <c r="W114" s="14" t="str">
        <f>"－"</f>
        <v>－</v>
      </c>
      <c r="X114" s="14"/>
      <c r="Y114" s="14"/>
      <c r="Z114" s="11" t="s">
        <v>60</v>
      </c>
      <c r="AA114" s="15" t="str">
        <f t="shared" ref="AA114:AA136" si="4">"－"</f>
        <v>－</v>
      </c>
      <c r="AB114" s="15" t="str">
        <f t="shared" si="3"/>
        <v>－</v>
      </c>
      <c r="AC114" s="16" t="str">
        <f>"－"</f>
        <v>－</v>
      </c>
    </row>
    <row r="115" spans="1:29">
      <c r="A115" s="8" t="s">
        <v>46</v>
      </c>
      <c r="B115" s="9" t="s">
        <v>776</v>
      </c>
      <c r="C115" s="9" t="s">
        <v>777</v>
      </c>
      <c r="D115" s="9" t="s">
        <v>612</v>
      </c>
      <c r="E115" s="10" t="s">
        <v>780</v>
      </c>
      <c r="F115" s="10" t="s">
        <v>781</v>
      </c>
      <c r="G115" s="11"/>
      <c r="H115" s="12" t="s">
        <v>260</v>
      </c>
      <c r="I115" s="11"/>
      <c r="J115" s="12" t="s">
        <v>260</v>
      </c>
      <c r="K115" s="11"/>
      <c r="L115" s="12"/>
      <c r="M115" s="11"/>
      <c r="N115" s="12" t="s">
        <v>260</v>
      </c>
      <c r="O115" s="11"/>
      <c r="P115" s="12"/>
      <c r="Q115" s="11"/>
      <c r="R115" s="12" t="s">
        <v>260</v>
      </c>
      <c r="S115" s="13">
        <f>170.3</f>
        <v>170.3</v>
      </c>
      <c r="T115" s="14" t="str">
        <f>"－"</f>
        <v>－</v>
      </c>
      <c r="U115" s="14"/>
      <c r="V115" s="14"/>
      <c r="W115" s="14" t="str">
        <f>"－"</f>
        <v>－</v>
      </c>
      <c r="X115" s="14"/>
      <c r="Y115" s="14"/>
      <c r="Z115" s="11" t="s">
        <v>60</v>
      </c>
      <c r="AA115" s="15" t="str">
        <f t="shared" si="4"/>
        <v>－</v>
      </c>
      <c r="AB115" s="15" t="str">
        <f t="shared" si="3"/>
        <v>－</v>
      </c>
      <c r="AC115" s="16" t="str">
        <f>"－"</f>
        <v>－</v>
      </c>
    </row>
    <row r="116" spans="1:29">
      <c r="A116" s="8" t="s">
        <v>46</v>
      </c>
      <c r="B116" s="9" t="s">
        <v>776</v>
      </c>
      <c r="C116" s="9" t="s">
        <v>777</v>
      </c>
      <c r="D116" s="9" t="s">
        <v>61</v>
      </c>
      <c r="E116" s="10" t="s">
        <v>782</v>
      </c>
      <c r="F116" s="10" t="s">
        <v>783</v>
      </c>
      <c r="G116" s="11"/>
      <c r="H116" s="12" t="s">
        <v>260</v>
      </c>
      <c r="I116" s="11"/>
      <c r="J116" s="12" t="s">
        <v>260</v>
      </c>
      <c r="K116" s="11"/>
      <c r="L116" s="12"/>
      <c r="M116" s="11"/>
      <c r="N116" s="12" t="s">
        <v>260</v>
      </c>
      <c r="O116" s="11"/>
      <c r="P116" s="12"/>
      <c r="Q116" s="11"/>
      <c r="R116" s="12" t="s">
        <v>260</v>
      </c>
      <c r="S116" s="13">
        <f>178.62</f>
        <v>178.62</v>
      </c>
      <c r="T116" s="14" t="str">
        <f>"－"</f>
        <v>－</v>
      </c>
      <c r="U116" s="14"/>
      <c r="V116" s="14"/>
      <c r="W116" s="14" t="str">
        <f>"－"</f>
        <v>－</v>
      </c>
      <c r="X116" s="14"/>
      <c r="Y116" s="14"/>
      <c r="Z116" s="11" t="s">
        <v>60</v>
      </c>
      <c r="AA116" s="15" t="str">
        <f t="shared" si="4"/>
        <v>－</v>
      </c>
      <c r="AB116" s="15" t="str">
        <f t="shared" si="3"/>
        <v>－</v>
      </c>
      <c r="AC116" s="16" t="str">
        <f>"－"</f>
        <v>－</v>
      </c>
    </row>
    <row r="117" spans="1:29">
      <c r="A117" s="8" t="s">
        <v>46</v>
      </c>
      <c r="B117" s="9" t="s">
        <v>776</v>
      </c>
      <c r="C117" s="9" t="s">
        <v>777</v>
      </c>
      <c r="D117" s="9" t="s">
        <v>633</v>
      </c>
      <c r="E117" s="10" t="s">
        <v>784</v>
      </c>
      <c r="F117" s="10" t="s">
        <v>785</v>
      </c>
      <c r="G117" s="11"/>
      <c r="H117" s="12" t="s">
        <v>260</v>
      </c>
      <c r="I117" s="11"/>
      <c r="J117" s="12" t="s">
        <v>260</v>
      </c>
      <c r="K117" s="11"/>
      <c r="L117" s="12"/>
      <c r="M117" s="11"/>
      <c r="N117" s="12" t="s">
        <v>260</v>
      </c>
      <c r="O117" s="11"/>
      <c r="P117" s="12"/>
      <c r="Q117" s="11"/>
      <c r="R117" s="12" t="s">
        <v>260</v>
      </c>
      <c r="S117" s="13">
        <f>179.72</f>
        <v>179.72</v>
      </c>
      <c r="T117" s="14" t="str">
        <f>"－"</f>
        <v>－</v>
      </c>
      <c r="U117" s="14"/>
      <c r="V117" s="14"/>
      <c r="W117" s="14" t="str">
        <f>"－"</f>
        <v>－</v>
      </c>
      <c r="X117" s="14"/>
      <c r="Y117" s="14"/>
      <c r="Z117" s="11" t="s">
        <v>60</v>
      </c>
      <c r="AA117" s="15" t="str">
        <f t="shared" si="4"/>
        <v>－</v>
      </c>
      <c r="AB117" s="15" t="str">
        <f t="shared" si="3"/>
        <v>－</v>
      </c>
      <c r="AC117" s="16" t="str">
        <f>"－"</f>
        <v>－</v>
      </c>
    </row>
    <row r="118" spans="1:29">
      <c r="A118" s="8" t="s">
        <v>46</v>
      </c>
      <c r="B118" s="9" t="s">
        <v>776</v>
      </c>
      <c r="C118" s="9" t="s">
        <v>777</v>
      </c>
      <c r="D118" s="9" t="s">
        <v>72</v>
      </c>
      <c r="E118" s="10" t="s">
        <v>786</v>
      </c>
      <c r="F118" s="10" t="s">
        <v>787</v>
      </c>
      <c r="G118" s="11" t="s">
        <v>788</v>
      </c>
      <c r="H118" s="12" t="s">
        <v>789</v>
      </c>
      <c r="I118" s="11" t="s">
        <v>788</v>
      </c>
      <c r="J118" s="12" t="s">
        <v>790</v>
      </c>
      <c r="K118" s="11"/>
      <c r="L118" s="12"/>
      <c r="M118" s="11" t="s">
        <v>788</v>
      </c>
      <c r="N118" s="12" t="s">
        <v>789</v>
      </c>
      <c r="O118" s="11"/>
      <c r="P118" s="12"/>
      <c r="Q118" s="11" t="s">
        <v>788</v>
      </c>
      <c r="R118" s="12" t="s">
        <v>790</v>
      </c>
      <c r="S118" s="13">
        <f>181.01</f>
        <v>181.01</v>
      </c>
      <c r="T118" s="14">
        <f>10</f>
        <v>10</v>
      </c>
      <c r="U118" s="14"/>
      <c r="V118" s="14"/>
      <c r="W118" s="14">
        <f>8640000</f>
        <v>8640000</v>
      </c>
      <c r="X118" s="14"/>
      <c r="Y118" s="14"/>
      <c r="Z118" s="11" t="s">
        <v>60</v>
      </c>
      <c r="AA118" s="15" t="str">
        <f t="shared" si="4"/>
        <v>－</v>
      </c>
      <c r="AB118" s="15" t="str">
        <f t="shared" si="3"/>
        <v>－</v>
      </c>
      <c r="AC118" s="16">
        <f>1</f>
        <v>1</v>
      </c>
    </row>
    <row r="119" spans="1:29">
      <c r="A119" s="8" t="s">
        <v>46</v>
      </c>
      <c r="B119" s="9" t="s">
        <v>776</v>
      </c>
      <c r="C119" s="9" t="s">
        <v>777</v>
      </c>
      <c r="D119" s="9" t="s">
        <v>651</v>
      </c>
      <c r="E119" s="10" t="s">
        <v>791</v>
      </c>
      <c r="F119" s="10" t="s">
        <v>792</v>
      </c>
      <c r="G119" s="11"/>
      <c r="H119" s="12" t="s">
        <v>260</v>
      </c>
      <c r="I119" s="11"/>
      <c r="J119" s="12" t="s">
        <v>260</v>
      </c>
      <c r="K119" s="11"/>
      <c r="L119" s="12"/>
      <c r="M119" s="11"/>
      <c r="N119" s="12" t="s">
        <v>260</v>
      </c>
      <c r="O119" s="11"/>
      <c r="P119" s="12"/>
      <c r="Q119" s="11"/>
      <c r="R119" s="12" t="s">
        <v>260</v>
      </c>
      <c r="S119" s="13">
        <f>181.43</f>
        <v>181.43</v>
      </c>
      <c r="T119" s="14" t="str">
        <f>"－"</f>
        <v>－</v>
      </c>
      <c r="U119" s="14"/>
      <c r="V119" s="14"/>
      <c r="W119" s="14" t="str">
        <f>"－"</f>
        <v>－</v>
      </c>
      <c r="X119" s="14"/>
      <c r="Y119" s="14"/>
      <c r="Z119" s="11" t="s">
        <v>60</v>
      </c>
      <c r="AA119" s="15" t="str">
        <f t="shared" si="4"/>
        <v>－</v>
      </c>
      <c r="AB119" s="15" t="str">
        <f t="shared" si="3"/>
        <v>－</v>
      </c>
      <c r="AC119" s="16" t="str">
        <f>"－"</f>
        <v>－</v>
      </c>
    </row>
    <row r="120" spans="1:29">
      <c r="A120" s="8" t="s">
        <v>46</v>
      </c>
      <c r="B120" s="9" t="s">
        <v>776</v>
      </c>
      <c r="C120" s="9" t="s">
        <v>777</v>
      </c>
      <c r="D120" s="9" t="s">
        <v>86</v>
      </c>
      <c r="E120" s="10" t="s">
        <v>793</v>
      </c>
      <c r="F120" s="10" t="s">
        <v>794</v>
      </c>
      <c r="G120" s="11" t="s">
        <v>795</v>
      </c>
      <c r="H120" s="12" t="s">
        <v>796</v>
      </c>
      <c r="I120" s="11" t="s">
        <v>795</v>
      </c>
      <c r="J120" s="12" t="s">
        <v>796</v>
      </c>
      <c r="K120" s="11" t="s">
        <v>797</v>
      </c>
      <c r="L120" s="12" t="s">
        <v>798</v>
      </c>
      <c r="M120" s="11" t="s">
        <v>797</v>
      </c>
      <c r="N120" s="12" t="s">
        <v>799</v>
      </c>
      <c r="O120" s="11" t="s">
        <v>797</v>
      </c>
      <c r="P120" s="12" t="s">
        <v>798</v>
      </c>
      <c r="Q120" s="11" t="s">
        <v>797</v>
      </c>
      <c r="R120" s="12" t="s">
        <v>799</v>
      </c>
      <c r="S120" s="13">
        <f>183.39</f>
        <v>183.39</v>
      </c>
      <c r="T120" s="14">
        <f>18</f>
        <v>18</v>
      </c>
      <c r="U120" s="14">
        <v>4</v>
      </c>
      <c r="V120" s="14"/>
      <c r="W120" s="14">
        <f>15879500</f>
        <v>15879500</v>
      </c>
      <c r="X120" s="14">
        <v>3514000</v>
      </c>
      <c r="Y120" s="14"/>
      <c r="Z120" s="11" t="s">
        <v>60</v>
      </c>
      <c r="AA120" s="15" t="str">
        <f t="shared" si="4"/>
        <v>－</v>
      </c>
      <c r="AB120" s="15" t="str">
        <f t="shared" si="3"/>
        <v>－</v>
      </c>
      <c r="AC120" s="16">
        <f>3</f>
        <v>3</v>
      </c>
    </row>
    <row r="121" spans="1:29">
      <c r="A121" s="8" t="s">
        <v>46</v>
      </c>
      <c r="B121" s="9" t="s">
        <v>776</v>
      </c>
      <c r="C121" s="9" t="s">
        <v>777</v>
      </c>
      <c r="D121" s="9" t="s">
        <v>669</v>
      </c>
      <c r="E121" s="10" t="s">
        <v>800</v>
      </c>
      <c r="F121" s="10" t="s">
        <v>801</v>
      </c>
      <c r="G121" s="11"/>
      <c r="H121" s="12" t="s">
        <v>260</v>
      </c>
      <c r="I121" s="11"/>
      <c r="J121" s="12" t="s">
        <v>260</v>
      </c>
      <c r="K121" s="11"/>
      <c r="L121" s="12"/>
      <c r="M121" s="11"/>
      <c r="N121" s="12" t="s">
        <v>260</v>
      </c>
      <c r="O121" s="11"/>
      <c r="P121" s="12"/>
      <c r="Q121" s="11"/>
      <c r="R121" s="12" t="s">
        <v>260</v>
      </c>
      <c r="S121" s="13">
        <f>185.67</f>
        <v>185.67</v>
      </c>
      <c r="T121" s="14" t="str">
        <f>"－"</f>
        <v>－</v>
      </c>
      <c r="U121" s="14"/>
      <c r="V121" s="14"/>
      <c r="W121" s="14" t="str">
        <f>"－"</f>
        <v>－</v>
      </c>
      <c r="X121" s="14"/>
      <c r="Y121" s="14"/>
      <c r="Z121" s="11" t="s">
        <v>60</v>
      </c>
      <c r="AA121" s="15" t="str">
        <f t="shared" si="4"/>
        <v>－</v>
      </c>
      <c r="AB121" s="15" t="str">
        <f t="shared" si="3"/>
        <v>－</v>
      </c>
      <c r="AC121" s="16" t="str">
        <f>"－"</f>
        <v>－</v>
      </c>
    </row>
    <row r="122" spans="1:29">
      <c r="A122" s="8" t="s">
        <v>46</v>
      </c>
      <c r="B122" s="9" t="s">
        <v>776</v>
      </c>
      <c r="C122" s="9" t="s">
        <v>777</v>
      </c>
      <c r="D122" s="9" t="s">
        <v>97</v>
      </c>
      <c r="E122" s="10" t="s">
        <v>802</v>
      </c>
      <c r="F122" s="10" t="s">
        <v>803</v>
      </c>
      <c r="G122" s="11"/>
      <c r="H122" s="12" t="s">
        <v>260</v>
      </c>
      <c r="I122" s="11"/>
      <c r="J122" s="12" t="s">
        <v>260</v>
      </c>
      <c r="K122" s="11"/>
      <c r="L122" s="12"/>
      <c r="M122" s="11"/>
      <c r="N122" s="12" t="s">
        <v>260</v>
      </c>
      <c r="O122" s="11"/>
      <c r="P122" s="12"/>
      <c r="Q122" s="11"/>
      <c r="R122" s="12" t="s">
        <v>260</v>
      </c>
      <c r="S122" s="13">
        <f>183.21</f>
        <v>183.21</v>
      </c>
      <c r="T122" s="14" t="str">
        <f>"－"</f>
        <v>－</v>
      </c>
      <c r="U122" s="14"/>
      <c r="V122" s="14"/>
      <c r="W122" s="14" t="str">
        <f>"－"</f>
        <v>－</v>
      </c>
      <c r="X122" s="14"/>
      <c r="Y122" s="14"/>
      <c r="Z122" s="11" t="s">
        <v>60</v>
      </c>
      <c r="AA122" s="15" t="str">
        <f t="shared" si="4"/>
        <v>－</v>
      </c>
      <c r="AB122" s="15" t="str">
        <f t="shared" si="3"/>
        <v>－</v>
      </c>
      <c r="AC122" s="16" t="str">
        <f>"－"</f>
        <v>－</v>
      </c>
    </row>
    <row r="123" spans="1:29">
      <c r="A123" s="8" t="s">
        <v>46</v>
      </c>
      <c r="B123" s="9" t="s">
        <v>776</v>
      </c>
      <c r="C123" s="9" t="s">
        <v>777</v>
      </c>
      <c r="D123" s="9" t="s">
        <v>524</v>
      </c>
      <c r="E123" s="10" t="s">
        <v>804</v>
      </c>
      <c r="F123" s="10" t="s">
        <v>805</v>
      </c>
      <c r="G123" s="11" t="s">
        <v>477</v>
      </c>
      <c r="H123" s="12" t="s">
        <v>806</v>
      </c>
      <c r="I123" s="11" t="s">
        <v>807</v>
      </c>
      <c r="J123" s="12" t="s">
        <v>808</v>
      </c>
      <c r="K123" s="11" t="s">
        <v>571</v>
      </c>
      <c r="L123" s="12" t="s">
        <v>809</v>
      </c>
      <c r="M123" s="11" t="s">
        <v>161</v>
      </c>
      <c r="N123" s="12" t="s">
        <v>810</v>
      </c>
      <c r="O123" s="11" t="s">
        <v>571</v>
      </c>
      <c r="P123" s="12" t="s">
        <v>809</v>
      </c>
      <c r="Q123" s="11" t="s">
        <v>161</v>
      </c>
      <c r="R123" s="12" t="s">
        <v>810</v>
      </c>
      <c r="S123" s="13">
        <f>185.21</f>
        <v>185.21</v>
      </c>
      <c r="T123" s="14">
        <f>24</f>
        <v>24</v>
      </c>
      <c r="U123" s="14">
        <v>3</v>
      </c>
      <c r="V123" s="14"/>
      <c r="W123" s="14">
        <f>22827000</f>
        <v>22827000</v>
      </c>
      <c r="X123" s="14">
        <v>2970000</v>
      </c>
      <c r="Y123" s="14"/>
      <c r="Z123" s="11" t="s">
        <v>60</v>
      </c>
      <c r="AA123" s="15" t="str">
        <f t="shared" si="4"/>
        <v>－</v>
      </c>
      <c r="AB123" s="15" t="str">
        <f t="shared" si="3"/>
        <v>－</v>
      </c>
      <c r="AC123" s="16">
        <f>4</f>
        <v>4</v>
      </c>
    </row>
    <row r="124" spans="1:29">
      <c r="A124" s="8" t="s">
        <v>46</v>
      </c>
      <c r="B124" s="9" t="s">
        <v>776</v>
      </c>
      <c r="C124" s="9" t="s">
        <v>777</v>
      </c>
      <c r="D124" s="9" t="s">
        <v>109</v>
      </c>
      <c r="E124" s="10" t="s">
        <v>811</v>
      </c>
      <c r="F124" s="10" t="s">
        <v>812</v>
      </c>
      <c r="G124" s="11" t="s">
        <v>813</v>
      </c>
      <c r="H124" s="12" t="s">
        <v>814</v>
      </c>
      <c r="I124" s="11" t="s">
        <v>807</v>
      </c>
      <c r="J124" s="12" t="s">
        <v>713</v>
      </c>
      <c r="K124" s="11" t="s">
        <v>161</v>
      </c>
      <c r="L124" s="12" t="s">
        <v>815</v>
      </c>
      <c r="M124" s="11" t="s">
        <v>531</v>
      </c>
      <c r="N124" s="12" t="s">
        <v>816</v>
      </c>
      <c r="O124" s="11" t="s">
        <v>817</v>
      </c>
      <c r="P124" s="12" t="s">
        <v>818</v>
      </c>
      <c r="Q124" s="11" t="s">
        <v>247</v>
      </c>
      <c r="R124" s="12" t="s">
        <v>819</v>
      </c>
      <c r="S124" s="13">
        <f>186.49</f>
        <v>186.49</v>
      </c>
      <c r="T124" s="14">
        <f>51</f>
        <v>51</v>
      </c>
      <c r="U124" s="14">
        <v>6</v>
      </c>
      <c r="V124" s="14"/>
      <c r="W124" s="14">
        <f>47198500</f>
        <v>47198500</v>
      </c>
      <c r="X124" s="14">
        <v>5430000</v>
      </c>
      <c r="Y124" s="14"/>
      <c r="Z124" s="11" t="s">
        <v>60</v>
      </c>
      <c r="AA124" s="15" t="str">
        <f t="shared" si="4"/>
        <v>－</v>
      </c>
      <c r="AB124" s="15" t="str">
        <f t="shared" si="3"/>
        <v>－</v>
      </c>
      <c r="AC124" s="16">
        <f>10</f>
        <v>10</v>
      </c>
    </row>
    <row r="125" spans="1:29">
      <c r="A125" s="8" t="s">
        <v>46</v>
      </c>
      <c r="B125" s="9" t="s">
        <v>776</v>
      </c>
      <c r="C125" s="9" t="s">
        <v>777</v>
      </c>
      <c r="D125" s="9" t="s">
        <v>544</v>
      </c>
      <c r="E125" s="10" t="s">
        <v>820</v>
      </c>
      <c r="F125" s="10" t="s">
        <v>821</v>
      </c>
      <c r="G125" s="11" t="s">
        <v>822</v>
      </c>
      <c r="H125" s="12" t="s">
        <v>823</v>
      </c>
      <c r="I125" s="11" t="s">
        <v>528</v>
      </c>
      <c r="J125" s="12" t="s">
        <v>824</v>
      </c>
      <c r="K125" s="11" t="s">
        <v>822</v>
      </c>
      <c r="L125" s="12" t="s">
        <v>825</v>
      </c>
      <c r="M125" s="11" t="s">
        <v>822</v>
      </c>
      <c r="N125" s="12" t="s">
        <v>826</v>
      </c>
      <c r="O125" s="11" t="s">
        <v>822</v>
      </c>
      <c r="P125" s="12" t="s">
        <v>825</v>
      </c>
      <c r="Q125" s="11" t="s">
        <v>827</v>
      </c>
      <c r="R125" s="12" t="s">
        <v>828</v>
      </c>
      <c r="S125" s="13">
        <f>189.45</f>
        <v>189.45</v>
      </c>
      <c r="T125" s="14">
        <f>38</f>
        <v>38</v>
      </c>
      <c r="U125" s="14">
        <v>4</v>
      </c>
      <c r="V125" s="14"/>
      <c r="W125" s="14">
        <f>38012500</f>
        <v>38012500</v>
      </c>
      <c r="X125" s="14">
        <v>3918000</v>
      </c>
      <c r="Y125" s="14"/>
      <c r="Z125" s="11" t="s">
        <v>60</v>
      </c>
      <c r="AA125" s="15" t="str">
        <f t="shared" si="4"/>
        <v>－</v>
      </c>
      <c r="AB125" s="15" t="str">
        <f t="shared" si="3"/>
        <v>－</v>
      </c>
      <c r="AC125" s="16">
        <f>3</f>
        <v>3</v>
      </c>
    </row>
    <row r="126" spans="1:29">
      <c r="A126" s="8" t="s">
        <v>46</v>
      </c>
      <c r="B126" s="9" t="s">
        <v>776</v>
      </c>
      <c r="C126" s="9" t="s">
        <v>777</v>
      </c>
      <c r="D126" s="9" t="s">
        <v>122</v>
      </c>
      <c r="E126" s="10" t="s">
        <v>829</v>
      </c>
      <c r="F126" s="10" t="s">
        <v>830</v>
      </c>
      <c r="G126" s="11" t="s">
        <v>831</v>
      </c>
      <c r="H126" s="12" t="s">
        <v>832</v>
      </c>
      <c r="I126" s="11" t="s">
        <v>175</v>
      </c>
      <c r="J126" s="12" t="s">
        <v>833</v>
      </c>
      <c r="K126" s="11"/>
      <c r="L126" s="12"/>
      <c r="M126" s="11" t="s">
        <v>507</v>
      </c>
      <c r="N126" s="12" t="s">
        <v>834</v>
      </c>
      <c r="O126" s="11"/>
      <c r="P126" s="12"/>
      <c r="Q126" s="11" t="s">
        <v>175</v>
      </c>
      <c r="R126" s="12" t="s">
        <v>833</v>
      </c>
      <c r="S126" s="13">
        <f>191.42</f>
        <v>191.42</v>
      </c>
      <c r="T126" s="14">
        <f>133</f>
        <v>133</v>
      </c>
      <c r="U126" s="14"/>
      <c r="V126" s="14"/>
      <c r="W126" s="14">
        <f>130733000</f>
        <v>130733000</v>
      </c>
      <c r="X126" s="14"/>
      <c r="Y126" s="14"/>
      <c r="Z126" s="11"/>
      <c r="AA126" s="15" t="str">
        <f t="shared" si="4"/>
        <v>－</v>
      </c>
      <c r="AB126" s="15" t="str">
        <f t="shared" si="3"/>
        <v>－</v>
      </c>
      <c r="AC126" s="16">
        <f>8</f>
        <v>8</v>
      </c>
    </row>
    <row r="127" spans="1:29">
      <c r="A127" s="8" t="s">
        <v>46</v>
      </c>
      <c r="B127" s="9" t="s">
        <v>776</v>
      </c>
      <c r="C127" s="9" t="s">
        <v>777</v>
      </c>
      <c r="D127" s="9" t="s">
        <v>557</v>
      </c>
      <c r="E127" s="10" t="s">
        <v>835</v>
      </c>
      <c r="F127" s="10" t="s">
        <v>836</v>
      </c>
      <c r="G127" s="11" t="s">
        <v>507</v>
      </c>
      <c r="H127" s="12" t="s">
        <v>704</v>
      </c>
      <c r="I127" s="11" t="s">
        <v>729</v>
      </c>
      <c r="J127" s="12" t="s">
        <v>837</v>
      </c>
      <c r="K127" s="11"/>
      <c r="L127" s="12"/>
      <c r="M127" s="11" t="s">
        <v>546</v>
      </c>
      <c r="N127" s="12" t="s">
        <v>832</v>
      </c>
      <c r="O127" s="11"/>
      <c r="P127" s="12"/>
      <c r="Q127" s="11" t="s">
        <v>554</v>
      </c>
      <c r="R127" s="12" t="s">
        <v>838</v>
      </c>
      <c r="S127" s="13">
        <f>192.2</f>
        <v>192.2</v>
      </c>
      <c r="T127" s="14">
        <f>79</f>
        <v>79</v>
      </c>
      <c r="U127" s="14"/>
      <c r="V127" s="14"/>
      <c r="W127" s="14">
        <f>78068000</f>
        <v>78068000</v>
      </c>
      <c r="X127" s="14"/>
      <c r="Y127" s="14"/>
      <c r="Z127" s="11"/>
      <c r="AA127" s="15" t="str">
        <f t="shared" si="4"/>
        <v>－</v>
      </c>
      <c r="AB127" s="15" t="str">
        <f t="shared" si="3"/>
        <v>－</v>
      </c>
      <c r="AC127" s="16">
        <f>9</f>
        <v>9</v>
      </c>
    </row>
    <row r="128" spans="1:29">
      <c r="A128" s="8" t="s">
        <v>46</v>
      </c>
      <c r="B128" s="9" t="s">
        <v>776</v>
      </c>
      <c r="C128" s="9" t="s">
        <v>777</v>
      </c>
      <c r="D128" s="9" t="s">
        <v>134</v>
      </c>
      <c r="E128" s="10" t="s">
        <v>516</v>
      </c>
      <c r="F128" s="10" t="s">
        <v>839</v>
      </c>
      <c r="G128" s="11" t="s">
        <v>225</v>
      </c>
      <c r="H128" s="12" t="s">
        <v>840</v>
      </c>
      <c r="I128" s="11" t="s">
        <v>225</v>
      </c>
      <c r="J128" s="12" t="s">
        <v>840</v>
      </c>
      <c r="K128" s="11"/>
      <c r="L128" s="12"/>
      <c r="M128" s="11" t="s">
        <v>488</v>
      </c>
      <c r="N128" s="12" t="s">
        <v>841</v>
      </c>
      <c r="O128" s="11"/>
      <c r="P128" s="12"/>
      <c r="Q128" s="11" t="s">
        <v>488</v>
      </c>
      <c r="R128" s="12" t="s">
        <v>842</v>
      </c>
      <c r="S128" s="13">
        <f>195.07</f>
        <v>195.07</v>
      </c>
      <c r="T128" s="14">
        <f>12</f>
        <v>12</v>
      </c>
      <c r="U128" s="14"/>
      <c r="V128" s="14"/>
      <c r="W128" s="14">
        <f>11652000</f>
        <v>11652000</v>
      </c>
      <c r="X128" s="14"/>
      <c r="Y128" s="14"/>
      <c r="Z128" s="11"/>
      <c r="AA128" s="15" t="str">
        <f t="shared" si="4"/>
        <v>－</v>
      </c>
      <c r="AB128" s="15" t="str">
        <f t="shared" si="3"/>
        <v>－</v>
      </c>
      <c r="AC128" s="16">
        <f>2</f>
        <v>2</v>
      </c>
    </row>
    <row r="129" spans="1:29">
      <c r="A129" s="8" t="s">
        <v>46</v>
      </c>
      <c r="B129" s="9" t="s">
        <v>776</v>
      </c>
      <c r="C129" s="9" t="s">
        <v>777</v>
      </c>
      <c r="D129" s="9" t="s">
        <v>577</v>
      </c>
      <c r="E129" s="10" t="s">
        <v>516</v>
      </c>
      <c r="F129" s="10" t="s">
        <v>843</v>
      </c>
      <c r="G129" s="11"/>
      <c r="H129" s="12" t="s">
        <v>260</v>
      </c>
      <c r="I129" s="11"/>
      <c r="J129" s="12" t="s">
        <v>260</v>
      </c>
      <c r="K129" s="11"/>
      <c r="L129" s="12"/>
      <c r="M129" s="11"/>
      <c r="N129" s="12" t="s">
        <v>260</v>
      </c>
      <c r="O129" s="11"/>
      <c r="P129" s="12"/>
      <c r="Q129" s="11"/>
      <c r="R129" s="12" t="s">
        <v>260</v>
      </c>
      <c r="S129" s="13">
        <f>195.97</f>
        <v>195.97</v>
      </c>
      <c r="T129" s="14" t="str">
        <f t="shared" ref="T129:T136" si="5">"－"</f>
        <v>－</v>
      </c>
      <c r="U129" s="14"/>
      <c r="V129" s="14"/>
      <c r="W129" s="14" t="str">
        <f t="shared" ref="W129:W136" si="6">"－"</f>
        <v>－</v>
      </c>
      <c r="X129" s="14"/>
      <c r="Y129" s="14"/>
      <c r="Z129" s="11"/>
      <c r="AA129" s="15" t="str">
        <f t="shared" si="4"/>
        <v>－</v>
      </c>
      <c r="AB129" s="15" t="str">
        <f t="shared" si="3"/>
        <v>－</v>
      </c>
      <c r="AC129" s="16" t="str">
        <f t="shared" ref="AC129:AC136" si="7">"－"</f>
        <v>－</v>
      </c>
    </row>
    <row r="130" spans="1:29">
      <c r="A130" s="8" t="s">
        <v>46</v>
      </c>
      <c r="B130" s="9" t="s">
        <v>776</v>
      </c>
      <c r="C130" s="9" t="s">
        <v>777</v>
      </c>
      <c r="D130" s="9" t="s">
        <v>146</v>
      </c>
      <c r="E130" s="10" t="s">
        <v>516</v>
      </c>
      <c r="F130" s="10" t="s">
        <v>844</v>
      </c>
      <c r="G130" s="11"/>
      <c r="H130" s="12" t="s">
        <v>260</v>
      </c>
      <c r="I130" s="11"/>
      <c r="J130" s="12" t="s">
        <v>260</v>
      </c>
      <c r="K130" s="11"/>
      <c r="L130" s="12"/>
      <c r="M130" s="11"/>
      <c r="N130" s="12" t="s">
        <v>260</v>
      </c>
      <c r="O130" s="11"/>
      <c r="P130" s="12"/>
      <c r="Q130" s="11"/>
      <c r="R130" s="12" t="s">
        <v>260</v>
      </c>
      <c r="S130" s="13">
        <f>196.71</f>
        <v>196.71</v>
      </c>
      <c r="T130" s="14" t="str">
        <f t="shared" si="5"/>
        <v>－</v>
      </c>
      <c r="U130" s="14"/>
      <c r="V130" s="14"/>
      <c r="W130" s="14" t="str">
        <f t="shared" si="6"/>
        <v>－</v>
      </c>
      <c r="X130" s="14"/>
      <c r="Y130" s="14"/>
      <c r="Z130" s="11"/>
      <c r="AA130" s="15" t="str">
        <f t="shared" si="4"/>
        <v>－</v>
      </c>
      <c r="AB130" s="15" t="str">
        <f t="shared" si="3"/>
        <v>－</v>
      </c>
      <c r="AC130" s="16" t="str">
        <f t="shared" si="7"/>
        <v>－</v>
      </c>
    </row>
    <row r="131" spans="1:29">
      <c r="A131" s="8" t="s">
        <v>46</v>
      </c>
      <c r="B131" s="9" t="s">
        <v>776</v>
      </c>
      <c r="C131" s="9" t="s">
        <v>777</v>
      </c>
      <c r="D131" s="9" t="s">
        <v>745</v>
      </c>
      <c r="E131" s="10" t="s">
        <v>516</v>
      </c>
      <c r="F131" s="10" t="s">
        <v>845</v>
      </c>
      <c r="G131" s="11"/>
      <c r="H131" s="12" t="s">
        <v>260</v>
      </c>
      <c r="I131" s="11"/>
      <c r="J131" s="12" t="s">
        <v>260</v>
      </c>
      <c r="K131" s="11"/>
      <c r="L131" s="12"/>
      <c r="M131" s="11"/>
      <c r="N131" s="12" t="s">
        <v>260</v>
      </c>
      <c r="O131" s="11"/>
      <c r="P131" s="12"/>
      <c r="Q131" s="11"/>
      <c r="R131" s="12" t="s">
        <v>260</v>
      </c>
      <c r="S131" s="13">
        <f>197.2</f>
        <v>197.2</v>
      </c>
      <c r="T131" s="14" t="str">
        <f t="shared" si="5"/>
        <v>－</v>
      </c>
      <c r="U131" s="14"/>
      <c r="V131" s="14"/>
      <c r="W131" s="14" t="str">
        <f t="shared" si="6"/>
        <v>－</v>
      </c>
      <c r="X131" s="14"/>
      <c r="Y131" s="14"/>
      <c r="Z131" s="11"/>
      <c r="AA131" s="15" t="str">
        <f t="shared" si="4"/>
        <v>－</v>
      </c>
      <c r="AB131" s="15" t="str">
        <f t="shared" si="3"/>
        <v>－</v>
      </c>
      <c r="AC131" s="16" t="str">
        <f t="shared" si="7"/>
        <v>－</v>
      </c>
    </row>
    <row r="132" spans="1:29">
      <c r="A132" s="8" t="s">
        <v>46</v>
      </c>
      <c r="B132" s="9" t="s">
        <v>776</v>
      </c>
      <c r="C132" s="9" t="s">
        <v>777</v>
      </c>
      <c r="D132" s="9" t="s">
        <v>158</v>
      </c>
      <c r="E132" s="10" t="s">
        <v>516</v>
      </c>
      <c r="F132" s="10" t="s">
        <v>846</v>
      </c>
      <c r="G132" s="11"/>
      <c r="H132" s="12" t="s">
        <v>260</v>
      </c>
      <c r="I132" s="11"/>
      <c r="J132" s="12" t="s">
        <v>260</v>
      </c>
      <c r="K132" s="11"/>
      <c r="L132" s="12"/>
      <c r="M132" s="11"/>
      <c r="N132" s="12" t="s">
        <v>260</v>
      </c>
      <c r="O132" s="11"/>
      <c r="P132" s="12"/>
      <c r="Q132" s="11"/>
      <c r="R132" s="12" t="s">
        <v>260</v>
      </c>
      <c r="S132" s="13">
        <f>198.2</f>
        <v>198.2</v>
      </c>
      <c r="T132" s="14" t="str">
        <f t="shared" si="5"/>
        <v>－</v>
      </c>
      <c r="U132" s="14"/>
      <c r="V132" s="14"/>
      <c r="W132" s="14" t="str">
        <f t="shared" si="6"/>
        <v>－</v>
      </c>
      <c r="X132" s="14"/>
      <c r="Y132" s="14"/>
      <c r="Z132" s="11"/>
      <c r="AA132" s="15" t="str">
        <f t="shared" si="4"/>
        <v>－</v>
      </c>
      <c r="AB132" s="15" t="str">
        <f t="shared" si="3"/>
        <v>－</v>
      </c>
      <c r="AC132" s="16" t="str">
        <f t="shared" si="7"/>
        <v>－</v>
      </c>
    </row>
    <row r="133" spans="1:29">
      <c r="A133" s="8" t="s">
        <v>46</v>
      </c>
      <c r="B133" s="9" t="s">
        <v>776</v>
      </c>
      <c r="C133" s="9" t="s">
        <v>777</v>
      </c>
      <c r="D133" s="9" t="s">
        <v>754</v>
      </c>
      <c r="E133" s="10" t="s">
        <v>516</v>
      </c>
      <c r="F133" s="10" t="s">
        <v>847</v>
      </c>
      <c r="G133" s="11"/>
      <c r="H133" s="12" t="s">
        <v>260</v>
      </c>
      <c r="I133" s="11"/>
      <c r="J133" s="12" t="s">
        <v>260</v>
      </c>
      <c r="K133" s="11"/>
      <c r="L133" s="12"/>
      <c r="M133" s="11"/>
      <c r="N133" s="12" t="s">
        <v>260</v>
      </c>
      <c r="O133" s="11"/>
      <c r="P133" s="12"/>
      <c r="Q133" s="11"/>
      <c r="R133" s="12" t="s">
        <v>260</v>
      </c>
      <c r="S133" s="13">
        <f>198.84</f>
        <v>198.84</v>
      </c>
      <c r="T133" s="14" t="str">
        <f t="shared" si="5"/>
        <v>－</v>
      </c>
      <c r="U133" s="14"/>
      <c r="V133" s="14"/>
      <c r="W133" s="14" t="str">
        <f t="shared" si="6"/>
        <v>－</v>
      </c>
      <c r="X133" s="14"/>
      <c r="Y133" s="14"/>
      <c r="Z133" s="11"/>
      <c r="AA133" s="15" t="str">
        <f t="shared" si="4"/>
        <v>－</v>
      </c>
      <c r="AB133" s="15" t="str">
        <f t="shared" si="3"/>
        <v>－</v>
      </c>
      <c r="AC133" s="16" t="str">
        <f t="shared" si="7"/>
        <v>－</v>
      </c>
    </row>
    <row r="134" spans="1:29">
      <c r="A134" s="8" t="s">
        <v>46</v>
      </c>
      <c r="B134" s="9" t="s">
        <v>776</v>
      </c>
      <c r="C134" s="9" t="s">
        <v>777</v>
      </c>
      <c r="D134" s="9" t="s">
        <v>169</v>
      </c>
      <c r="E134" s="10" t="s">
        <v>517</v>
      </c>
      <c r="F134" s="10" t="s">
        <v>848</v>
      </c>
      <c r="G134" s="11"/>
      <c r="H134" s="12" t="s">
        <v>260</v>
      </c>
      <c r="I134" s="11"/>
      <c r="J134" s="12" t="s">
        <v>260</v>
      </c>
      <c r="K134" s="11"/>
      <c r="L134" s="12"/>
      <c r="M134" s="11"/>
      <c r="N134" s="12" t="s">
        <v>260</v>
      </c>
      <c r="O134" s="11"/>
      <c r="P134" s="12"/>
      <c r="Q134" s="11"/>
      <c r="R134" s="12" t="s">
        <v>260</v>
      </c>
      <c r="S134" s="13">
        <f>201.44</f>
        <v>201.44</v>
      </c>
      <c r="T134" s="14" t="str">
        <f t="shared" si="5"/>
        <v>－</v>
      </c>
      <c r="U134" s="14"/>
      <c r="V134" s="14"/>
      <c r="W134" s="14" t="str">
        <f t="shared" si="6"/>
        <v>－</v>
      </c>
      <c r="X134" s="14"/>
      <c r="Y134" s="14"/>
      <c r="Z134" s="11"/>
      <c r="AA134" s="15" t="str">
        <f t="shared" si="4"/>
        <v>－</v>
      </c>
      <c r="AB134" s="15" t="str">
        <f t="shared" si="3"/>
        <v>－</v>
      </c>
      <c r="AC134" s="16" t="str">
        <f t="shared" si="7"/>
        <v>－</v>
      </c>
    </row>
    <row r="135" spans="1:29">
      <c r="A135" s="8" t="s">
        <v>46</v>
      </c>
      <c r="B135" s="9" t="s">
        <v>776</v>
      </c>
      <c r="C135" s="9" t="s">
        <v>777</v>
      </c>
      <c r="D135" s="9" t="s">
        <v>767</v>
      </c>
      <c r="E135" s="10" t="s">
        <v>525</v>
      </c>
      <c r="F135" s="10" t="s">
        <v>849</v>
      </c>
      <c r="G135" s="11"/>
      <c r="H135" s="12" t="s">
        <v>260</v>
      </c>
      <c r="I135" s="11"/>
      <c r="J135" s="12" t="s">
        <v>260</v>
      </c>
      <c r="K135" s="11"/>
      <c r="L135" s="12"/>
      <c r="M135" s="11"/>
      <c r="N135" s="12" t="s">
        <v>260</v>
      </c>
      <c r="O135" s="11"/>
      <c r="P135" s="12"/>
      <c r="Q135" s="11"/>
      <c r="R135" s="12" t="s">
        <v>260</v>
      </c>
      <c r="S135" s="13">
        <f>202.43</f>
        <v>202.43</v>
      </c>
      <c r="T135" s="14" t="str">
        <f t="shared" si="5"/>
        <v>－</v>
      </c>
      <c r="U135" s="14"/>
      <c r="V135" s="14"/>
      <c r="W135" s="14" t="str">
        <f t="shared" si="6"/>
        <v>－</v>
      </c>
      <c r="X135" s="14"/>
      <c r="Y135" s="14"/>
      <c r="Z135" s="11"/>
      <c r="AA135" s="15" t="str">
        <f t="shared" si="4"/>
        <v>－</v>
      </c>
      <c r="AB135" s="15" t="str">
        <f t="shared" si="3"/>
        <v>－</v>
      </c>
      <c r="AC135" s="16" t="str">
        <f t="shared" si="7"/>
        <v>－</v>
      </c>
    </row>
    <row r="136" spans="1:29">
      <c r="A136" s="8" t="s">
        <v>46</v>
      </c>
      <c r="B136" s="9" t="s">
        <v>776</v>
      </c>
      <c r="C136" s="9" t="s">
        <v>777</v>
      </c>
      <c r="D136" s="9" t="s">
        <v>182</v>
      </c>
      <c r="E136" s="10" t="s">
        <v>535</v>
      </c>
      <c r="F136" s="10" t="s">
        <v>850</v>
      </c>
      <c r="G136" s="11"/>
      <c r="H136" s="12" t="s">
        <v>260</v>
      </c>
      <c r="I136" s="11"/>
      <c r="J136" s="12" t="s">
        <v>260</v>
      </c>
      <c r="K136" s="11"/>
      <c r="L136" s="12"/>
      <c r="M136" s="11"/>
      <c r="N136" s="12" t="s">
        <v>260</v>
      </c>
      <c r="O136" s="11"/>
      <c r="P136" s="12"/>
      <c r="Q136" s="11"/>
      <c r="R136" s="12" t="s">
        <v>260</v>
      </c>
      <c r="S136" s="13">
        <f>204.91</f>
        <v>204.91</v>
      </c>
      <c r="T136" s="14" t="str">
        <f t="shared" si="5"/>
        <v>－</v>
      </c>
      <c r="U136" s="14"/>
      <c r="V136" s="14"/>
      <c r="W136" s="14" t="str">
        <f t="shared" si="6"/>
        <v>－</v>
      </c>
      <c r="X136" s="14"/>
      <c r="Y136" s="14"/>
      <c r="Z136" s="11"/>
      <c r="AA136" s="15" t="str">
        <f t="shared" si="4"/>
        <v>－</v>
      </c>
      <c r="AB136" s="15" t="str">
        <f t="shared" si="3"/>
        <v>－</v>
      </c>
      <c r="AC136" s="16" t="str">
        <f t="shared" si="7"/>
        <v>－</v>
      </c>
    </row>
    <row r="137" spans="1:29">
      <c r="A137" s="8" t="s">
        <v>46</v>
      </c>
      <c r="B137" s="9" t="s">
        <v>851</v>
      </c>
      <c r="C137" s="9" t="s">
        <v>852</v>
      </c>
      <c r="D137" s="9" t="s">
        <v>612</v>
      </c>
      <c r="E137" s="10" t="s">
        <v>853</v>
      </c>
      <c r="F137" s="10" t="s">
        <v>854</v>
      </c>
      <c r="G137" s="11" t="s">
        <v>52</v>
      </c>
      <c r="H137" s="12" t="s">
        <v>855</v>
      </c>
      <c r="I137" s="11" t="s">
        <v>620</v>
      </c>
      <c r="J137" s="12" t="s">
        <v>856</v>
      </c>
      <c r="K137" s="11" t="s">
        <v>857</v>
      </c>
      <c r="L137" s="12" t="s">
        <v>858</v>
      </c>
      <c r="M137" s="11" t="s">
        <v>52</v>
      </c>
      <c r="N137" s="12" t="s">
        <v>855</v>
      </c>
      <c r="O137" s="11" t="s">
        <v>857</v>
      </c>
      <c r="P137" s="12" t="s">
        <v>858</v>
      </c>
      <c r="Q137" s="11" t="s">
        <v>276</v>
      </c>
      <c r="R137" s="12" t="s">
        <v>859</v>
      </c>
      <c r="S137" s="13">
        <f>28364.48</f>
        <v>28364.48</v>
      </c>
      <c r="T137" s="14">
        <f>208</f>
        <v>208</v>
      </c>
      <c r="U137" s="14">
        <v>133</v>
      </c>
      <c r="V137" s="14"/>
      <c r="W137" s="14">
        <f>285951500</f>
        <v>285951500</v>
      </c>
      <c r="X137" s="14">
        <v>179550000</v>
      </c>
      <c r="Y137" s="14"/>
      <c r="Z137" s="11" t="s">
        <v>60</v>
      </c>
      <c r="AA137" s="15">
        <f>30</f>
        <v>30</v>
      </c>
      <c r="AB137" s="15" t="str">
        <f t="shared" si="3"/>
        <v>－</v>
      </c>
      <c r="AC137" s="16">
        <f>13</f>
        <v>13</v>
      </c>
    </row>
    <row r="138" spans="1:29">
      <c r="A138" s="8" t="s">
        <v>46</v>
      </c>
      <c r="B138" s="9" t="s">
        <v>851</v>
      </c>
      <c r="C138" s="9" t="s">
        <v>852</v>
      </c>
      <c r="D138" s="9" t="s">
        <v>633</v>
      </c>
      <c r="E138" s="10" t="s">
        <v>860</v>
      </c>
      <c r="F138" s="10" t="s">
        <v>861</v>
      </c>
      <c r="G138" s="11" t="s">
        <v>52</v>
      </c>
      <c r="H138" s="12" t="s">
        <v>862</v>
      </c>
      <c r="I138" s="11" t="s">
        <v>863</v>
      </c>
      <c r="J138" s="12" t="s">
        <v>864</v>
      </c>
      <c r="K138" s="11" t="s">
        <v>795</v>
      </c>
      <c r="L138" s="12" t="s">
        <v>865</v>
      </c>
      <c r="M138" s="11" t="s">
        <v>52</v>
      </c>
      <c r="N138" s="12" t="s">
        <v>862</v>
      </c>
      <c r="O138" s="11" t="s">
        <v>795</v>
      </c>
      <c r="P138" s="12" t="s">
        <v>865</v>
      </c>
      <c r="Q138" s="11" t="s">
        <v>866</v>
      </c>
      <c r="R138" s="12" t="s">
        <v>864</v>
      </c>
      <c r="S138" s="13">
        <f>30378.59</f>
        <v>30378.59</v>
      </c>
      <c r="T138" s="14">
        <f>435</f>
        <v>435</v>
      </c>
      <c r="U138" s="14">
        <v>122</v>
      </c>
      <c r="V138" s="14"/>
      <c r="W138" s="14">
        <f>664813000</f>
        <v>664813000</v>
      </c>
      <c r="X138" s="14">
        <v>200080000</v>
      </c>
      <c r="Y138" s="14"/>
      <c r="Z138" s="11" t="s">
        <v>60</v>
      </c>
      <c r="AA138" s="15" t="str">
        <f>"－"</f>
        <v>－</v>
      </c>
      <c r="AB138" s="15" t="str">
        <f t="shared" si="3"/>
        <v>－</v>
      </c>
      <c r="AC138" s="16">
        <f>48</f>
        <v>48</v>
      </c>
    </row>
    <row r="139" spans="1:29">
      <c r="A139" s="8" t="s">
        <v>46</v>
      </c>
      <c r="B139" s="9" t="s">
        <v>851</v>
      </c>
      <c r="C139" s="9" t="s">
        <v>852</v>
      </c>
      <c r="D139" s="9" t="s">
        <v>651</v>
      </c>
      <c r="E139" s="10" t="s">
        <v>867</v>
      </c>
      <c r="F139" s="10" t="s">
        <v>868</v>
      </c>
      <c r="G139" s="11" t="s">
        <v>52</v>
      </c>
      <c r="H139" s="12" t="s">
        <v>869</v>
      </c>
      <c r="I139" s="11" t="s">
        <v>474</v>
      </c>
      <c r="J139" s="12" t="s">
        <v>870</v>
      </c>
      <c r="K139" s="11" t="s">
        <v>693</v>
      </c>
      <c r="L139" s="12" t="s">
        <v>871</v>
      </c>
      <c r="M139" s="11" t="s">
        <v>52</v>
      </c>
      <c r="N139" s="12" t="s">
        <v>869</v>
      </c>
      <c r="O139" s="11" t="s">
        <v>872</v>
      </c>
      <c r="P139" s="12" t="s">
        <v>873</v>
      </c>
      <c r="Q139" s="11" t="s">
        <v>355</v>
      </c>
      <c r="R139" s="12" t="s">
        <v>874</v>
      </c>
      <c r="S139" s="13">
        <f>34231.91</f>
        <v>34231.910000000003</v>
      </c>
      <c r="T139" s="14">
        <f>700</f>
        <v>700</v>
      </c>
      <c r="U139" s="14">
        <v>72</v>
      </c>
      <c r="V139" s="14"/>
      <c r="W139" s="14">
        <f>1134380000</f>
        <v>1134380000</v>
      </c>
      <c r="X139" s="14">
        <v>135146000</v>
      </c>
      <c r="Y139" s="14"/>
      <c r="Z139" s="11" t="s">
        <v>60</v>
      </c>
      <c r="AA139" s="15">
        <f>35</f>
        <v>35</v>
      </c>
      <c r="AB139" s="15" t="str">
        <f t="shared" si="3"/>
        <v>－</v>
      </c>
      <c r="AC139" s="16">
        <f>66</f>
        <v>66</v>
      </c>
    </row>
    <row r="140" spans="1:29">
      <c r="A140" s="8" t="s">
        <v>46</v>
      </c>
      <c r="B140" s="9" t="s">
        <v>851</v>
      </c>
      <c r="C140" s="9" t="s">
        <v>852</v>
      </c>
      <c r="D140" s="9" t="s">
        <v>669</v>
      </c>
      <c r="E140" s="10" t="s">
        <v>875</v>
      </c>
      <c r="F140" s="10" t="s">
        <v>876</v>
      </c>
      <c r="G140" s="11" t="s">
        <v>52</v>
      </c>
      <c r="H140" s="12" t="s">
        <v>877</v>
      </c>
      <c r="I140" s="11" t="s">
        <v>878</v>
      </c>
      <c r="J140" s="12" t="s">
        <v>879</v>
      </c>
      <c r="K140" s="11" t="s">
        <v>480</v>
      </c>
      <c r="L140" s="12" t="s">
        <v>880</v>
      </c>
      <c r="M140" s="11" t="s">
        <v>52</v>
      </c>
      <c r="N140" s="12" t="s">
        <v>877</v>
      </c>
      <c r="O140" s="11" t="s">
        <v>881</v>
      </c>
      <c r="P140" s="12" t="s">
        <v>882</v>
      </c>
      <c r="Q140" s="11" t="s">
        <v>883</v>
      </c>
      <c r="R140" s="12" t="s">
        <v>879</v>
      </c>
      <c r="S140" s="13">
        <f>34313.13</f>
        <v>34313.129999999997</v>
      </c>
      <c r="T140" s="14">
        <f>815</f>
        <v>815</v>
      </c>
      <c r="U140" s="14">
        <v>5</v>
      </c>
      <c r="V140" s="14">
        <v>8</v>
      </c>
      <c r="W140" s="14">
        <f>1300151000</f>
        <v>1300151000</v>
      </c>
      <c r="X140" s="14">
        <v>9073000</v>
      </c>
      <c r="Y140" s="14">
        <v>11746000</v>
      </c>
      <c r="Z140" s="11" t="s">
        <v>60</v>
      </c>
      <c r="AA140" s="15" t="str">
        <f>"－"</f>
        <v>－</v>
      </c>
      <c r="AB140" s="15" t="str">
        <f t="shared" si="3"/>
        <v>－</v>
      </c>
      <c r="AC140" s="16">
        <f>101</f>
        <v>101</v>
      </c>
    </row>
    <row r="141" spans="1:29">
      <c r="A141" s="8" t="s">
        <v>46</v>
      </c>
      <c r="B141" s="9" t="s">
        <v>851</v>
      </c>
      <c r="C141" s="9" t="s">
        <v>852</v>
      </c>
      <c r="D141" s="9" t="s">
        <v>524</v>
      </c>
      <c r="E141" s="10" t="s">
        <v>884</v>
      </c>
      <c r="F141" s="10" t="s">
        <v>885</v>
      </c>
      <c r="G141" s="11" t="s">
        <v>52</v>
      </c>
      <c r="H141" s="12" t="s">
        <v>886</v>
      </c>
      <c r="I141" s="11" t="s">
        <v>887</v>
      </c>
      <c r="J141" s="12" t="s">
        <v>888</v>
      </c>
      <c r="K141" s="11" t="s">
        <v>500</v>
      </c>
      <c r="L141" s="12" t="s">
        <v>889</v>
      </c>
      <c r="M141" s="11" t="s">
        <v>52</v>
      </c>
      <c r="N141" s="12" t="s">
        <v>886</v>
      </c>
      <c r="O141" s="11" t="s">
        <v>500</v>
      </c>
      <c r="P141" s="12" t="s">
        <v>889</v>
      </c>
      <c r="Q141" s="11" t="s">
        <v>483</v>
      </c>
      <c r="R141" s="12" t="s">
        <v>888</v>
      </c>
      <c r="S141" s="13">
        <f>35169.64</f>
        <v>35169.64</v>
      </c>
      <c r="T141" s="14">
        <f>2097</f>
        <v>2097</v>
      </c>
      <c r="U141" s="14">
        <v>5</v>
      </c>
      <c r="V141" s="14">
        <v>48</v>
      </c>
      <c r="W141" s="14">
        <f>3346809500</f>
        <v>3346809500</v>
      </c>
      <c r="X141" s="14">
        <v>9135000</v>
      </c>
      <c r="Y141" s="14">
        <v>68223000</v>
      </c>
      <c r="Z141" s="11" t="s">
        <v>60</v>
      </c>
      <c r="AA141" s="15" t="str">
        <f>"－"</f>
        <v>－</v>
      </c>
      <c r="AB141" s="15" t="str">
        <f t="shared" si="3"/>
        <v>－</v>
      </c>
      <c r="AC141" s="16">
        <f>153</f>
        <v>153</v>
      </c>
    </row>
    <row r="142" spans="1:29">
      <c r="A142" s="8" t="s">
        <v>46</v>
      </c>
      <c r="B142" s="9" t="s">
        <v>851</v>
      </c>
      <c r="C142" s="9" t="s">
        <v>852</v>
      </c>
      <c r="D142" s="9" t="s">
        <v>544</v>
      </c>
      <c r="E142" s="10" t="s">
        <v>890</v>
      </c>
      <c r="F142" s="10" t="s">
        <v>891</v>
      </c>
      <c r="G142" s="11" t="s">
        <v>52</v>
      </c>
      <c r="H142" s="12" t="s">
        <v>892</v>
      </c>
      <c r="I142" s="11" t="s">
        <v>107</v>
      </c>
      <c r="J142" s="12" t="s">
        <v>893</v>
      </c>
      <c r="K142" s="11" t="s">
        <v>822</v>
      </c>
      <c r="L142" s="12" t="s">
        <v>894</v>
      </c>
      <c r="M142" s="11" t="s">
        <v>52</v>
      </c>
      <c r="N142" s="12" t="s">
        <v>895</v>
      </c>
      <c r="O142" s="11" t="s">
        <v>500</v>
      </c>
      <c r="P142" s="12" t="s">
        <v>896</v>
      </c>
      <c r="Q142" s="11" t="s">
        <v>897</v>
      </c>
      <c r="R142" s="12" t="s">
        <v>898</v>
      </c>
      <c r="S142" s="13">
        <f>34992.69</f>
        <v>34992.69</v>
      </c>
      <c r="T142" s="14">
        <f>9154</f>
        <v>9154</v>
      </c>
      <c r="U142" s="14">
        <v>71</v>
      </c>
      <c r="V142" s="14">
        <v>287</v>
      </c>
      <c r="W142" s="14">
        <f>13397268500</f>
        <v>13397268500</v>
      </c>
      <c r="X142" s="14">
        <v>141241500</v>
      </c>
      <c r="Y142" s="14">
        <v>419288000</v>
      </c>
      <c r="Z142" s="11" t="s">
        <v>60</v>
      </c>
      <c r="AA142" s="15">
        <f>21</f>
        <v>21</v>
      </c>
      <c r="AB142" s="15" t="str">
        <f t="shared" si="3"/>
        <v>－</v>
      </c>
      <c r="AC142" s="16">
        <f>199</f>
        <v>199</v>
      </c>
    </row>
    <row r="143" spans="1:29">
      <c r="A143" s="8" t="s">
        <v>46</v>
      </c>
      <c r="B143" s="9" t="s">
        <v>851</v>
      </c>
      <c r="C143" s="9" t="s">
        <v>852</v>
      </c>
      <c r="D143" s="9" t="s">
        <v>557</v>
      </c>
      <c r="E143" s="10" t="s">
        <v>899</v>
      </c>
      <c r="F143" s="10" t="s">
        <v>900</v>
      </c>
      <c r="G143" s="11" t="s">
        <v>271</v>
      </c>
      <c r="H143" s="12" t="s">
        <v>901</v>
      </c>
      <c r="I143" s="11" t="s">
        <v>221</v>
      </c>
      <c r="J143" s="12" t="s">
        <v>902</v>
      </c>
      <c r="K143" s="11" t="s">
        <v>265</v>
      </c>
      <c r="L143" s="12" t="s">
        <v>903</v>
      </c>
      <c r="M143" s="11" t="s">
        <v>271</v>
      </c>
      <c r="N143" s="12" t="s">
        <v>904</v>
      </c>
      <c r="O143" s="11" t="s">
        <v>500</v>
      </c>
      <c r="P143" s="12" t="s">
        <v>905</v>
      </c>
      <c r="Q143" s="11" t="s">
        <v>189</v>
      </c>
      <c r="R143" s="12" t="s">
        <v>906</v>
      </c>
      <c r="S143" s="13">
        <f>35674.12</f>
        <v>35674.120000000003</v>
      </c>
      <c r="T143" s="14">
        <f>10239</f>
        <v>10239</v>
      </c>
      <c r="U143" s="14">
        <v>8</v>
      </c>
      <c r="V143" s="14">
        <v>369</v>
      </c>
      <c r="W143" s="14">
        <f>16468315500</f>
        <v>16468315500</v>
      </c>
      <c r="X143" s="14">
        <v>14478500</v>
      </c>
      <c r="Y143" s="14">
        <v>584682000</v>
      </c>
      <c r="Z143" s="11"/>
      <c r="AA143" s="15">
        <f>148</f>
        <v>148</v>
      </c>
      <c r="AB143" s="15" t="str">
        <f t="shared" ref="AB143:AB178" si="8">"－"</f>
        <v>－</v>
      </c>
      <c r="AC143" s="16">
        <f>189</f>
        <v>189</v>
      </c>
    </row>
    <row r="144" spans="1:29">
      <c r="A144" s="8" t="s">
        <v>46</v>
      </c>
      <c r="B144" s="9" t="s">
        <v>851</v>
      </c>
      <c r="C144" s="9" t="s">
        <v>852</v>
      </c>
      <c r="D144" s="9" t="s">
        <v>577</v>
      </c>
      <c r="E144" s="10" t="s">
        <v>907</v>
      </c>
      <c r="F144" s="10" t="s">
        <v>908</v>
      </c>
      <c r="G144" s="11" t="s">
        <v>280</v>
      </c>
      <c r="H144" s="12" t="s">
        <v>909</v>
      </c>
      <c r="I144" s="11" t="s">
        <v>107</v>
      </c>
      <c r="J144" s="12" t="s">
        <v>910</v>
      </c>
      <c r="K144" s="11" t="s">
        <v>308</v>
      </c>
      <c r="L144" s="12" t="s">
        <v>911</v>
      </c>
      <c r="M144" s="11" t="s">
        <v>92</v>
      </c>
      <c r="N144" s="12" t="s">
        <v>912</v>
      </c>
      <c r="O144" s="11" t="s">
        <v>631</v>
      </c>
      <c r="P144" s="12" t="s">
        <v>913</v>
      </c>
      <c r="Q144" s="11" t="s">
        <v>132</v>
      </c>
      <c r="R144" s="12" t="s">
        <v>914</v>
      </c>
      <c r="S144" s="13">
        <f>36324.48</f>
        <v>36324.480000000003</v>
      </c>
      <c r="T144" s="14">
        <f>21471</f>
        <v>21471</v>
      </c>
      <c r="U144" s="14">
        <v>47</v>
      </c>
      <c r="V144" s="14">
        <v>165</v>
      </c>
      <c r="W144" s="14">
        <f>37245444500</f>
        <v>37245444500</v>
      </c>
      <c r="X144" s="14">
        <v>81983500</v>
      </c>
      <c r="Y144" s="14">
        <v>286401000</v>
      </c>
      <c r="Z144" s="11"/>
      <c r="AA144" s="15">
        <f>458</f>
        <v>458</v>
      </c>
      <c r="AB144" s="15" t="str">
        <f t="shared" si="8"/>
        <v>－</v>
      </c>
      <c r="AC144" s="16">
        <f>162</f>
        <v>162</v>
      </c>
    </row>
    <row r="145" spans="1:29">
      <c r="A145" s="8" t="s">
        <v>46</v>
      </c>
      <c r="B145" s="9" t="s">
        <v>851</v>
      </c>
      <c r="C145" s="9" t="s">
        <v>852</v>
      </c>
      <c r="D145" s="9" t="s">
        <v>745</v>
      </c>
      <c r="E145" s="10" t="s">
        <v>915</v>
      </c>
      <c r="F145" s="10" t="s">
        <v>916</v>
      </c>
      <c r="G145" s="11" t="s">
        <v>78</v>
      </c>
      <c r="H145" s="12" t="s">
        <v>917</v>
      </c>
      <c r="I145" s="11" t="s">
        <v>107</v>
      </c>
      <c r="J145" s="12" t="s">
        <v>918</v>
      </c>
      <c r="K145" s="11" t="s">
        <v>107</v>
      </c>
      <c r="L145" s="12" t="s">
        <v>919</v>
      </c>
      <c r="M145" s="11" t="s">
        <v>285</v>
      </c>
      <c r="N145" s="12" t="s">
        <v>920</v>
      </c>
      <c r="O145" s="11" t="s">
        <v>143</v>
      </c>
      <c r="P145" s="12" t="s">
        <v>921</v>
      </c>
      <c r="Q145" s="11" t="s">
        <v>132</v>
      </c>
      <c r="R145" s="12" t="s">
        <v>922</v>
      </c>
      <c r="S145" s="13">
        <f>36699.04</f>
        <v>36699.040000000001</v>
      </c>
      <c r="T145" s="14">
        <f>11687</f>
        <v>11687</v>
      </c>
      <c r="U145" s="14">
        <v>6</v>
      </c>
      <c r="V145" s="14">
        <v>77</v>
      </c>
      <c r="W145" s="14">
        <f>20276078000</f>
        <v>20276078000</v>
      </c>
      <c r="X145" s="14">
        <v>12335000</v>
      </c>
      <c r="Y145" s="14">
        <v>131563500</v>
      </c>
      <c r="Z145" s="11"/>
      <c r="AA145" s="15">
        <f>189</f>
        <v>189</v>
      </c>
      <c r="AB145" s="15" t="str">
        <f t="shared" si="8"/>
        <v>－</v>
      </c>
      <c r="AC145" s="16">
        <f>122</f>
        <v>122</v>
      </c>
    </row>
    <row r="146" spans="1:29">
      <c r="A146" s="8" t="s">
        <v>46</v>
      </c>
      <c r="B146" s="9" t="s">
        <v>851</v>
      </c>
      <c r="C146" s="9" t="s">
        <v>852</v>
      </c>
      <c r="D146" s="9" t="s">
        <v>754</v>
      </c>
      <c r="E146" s="10" t="s">
        <v>923</v>
      </c>
      <c r="F146" s="10" t="s">
        <v>924</v>
      </c>
      <c r="G146" s="11" t="s">
        <v>292</v>
      </c>
      <c r="H146" s="12" t="s">
        <v>925</v>
      </c>
      <c r="I146" s="11" t="s">
        <v>107</v>
      </c>
      <c r="J146" s="12" t="s">
        <v>926</v>
      </c>
      <c r="K146" s="11" t="s">
        <v>483</v>
      </c>
      <c r="L146" s="12" t="s">
        <v>927</v>
      </c>
      <c r="M146" s="11" t="s">
        <v>297</v>
      </c>
      <c r="N146" s="12" t="s">
        <v>928</v>
      </c>
      <c r="O146" s="11" t="s">
        <v>297</v>
      </c>
      <c r="P146" s="12" t="s">
        <v>929</v>
      </c>
      <c r="Q146" s="11" t="s">
        <v>132</v>
      </c>
      <c r="R146" s="12" t="s">
        <v>930</v>
      </c>
      <c r="S146" s="13">
        <f>37257.47</f>
        <v>37257.47</v>
      </c>
      <c r="T146" s="14">
        <f>6923</f>
        <v>6923</v>
      </c>
      <c r="U146" s="14">
        <v>4</v>
      </c>
      <c r="V146" s="14">
        <v>100</v>
      </c>
      <c r="W146" s="14">
        <f>12856105500</f>
        <v>12856105500</v>
      </c>
      <c r="X146" s="14">
        <v>7118500</v>
      </c>
      <c r="Y146" s="14">
        <v>192257500</v>
      </c>
      <c r="Z146" s="11"/>
      <c r="AA146" s="15">
        <f>335</f>
        <v>335</v>
      </c>
      <c r="AB146" s="15" t="str">
        <f t="shared" si="8"/>
        <v>－</v>
      </c>
      <c r="AC146" s="16">
        <f>95</f>
        <v>95</v>
      </c>
    </row>
    <row r="147" spans="1:29">
      <c r="A147" s="8" t="s">
        <v>46</v>
      </c>
      <c r="B147" s="9" t="s">
        <v>851</v>
      </c>
      <c r="C147" s="9" t="s">
        <v>852</v>
      </c>
      <c r="D147" s="9" t="s">
        <v>767</v>
      </c>
      <c r="E147" s="10" t="s">
        <v>931</v>
      </c>
      <c r="F147" s="10" t="s">
        <v>932</v>
      </c>
      <c r="G147" s="11" t="s">
        <v>299</v>
      </c>
      <c r="H147" s="12" t="s">
        <v>933</v>
      </c>
      <c r="I147" s="11" t="s">
        <v>107</v>
      </c>
      <c r="J147" s="12" t="s">
        <v>934</v>
      </c>
      <c r="K147" s="11" t="s">
        <v>533</v>
      </c>
      <c r="L147" s="12" t="s">
        <v>935</v>
      </c>
      <c r="M147" s="11" t="s">
        <v>320</v>
      </c>
      <c r="N147" s="12" t="s">
        <v>936</v>
      </c>
      <c r="O147" s="11" t="s">
        <v>533</v>
      </c>
      <c r="P147" s="12" t="s">
        <v>935</v>
      </c>
      <c r="Q147" s="11" t="s">
        <v>132</v>
      </c>
      <c r="R147" s="12" t="s">
        <v>937</v>
      </c>
      <c r="S147" s="13">
        <f>38560.96</f>
        <v>38560.959999999999</v>
      </c>
      <c r="T147" s="14">
        <f>6651</f>
        <v>6651</v>
      </c>
      <c r="U147" s="14">
        <v>1</v>
      </c>
      <c r="V147" s="14">
        <v>62</v>
      </c>
      <c r="W147" s="14">
        <f>12936563000</f>
        <v>12936563000</v>
      </c>
      <c r="X147" s="14">
        <v>1965000</v>
      </c>
      <c r="Y147" s="14">
        <v>121398500</v>
      </c>
      <c r="Z147" s="11"/>
      <c r="AA147" s="15">
        <f>549</f>
        <v>549</v>
      </c>
      <c r="AB147" s="15" t="str">
        <f t="shared" si="8"/>
        <v>－</v>
      </c>
      <c r="AC147" s="16">
        <f>52</f>
        <v>52</v>
      </c>
    </row>
    <row r="148" spans="1:29">
      <c r="A148" s="8" t="s">
        <v>46</v>
      </c>
      <c r="B148" s="9" t="s">
        <v>851</v>
      </c>
      <c r="C148" s="9" t="s">
        <v>852</v>
      </c>
      <c r="D148" s="9" t="s">
        <v>938</v>
      </c>
      <c r="E148" s="10" t="s">
        <v>939</v>
      </c>
      <c r="F148" s="10" t="s">
        <v>940</v>
      </c>
      <c r="G148" s="11" t="s">
        <v>303</v>
      </c>
      <c r="H148" s="12" t="s">
        <v>941</v>
      </c>
      <c r="I148" s="11" t="s">
        <v>187</v>
      </c>
      <c r="J148" s="12" t="s">
        <v>942</v>
      </c>
      <c r="K148" s="11"/>
      <c r="L148" s="12"/>
      <c r="M148" s="11" t="s">
        <v>303</v>
      </c>
      <c r="N148" s="12" t="s">
        <v>941</v>
      </c>
      <c r="O148" s="11"/>
      <c r="P148" s="12"/>
      <c r="Q148" s="11" t="s">
        <v>132</v>
      </c>
      <c r="R148" s="12" t="s">
        <v>943</v>
      </c>
      <c r="S148" s="13">
        <f>39158.18</f>
        <v>39158.18</v>
      </c>
      <c r="T148" s="14">
        <f>839</f>
        <v>839</v>
      </c>
      <c r="U148" s="14"/>
      <c r="V148" s="14"/>
      <c r="W148" s="14">
        <f>1672781000</f>
        <v>1672781000</v>
      </c>
      <c r="X148" s="14"/>
      <c r="Y148" s="14"/>
      <c r="Z148" s="11"/>
      <c r="AA148" s="15">
        <f>266</f>
        <v>266</v>
      </c>
      <c r="AB148" s="15" t="str">
        <f t="shared" si="8"/>
        <v>－</v>
      </c>
      <c r="AC148" s="16">
        <f>11</f>
        <v>11</v>
      </c>
    </row>
    <row r="149" spans="1:29">
      <c r="A149" s="8" t="s">
        <v>46</v>
      </c>
      <c r="B149" s="9" t="s">
        <v>944</v>
      </c>
      <c r="C149" s="9" t="s">
        <v>945</v>
      </c>
      <c r="D149" s="9" t="s">
        <v>49</v>
      </c>
      <c r="E149" s="10" t="s">
        <v>853</v>
      </c>
      <c r="F149" s="10" t="s">
        <v>854</v>
      </c>
      <c r="G149" s="11"/>
      <c r="H149" s="12" t="s">
        <v>260</v>
      </c>
      <c r="I149" s="11"/>
      <c r="J149" s="12" t="s">
        <v>260</v>
      </c>
      <c r="K149" s="11"/>
      <c r="L149" s="12"/>
      <c r="M149" s="11"/>
      <c r="N149" s="12" t="s">
        <v>260</v>
      </c>
      <c r="O149" s="11"/>
      <c r="P149" s="12"/>
      <c r="Q149" s="11"/>
      <c r="R149" s="12" t="s">
        <v>260</v>
      </c>
      <c r="S149" s="13">
        <f>46000</f>
        <v>46000</v>
      </c>
      <c r="T149" s="14" t="str">
        <f t="shared" ref="T149:T160" si="9">"－"</f>
        <v>－</v>
      </c>
      <c r="U149" s="14"/>
      <c r="V149" s="14"/>
      <c r="W149" s="14" t="str">
        <f t="shared" ref="W149:W160" si="10">"－"</f>
        <v>－</v>
      </c>
      <c r="X149" s="14"/>
      <c r="Y149" s="14"/>
      <c r="Z149" s="11" t="s">
        <v>60</v>
      </c>
      <c r="AA149" s="15" t="str">
        <f t="shared" ref="AA149:AA160" si="11">"－"</f>
        <v>－</v>
      </c>
      <c r="AB149" s="15" t="str">
        <f t="shared" si="8"/>
        <v>－</v>
      </c>
      <c r="AC149" s="16" t="str">
        <f t="shared" ref="AC149:AC160" si="12">"－"</f>
        <v>－</v>
      </c>
    </row>
    <row r="150" spans="1:29">
      <c r="A150" s="8" t="s">
        <v>46</v>
      </c>
      <c r="B150" s="9" t="s">
        <v>944</v>
      </c>
      <c r="C150" s="9" t="s">
        <v>945</v>
      </c>
      <c r="D150" s="9" t="s">
        <v>61</v>
      </c>
      <c r="E150" s="10" t="s">
        <v>860</v>
      </c>
      <c r="F150" s="10" t="s">
        <v>861</v>
      </c>
      <c r="G150" s="11"/>
      <c r="H150" s="12" t="s">
        <v>260</v>
      </c>
      <c r="I150" s="11"/>
      <c r="J150" s="12" t="s">
        <v>260</v>
      </c>
      <c r="K150" s="11"/>
      <c r="L150" s="12"/>
      <c r="M150" s="11"/>
      <c r="N150" s="12" t="s">
        <v>260</v>
      </c>
      <c r="O150" s="11"/>
      <c r="P150" s="12"/>
      <c r="Q150" s="11"/>
      <c r="R150" s="12" t="s">
        <v>260</v>
      </c>
      <c r="S150" s="13">
        <f>46000</f>
        <v>46000</v>
      </c>
      <c r="T150" s="14" t="str">
        <f t="shared" si="9"/>
        <v>－</v>
      </c>
      <c r="U150" s="14"/>
      <c r="V150" s="14"/>
      <c r="W150" s="14" t="str">
        <f t="shared" si="10"/>
        <v>－</v>
      </c>
      <c r="X150" s="14"/>
      <c r="Y150" s="14"/>
      <c r="Z150" s="11" t="s">
        <v>60</v>
      </c>
      <c r="AA150" s="15" t="str">
        <f t="shared" si="11"/>
        <v>－</v>
      </c>
      <c r="AB150" s="15" t="str">
        <f t="shared" si="8"/>
        <v>－</v>
      </c>
      <c r="AC150" s="16" t="str">
        <f t="shared" si="12"/>
        <v>－</v>
      </c>
    </row>
    <row r="151" spans="1:29">
      <c r="A151" s="8" t="s">
        <v>46</v>
      </c>
      <c r="B151" s="9" t="s">
        <v>944</v>
      </c>
      <c r="C151" s="9" t="s">
        <v>945</v>
      </c>
      <c r="D151" s="9" t="s">
        <v>72</v>
      </c>
      <c r="E151" s="10" t="s">
        <v>867</v>
      </c>
      <c r="F151" s="10" t="s">
        <v>868</v>
      </c>
      <c r="G151" s="11"/>
      <c r="H151" s="12" t="s">
        <v>260</v>
      </c>
      <c r="I151" s="11"/>
      <c r="J151" s="12" t="s">
        <v>260</v>
      </c>
      <c r="K151" s="11"/>
      <c r="L151" s="12"/>
      <c r="M151" s="11"/>
      <c r="N151" s="12" t="s">
        <v>260</v>
      </c>
      <c r="O151" s="11"/>
      <c r="P151" s="12"/>
      <c r="Q151" s="11"/>
      <c r="R151" s="12" t="s">
        <v>260</v>
      </c>
      <c r="S151" s="13">
        <f>47181.82</f>
        <v>47181.82</v>
      </c>
      <c r="T151" s="14" t="str">
        <f t="shared" si="9"/>
        <v>－</v>
      </c>
      <c r="U151" s="14"/>
      <c r="V151" s="14"/>
      <c r="W151" s="14" t="str">
        <f t="shared" si="10"/>
        <v>－</v>
      </c>
      <c r="X151" s="14"/>
      <c r="Y151" s="14"/>
      <c r="Z151" s="11" t="s">
        <v>60</v>
      </c>
      <c r="AA151" s="15" t="str">
        <f t="shared" si="11"/>
        <v>－</v>
      </c>
      <c r="AB151" s="15" t="str">
        <f t="shared" si="8"/>
        <v>－</v>
      </c>
      <c r="AC151" s="16" t="str">
        <f t="shared" si="12"/>
        <v>－</v>
      </c>
    </row>
    <row r="152" spans="1:29">
      <c r="A152" s="8" t="s">
        <v>46</v>
      </c>
      <c r="B152" s="9" t="s">
        <v>944</v>
      </c>
      <c r="C152" s="9" t="s">
        <v>945</v>
      </c>
      <c r="D152" s="9" t="s">
        <v>86</v>
      </c>
      <c r="E152" s="10" t="s">
        <v>875</v>
      </c>
      <c r="F152" s="10" t="s">
        <v>876</v>
      </c>
      <c r="G152" s="11"/>
      <c r="H152" s="12" t="s">
        <v>260</v>
      </c>
      <c r="I152" s="11"/>
      <c r="J152" s="12" t="s">
        <v>260</v>
      </c>
      <c r="K152" s="11"/>
      <c r="L152" s="12"/>
      <c r="M152" s="11"/>
      <c r="N152" s="12" t="s">
        <v>260</v>
      </c>
      <c r="O152" s="11"/>
      <c r="P152" s="12"/>
      <c r="Q152" s="11"/>
      <c r="R152" s="12" t="s">
        <v>260</v>
      </c>
      <c r="S152" s="13">
        <f>49986.67</f>
        <v>49986.67</v>
      </c>
      <c r="T152" s="14" t="str">
        <f t="shared" si="9"/>
        <v>－</v>
      </c>
      <c r="U152" s="14"/>
      <c r="V152" s="14"/>
      <c r="W152" s="14" t="str">
        <f t="shared" si="10"/>
        <v>－</v>
      </c>
      <c r="X152" s="14"/>
      <c r="Y152" s="14"/>
      <c r="Z152" s="11" t="s">
        <v>60</v>
      </c>
      <c r="AA152" s="15" t="str">
        <f t="shared" si="11"/>
        <v>－</v>
      </c>
      <c r="AB152" s="15" t="str">
        <f t="shared" si="8"/>
        <v>－</v>
      </c>
      <c r="AC152" s="16" t="str">
        <f t="shared" si="12"/>
        <v>－</v>
      </c>
    </row>
    <row r="153" spans="1:29">
      <c r="A153" s="8" t="s">
        <v>46</v>
      </c>
      <c r="B153" s="9" t="s">
        <v>944</v>
      </c>
      <c r="C153" s="9" t="s">
        <v>945</v>
      </c>
      <c r="D153" s="9" t="s">
        <v>97</v>
      </c>
      <c r="E153" s="10" t="s">
        <v>884</v>
      </c>
      <c r="F153" s="10" t="s">
        <v>885</v>
      </c>
      <c r="G153" s="11"/>
      <c r="H153" s="12" t="s">
        <v>260</v>
      </c>
      <c r="I153" s="11"/>
      <c r="J153" s="12" t="s">
        <v>260</v>
      </c>
      <c r="K153" s="11"/>
      <c r="L153" s="12"/>
      <c r="M153" s="11"/>
      <c r="N153" s="12" t="s">
        <v>260</v>
      </c>
      <c r="O153" s="11"/>
      <c r="P153" s="12"/>
      <c r="Q153" s="11"/>
      <c r="R153" s="12" t="s">
        <v>260</v>
      </c>
      <c r="S153" s="13">
        <f>53108.81</f>
        <v>53108.81</v>
      </c>
      <c r="T153" s="14" t="str">
        <f t="shared" si="9"/>
        <v>－</v>
      </c>
      <c r="U153" s="14"/>
      <c r="V153" s="14"/>
      <c r="W153" s="14" t="str">
        <f t="shared" si="10"/>
        <v>－</v>
      </c>
      <c r="X153" s="14"/>
      <c r="Y153" s="14"/>
      <c r="Z153" s="11" t="s">
        <v>60</v>
      </c>
      <c r="AA153" s="15" t="str">
        <f t="shared" si="11"/>
        <v>－</v>
      </c>
      <c r="AB153" s="15" t="str">
        <f t="shared" si="8"/>
        <v>－</v>
      </c>
      <c r="AC153" s="16" t="str">
        <f t="shared" si="12"/>
        <v>－</v>
      </c>
    </row>
    <row r="154" spans="1:29">
      <c r="A154" s="8" t="s">
        <v>46</v>
      </c>
      <c r="B154" s="9" t="s">
        <v>944</v>
      </c>
      <c r="C154" s="9" t="s">
        <v>945</v>
      </c>
      <c r="D154" s="9" t="s">
        <v>109</v>
      </c>
      <c r="E154" s="10" t="s">
        <v>890</v>
      </c>
      <c r="F154" s="10" t="s">
        <v>891</v>
      </c>
      <c r="G154" s="11"/>
      <c r="H154" s="12" t="s">
        <v>260</v>
      </c>
      <c r="I154" s="11"/>
      <c r="J154" s="12" t="s">
        <v>260</v>
      </c>
      <c r="K154" s="11"/>
      <c r="L154" s="12"/>
      <c r="M154" s="11"/>
      <c r="N154" s="12" t="s">
        <v>260</v>
      </c>
      <c r="O154" s="11"/>
      <c r="P154" s="12"/>
      <c r="Q154" s="11"/>
      <c r="R154" s="12" t="s">
        <v>260</v>
      </c>
      <c r="S154" s="13">
        <f>55017.09</f>
        <v>55017.09</v>
      </c>
      <c r="T154" s="14" t="str">
        <f t="shared" si="9"/>
        <v>－</v>
      </c>
      <c r="U154" s="14"/>
      <c r="V154" s="14"/>
      <c r="W154" s="14" t="str">
        <f t="shared" si="10"/>
        <v>－</v>
      </c>
      <c r="X154" s="14"/>
      <c r="Y154" s="14"/>
      <c r="Z154" s="11" t="s">
        <v>60</v>
      </c>
      <c r="AA154" s="15" t="str">
        <f t="shared" si="11"/>
        <v>－</v>
      </c>
      <c r="AB154" s="15" t="str">
        <f t="shared" si="8"/>
        <v>－</v>
      </c>
      <c r="AC154" s="16" t="str">
        <f t="shared" si="12"/>
        <v>－</v>
      </c>
    </row>
    <row r="155" spans="1:29">
      <c r="A155" s="8" t="s">
        <v>46</v>
      </c>
      <c r="B155" s="9" t="s">
        <v>944</v>
      </c>
      <c r="C155" s="9" t="s">
        <v>945</v>
      </c>
      <c r="D155" s="9" t="s">
        <v>122</v>
      </c>
      <c r="E155" s="10" t="s">
        <v>899</v>
      </c>
      <c r="F155" s="10" t="s">
        <v>900</v>
      </c>
      <c r="G155" s="11"/>
      <c r="H155" s="12" t="s">
        <v>260</v>
      </c>
      <c r="I155" s="11"/>
      <c r="J155" s="12" t="s">
        <v>260</v>
      </c>
      <c r="K155" s="11"/>
      <c r="L155" s="12"/>
      <c r="M155" s="11"/>
      <c r="N155" s="12" t="s">
        <v>260</v>
      </c>
      <c r="O155" s="11"/>
      <c r="P155" s="12"/>
      <c r="Q155" s="11"/>
      <c r="R155" s="12" t="s">
        <v>260</v>
      </c>
      <c r="S155" s="13">
        <f>56685.19</f>
        <v>56685.19</v>
      </c>
      <c r="T155" s="14" t="str">
        <f t="shared" si="9"/>
        <v>－</v>
      </c>
      <c r="U155" s="14"/>
      <c r="V155" s="14"/>
      <c r="W155" s="14" t="str">
        <f t="shared" si="10"/>
        <v>－</v>
      </c>
      <c r="X155" s="14"/>
      <c r="Y155" s="14"/>
      <c r="Z155" s="11"/>
      <c r="AA155" s="15" t="str">
        <f t="shared" si="11"/>
        <v>－</v>
      </c>
      <c r="AB155" s="15" t="str">
        <f t="shared" si="8"/>
        <v>－</v>
      </c>
      <c r="AC155" s="16" t="str">
        <f t="shared" si="12"/>
        <v>－</v>
      </c>
    </row>
    <row r="156" spans="1:29">
      <c r="A156" s="8" t="s">
        <v>46</v>
      </c>
      <c r="B156" s="9" t="s">
        <v>944</v>
      </c>
      <c r="C156" s="9" t="s">
        <v>945</v>
      </c>
      <c r="D156" s="9" t="s">
        <v>134</v>
      </c>
      <c r="E156" s="10" t="s">
        <v>907</v>
      </c>
      <c r="F156" s="10" t="s">
        <v>908</v>
      </c>
      <c r="G156" s="11"/>
      <c r="H156" s="12" t="s">
        <v>260</v>
      </c>
      <c r="I156" s="11"/>
      <c r="J156" s="12" t="s">
        <v>260</v>
      </c>
      <c r="K156" s="11"/>
      <c r="L156" s="12"/>
      <c r="M156" s="11"/>
      <c r="N156" s="12" t="s">
        <v>260</v>
      </c>
      <c r="O156" s="11"/>
      <c r="P156" s="12"/>
      <c r="Q156" s="11"/>
      <c r="R156" s="12" t="s">
        <v>260</v>
      </c>
      <c r="S156" s="13">
        <f>59264.37</f>
        <v>59264.37</v>
      </c>
      <c r="T156" s="14" t="str">
        <f t="shared" si="9"/>
        <v>－</v>
      </c>
      <c r="U156" s="14"/>
      <c r="V156" s="14"/>
      <c r="W156" s="14" t="str">
        <f t="shared" si="10"/>
        <v>－</v>
      </c>
      <c r="X156" s="14"/>
      <c r="Y156" s="14"/>
      <c r="Z156" s="11"/>
      <c r="AA156" s="15" t="str">
        <f t="shared" si="11"/>
        <v>－</v>
      </c>
      <c r="AB156" s="15" t="str">
        <f t="shared" si="8"/>
        <v>－</v>
      </c>
      <c r="AC156" s="16" t="str">
        <f t="shared" si="12"/>
        <v>－</v>
      </c>
    </row>
    <row r="157" spans="1:29">
      <c r="A157" s="8" t="s">
        <v>46</v>
      </c>
      <c r="B157" s="9" t="s">
        <v>944</v>
      </c>
      <c r="C157" s="9" t="s">
        <v>945</v>
      </c>
      <c r="D157" s="9" t="s">
        <v>146</v>
      </c>
      <c r="E157" s="10" t="s">
        <v>915</v>
      </c>
      <c r="F157" s="10" t="s">
        <v>916</v>
      </c>
      <c r="G157" s="11"/>
      <c r="H157" s="12" t="s">
        <v>260</v>
      </c>
      <c r="I157" s="11"/>
      <c r="J157" s="12" t="s">
        <v>260</v>
      </c>
      <c r="K157" s="11"/>
      <c r="L157" s="12"/>
      <c r="M157" s="11"/>
      <c r="N157" s="12" t="s">
        <v>260</v>
      </c>
      <c r="O157" s="11"/>
      <c r="P157" s="12"/>
      <c r="Q157" s="11"/>
      <c r="R157" s="12" t="s">
        <v>260</v>
      </c>
      <c r="S157" s="13">
        <f>62133.33</f>
        <v>62133.33</v>
      </c>
      <c r="T157" s="14" t="str">
        <f t="shared" si="9"/>
        <v>－</v>
      </c>
      <c r="U157" s="14"/>
      <c r="V157" s="14"/>
      <c r="W157" s="14" t="str">
        <f t="shared" si="10"/>
        <v>－</v>
      </c>
      <c r="X157" s="14"/>
      <c r="Y157" s="14"/>
      <c r="Z157" s="11"/>
      <c r="AA157" s="15" t="str">
        <f t="shared" si="11"/>
        <v>－</v>
      </c>
      <c r="AB157" s="15" t="str">
        <f t="shared" si="8"/>
        <v>－</v>
      </c>
      <c r="AC157" s="16" t="str">
        <f t="shared" si="12"/>
        <v>－</v>
      </c>
    </row>
    <row r="158" spans="1:29">
      <c r="A158" s="8" t="s">
        <v>46</v>
      </c>
      <c r="B158" s="9" t="s">
        <v>944</v>
      </c>
      <c r="C158" s="9" t="s">
        <v>945</v>
      </c>
      <c r="D158" s="9" t="s">
        <v>158</v>
      </c>
      <c r="E158" s="10" t="s">
        <v>923</v>
      </c>
      <c r="F158" s="10" t="s">
        <v>924</v>
      </c>
      <c r="G158" s="11"/>
      <c r="H158" s="12" t="s">
        <v>260</v>
      </c>
      <c r="I158" s="11"/>
      <c r="J158" s="12" t="s">
        <v>260</v>
      </c>
      <c r="K158" s="11"/>
      <c r="L158" s="12"/>
      <c r="M158" s="11"/>
      <c r="N158" s="12" t="s">
        <v>260</v>
      </c>
      <c r="O158" s="11"/>
      <c r="P158" s="12"/>
      <c r="Q158" s="11"/>
      <c r="R158" s="12" t="s">
        <v>260</v>
      </c>
      <c r="S158" s="13">
        <f>64000</f>
        <v>64000</v>
      </c>
      <c r="T158" s="14" t="str">
        <f t="shared" si="9"/>
        <v>－</v>
      </c>
      <c r="U158" s="14"/>
      <c r="V158" s="14"/>
      <c r="W158" s="14" t="str">
        <f t="shared" si="10"/>
        <v>－</v>
      </c>
      <c r="X158" s="14"/>
      <c r="Y158" s="14"/>
      <c r="Z158" s="11"/>
      <c r="AA158" s="15" t="str">
        <f t="shared" si="11"/>
        <v>－</v>
      </c>
      <c r="AB158" s="15" t="str">
        <f t="shared" si="8"/>
        <v>－</v>
      </c>
      <c r="AC158" s="16" t="str">
        <f t="shared" si="12"/>
        <v>－</v>
      </c>
    </row>
    <row r="159" spans="1:29">
      <c r="A159" s="8" t="s">
        <v>46</v>
      </c>
      <c r="B159" s="9" t="s">
        <v>944</v>
      </c>
      <c r="C159" s="9" t="s">
        <v>945</v>
      </c>
      <c r="D159" s="9" t="s">
        <v>169</v>
      </c>
      <c r="E159" s="10" t="s">
        <v>931</v>
      </c>
      <c r="F159" s="10" t="s">
        <v>932</v>
      </c>
      <c r="G159" s="11"/>
      <c r="H159" s="12" t="s">
        <v>260</v>
      </c>
      <c r="I159" s="11"/>
      <c r="J159" s="12" t="s">
        <v>260</v>
      </c>
      <c r="K159" s="11"/>
      <c r="L159" s="12"/>
      <c r="M159" s="11"/>
      <c r="N159" s="12" t="s">
        <v>260</v>
      </c>
      <c r="O159" s="11"/>
      <c r="P159" s="12"/>
      <c r="Q159" s="11"/>
      <c r="R159" s="12" t="s">
        <v>260</v>
      </c>
      <c r="S159" s="13">
        <f>64000</f>
        <v>64000</v>
      </c>
      <c r="T159" s="14" t="str">
        <f t="shared" si="9"/>
        <v>－</v>
      </c>
      <c r="U159" s="14"/>
      <c r="V159" s="14"/>
      <c r="W159" s="14" t="str">
        <f t="shared" si="10"/>
        <v>－</v>
      </c>
      <c r="X159" s="14"/>
      <c r="Y159" s="14"/>
      <c r="Z159" s="11"/>
      <c r="AA159" s="15" t="str">
        <f t="shared" si="11"/>
        <v>－</v>
      </c>
      <c r="AB159" s="15" t="str">
        <f t="shared" si="8"/>
        <v>－</v>
      </c>
      <c r="AC159" s="16" t="str">
        <f t="shared" si="12"/>
        <v>－</v>
      </c>
    </row>
    <row r="160" spans="1:29">
      <c r="A160" s="8" t="s">
        <v>46</v>
      </c>
      <c r="B160" s="9" t="s">
        <v>944</v>
      </c>
      <c r="C160" s="9" t="s">
        <v>945</v>
      </c>
      <c r="D160" s="9" t="s">
        <v>182</v>
      </c>
      <c r="E160" s="10" t="s">
        <v>939</v>
      </c>
      <c r="F160" s="10" t="s">
        <v>940</v>
      </c>
      <c r="G160" s="11"/>
      <c r="H160" s="12" t="s">
        <v>260</v>
      </c>
      <c r="I160" s="11"/>
      <c r="J160" s="12" t="s">
        <v>260</v>
      </c>
      <c r="K160" s="11"/>
      <c r="L160" s="12"/>
      <c r="M160" s="11"/>
      <c r="N160" s="12" t="s">
        <v>260</v>
      </c>
      <c r="O160" s="11"/>
      <c r="P160" s="12"/>
      <c r="Q160" s="11"/>
      <c r="R160" s="12" t="s">
        <v>260</v>
      </c>
      <c r="S160" s="13">
        <f>64000</f>
        <v>64000</v>
      </c>
      <c r="T160" s="14" t="str">
        <f t="shared" si="9"/>
        <v>－</v>
      </c>
      <c r="U160" s="14"/>
      <c r="V160" s="14"/>
      <c r="W160" s="14" t="str">
        <f t="shared" si="10"/>
        <v>－</v>
      </c>
      <c r="X160" s="14"/>
      <c r="Y160" s="14"/>
      <c r="Z160" s="11"/>
      <c r="AA160" s="15" t="str">
        <f t="shared" si="11"/>
        <v>－</v>
      </c>
      <c r="AB160" s="15" t="str">
        <f t="shared" si="8"/>
        <v>－</v>
      </c>
      <c r="AC160" s="16" t="str">
        <f t="shared" si="12"/>
        <v>－</v>
      </c>
    </row>
    <row r="161" spans="1:29">
      <c r="A161" s="8" t="s">
        <v>46</v>
      </c>
      <c r="B161" s="9" t="s">
        <v>946</v>
      </c>
      <c r="C161" s="9" t="s">
        <v>947</v>
      </c>
      <c r="D161" s="9" t="s">
        <v>592</v>
      </c>
      <c r="E161" s="10" t="s">
        <v>948</v>
      </c>
      <c r="F161" s="10" t="s">
        <v>652</v>
      </c>
      <c r="G161" s="11" t="s">
        <v>949</v>
      </c>
      <c r="H161" s="12" t="s">
        <v>950</v>
      </c>
      <c r="I161" s="11" t="s">
        <v>949</v>
      </c>
      <c r="J161" s="12" t="s">
        <v>950</v>
      </c>
      <c r="K161" s="11"/>
      <c r="L161" s="12"/>
      <c r="M161" s="11" t="s">
        <v>949</v>
      </c>
      <c r="N161" s="12" t="s">
        <v>950</v>
      </c>
      <c r="O161" s="11"/>
      <c r="P161" s="12"/>
      <c r="Q161" s="11" t="s">
        <v>949</v>
      </c>
      <c r="R161" s="12" t="s">
        <v>950</v>
      </c>
      <c r="S161" s="13">
        <f>9581.25</f>
        <v>9581.25</v>
      </c>
      <c r="T161" s="14">
        <f>1</f>
        <v>1</v>
      </c>
      <c r="U161" s="14"/>
      <c r="V161" s="14"/>
      <c r="W161" s="14">
        <f>664000</f>
        <v>664000</v>
      </c>
      <c r="X161" s="14"/>
      <c r="Y161" s="14"/>
      <c r="Z161" s="11" t="s">
        <v>60</v>
      </c>
      <c r="AA161" s="15">
        <f>1</f>
        <v>1</v>
      </c>
      <c r="AB161" s="15" t="str">
        <f t="shared" si="8"/>
        <v>－</v>
      </c>
      <c r="AC161" s="16">
        <f>1</f>
        <v>1</v>
      </c>
    </row>
    <row r="162" spans="1:29">
      <c r="A162" s="8" t="s">
        <v>46</v>
      </c>
      <c r="B162" s="9" t="s">
        <v>946</v>
      </c>
      <c r="C162" s="9" t="s">
        <v>947</v>
      </c>
      <c r="D162" s="9" t="s">
        <v>49</v>
      </c>
      <c r="E162" s="10" t="s">
        <v>87</v>
      </c>
      <c r="F162" s="10" t="s">
        <v>51</v>
      </c>
      <c r="G162" s="11"/>
      <c r="H162" s="12" t="s">
        <v>260</v>
      </c>
      <c r="I162" s="11"/>
      <c r="J162" s="12" t="s">
        <v>260</v>
      </c>
      <c r="K162" s="11"/>
      <c r="L162" s="12"/>
      <c r="M162" s="11"/>
      <c r="N162" s="12" t="s">
        <v>260</v>
      </c>
      <c r="O162" s="11"/>
      <c r="P162" s="12"/>
      <c r="Q162" s="11"/>
      <c r="R162" s="12" t="s">
        <v>260</v>
      </c>
      <c r="S162" s="13">
        <f>12300</f>
        <v>12300</v>
      </c>
      <c r="T162" s="14" t="str">
        <f>"－"</f>
        <v>－</v>
      </c>
      <c r="U162" s="14"/>
      <c r="V162" s="14"/>
      <c r="W162" s="14" t="str">
        <f>"－"</f>
        <v>－</v>
      </c>
      <c r="X162" s="14"/>
      <c r="Y162" s="14"/>
      <c r="Z162" s="11" t="s">
        <v>60</v>
      </c>
      <c r="AA162" s="15" t="str">
        <f>"－"</f>
        <v>－</v>
      </c>
      <c r="AB162" s="15" t="str">
        <f t="shared" si="8"/>
        <v>－</v>
      </c>
      <c r="AC162" s="16" t="str">
        <f>"－"</f>
        <v>－</v>
      </c>
    </row>
    <row r="163" spans="1:29">
      <c r="A163" s="8" t="s">
        <v>46</v>
      </c>
      <c r="B163" s="9" t="s">
        <v>946</v>
      </c>
      <c r="C163" s="9" t="s">
        <v>947</v>
      </c>
      <c r="D163" s="9" t="s">
        <v>612</v>
      </c>
      <c r="E163" s="10" t="s">
        <v>951</v>
      </c>
      <c r="F163" s="10" t="s">
        <v>670</v>
      </c>
      <c r="G163" s="11"/>
      <c r="H163" s="12" t="s">
        <v>260</v>
      </c>
      <c r="I163" s="11"/>
      <c r="J163" s="12" t="s">
        <v>260</v>
      </c>
      <c r="K163" s="11"/>
      <c r="L163" s="12"/>
      <c r="M163" s="11"/>
      <c r="N163" s="12" t="s">
        <v>260</v>
      </c>
      <c r="O163" s="11"/>
      <c r="P163" s="12"/>
      <c r="Q163" s="11"/>
      <c r="R163" s="12" t="s">
        <v>260</v>
      </c>
      <c r="S163" s="13">
        <f>12300</f>
        <v>12300</v>
      </c>
      <c r="T163" s="14" t="str">
        <f>"－"</f>
        <v>－</v>
      </c>
      <c r="U163" s="14"/>
      <c r="V163" s="14"/>
      <c r="W163" s="14" t="str">
        <f>"－"</f>
        <v>－</v>
      </c>
      <c r="X163" s="14"/>
      <c r="Y163" s="14"/>
      <c r="Z163" s="11" t="s">
        <v>60</v>
      </c>
      <c r="AA163" s="15" t="str">
        <f>"－"</f>
        <v>－</v>
      </c>
      <c r="AB163" s="15" t="str">
        <f t="shared" si="8"/>
        <v>－</v>
      </c>
      <c r="AC163" s="16" t="str">
        <f>"－"</f>
        <v>－</v>
      </c>
    </row>
    <row r="164" spans="1:29">
      <c r="A164" s="8" t="s">
        <v>46</v>
      </c>
      <c r="B164" s="9" t="s">
        <v>946</v>
      </c>
      <c r="C164" s="9" t="s">
        <v>947</v>
      </c>
      <c r="D164" s="9" t="s">
        <v>61</v>
      </c>
      <c r="E164" s="10" t="s">
        <v>98</v>
      </c>
      <c r="F164" s="10" t="s">
        <v>63</v>
      </c>
      <c r="G164" s="11" t="s">
        <v>952</v>
      </c>
      <c r="H164" s="12" t="s">
        <v>953</v>
      </c>
      <c r="I164" s="11" t="s">
        <v>952</v>
      </c>
      <c r="J164" s="12" t="s">
        <v>953</v>
      </c>
      <c r="K164" s="11"/>
      <c r="L164" s="12"/>
      <c r="M164" s="11" t="s">
        <v>627</v>
      </c>
      <c r="N164" s="12" t="s">
        <v>954</v>
      </c>
      <c r="O164" s="11"/>
      <c r="P164" s="12"/>
      <c r="Q164" s="11" t="s">
        <v>627</v>
      </c>
      <c r="R164" s="12" t="s">
        <v>954</v>
      </c>
      <c r="S164" s="13">
        <f>11438.46</f>
        <v>11438.46</v>
      </c>
      <c r="T164" s="14">
        <f>2</f>
        <v>2</v>
      </c>
      <c r="U164" s="14"/>
      <c r="V164" s="14"/>
      <c r="W164" s="14">
        <f>1800000</f>
        <v>1800000</v>
      </c>
      <c r="X164" s="14"/>
      <c r="Y164" s="14"/>
      <c r="Z164" s="11" t="s">
        <v>60</v>
      </c>
      <c r="AA164" s="15">
        <f>1</f>
        <v>1</v>
      </c>
      <c r="AB164" s="15" t="str">
        <f t="shared" si="8"/>
        <v>－</v>
      </c>
      <c r="AC164" s="16">
        <f>2</f>
        <v>2</v>
      </c>
    </row>
    <row r="165" spans="1:29">
      <c r="A165" s="8" t="s">
        <v>46</v>
      </c>
      <c r="B165" s="9" t="s">
        <v>946</v>
      </c>
      <c r="C165" s="9" t="s">
        <v>947</v>
      </c>
      <c r="D165" s="9" t="s">
        <v>633</v>
      </c>
      <c r="E165" s="10" t="s">
        <v>955</v>
      </c>
      <c r="F165" s="10" t="s">
        <v>689</v>
      </c>
      <c r="G165" s="11" t="s">
        <v>952</v>
      </c>
      <c r="H165" s="12" t="s">
        <v>953</v>
      </c>
      <c r="I165" s="11" t="s">
        <v>952</v>
      </c>
      <c r="J165" s="12" t="s">
        <v>953</v>
      </c>
      <c r="K165" s="11"/>
      <c r="L165" s="12"/>
      <c r="M165" s="11" t="s">
        <v>627</v>
      </c>
      <c r="N165" s="12" t="s">
        <v>956</v>
      </c>
      <c r="O165" s="11"/>
      <c r="P165" s="12"/>
      <c r="Q165" s="11" t="s">
        <v>627</v>
      </c>
      <c r="R165" s="12" t="s">
        <v>956</v>
      </c>
      <c r="S165" s="13">
        <f>11418.75</f>
        <v>11418.75</v>
      </c>
      <c r="T165" s="14">
        <f>4</f>
        <v>4</v>
      </c>
      <c r="U165" s="14"/>
      <c r="V165" s="14"/>
      <c r="W165" s="14">
        <f>3664000</f>
        <v>3664000</v>
      </c>
      <c r="X165" s="14"/>
      <c r="Y165" s="14"/>
      <c r="Z165" s="11" t="s">
        <v>60</v>
      </c>
      <c r="AA165" s="15">
        <f>1</f>
        <v>1</v>
      </c>
      <c r="AB165" s="15" t="str">
        <f t="shared" si="8"/>
        <v>－</v>
      </c>
      <c r="AC165" s="16">
        <f>2</f>
        <v>2</v>
      </c>
    </row>
    <row r="166" spans="1:29">
      <c r="A166" s="8" t="s">
        <v>46</v>
      </c>
      <c r="B166" s="9" t="s">
        <v>946</v>
      </c>
      <c r="C166" s="9" t="s">
        <v>947</v>
      </c>
      <c r="D166" s="9" t="s">
        <v>72</v>
      </c>
      <c r="E166" s="10" t="s">
        <v>644</v>
      </c>
      <c r="F166" s="10" t="s">
        <v>74</v>
      </c>
      <c r="G166" s="11"/>
      <c r="H166" s="12" t="s">
        <v>260</v>
      </c>
      <c r="I166" s="11"/>
      <c r="J166" s="12" t="s">
        <v>260</v>
      </c>
      <c r="K166" s="11"/>
      <c r="L166" s="12"/>
      <c r="M166" s="11"/>
      <c r="N166" s="12" t="s">
        <v>260</v>
      </c>
      <c r="O166" s="11"/>
      <c r="P166" s="12"/>
      <c r="Q166" s="11"/>
      <c r="R166" s="12" t="s">
        <v>260</v>
      </c>
      <c r="S166" s="13">
        <f>12300</f>
        <v>12300</v>
      </c>
      <c r="T166" s="14" t="str">
        <f t="shared" ref="T166:T178" si="13">"－"</f>
        <v>－</v>
      </c>
      <c r="U166" s="14"/>
      <c r="V166" s="14"/>
      <c r="W166" s="14" t="str">
        <f t="shared" ref="W166:W178" si="14">"－"</f>
        <v>－</v>
      </c>
      <c r="X166" s="14"/>
      <c r="Y166" s="14"/>
      <c r="Z166" s="11" t="s">
        <v>60</v>
      </c>
      <c r="AA166" s="15" t="str">
        <f t="shared" ref="AA166:AA178" si="15">"－"</f>
        <v>－</v>
      </c>
      <c r="AB166" s="15" t="str">
        <f t="shared" si="8"/>
        <v>－</v>
      </c>
      <c r="AC166" s="16" t="str">
        <f t="shared" ref="AC166:AC178" si="16">"－"</f>
        <v>－</v>
      </c>
    </row>
    <row r="167" spans="1:29">
      <c r="A167" s="8" t="s">
        <v>46</v>
      </c>
      <c r="B167" s="9" t="s">
        <v>946</v>
      </c>
      <c r="C167" s="9" t="s">
        <v>947</v>
      </c>
      <c r="D167" s="9" t="s">
        <v>651</v>
      </c>
      <c r="E167" s="10" t="s">
        <v>957</v>
      </c>
      <c r="F167" s="10" t="s">
        <v>708</v>
      </c>
      <c r="G167" s="11"/>
      <c r="H167" s="12" t="s">
        <v>260</v>
      </c>
      <c r="I167" s="11"/>
      <c r="J167" s="12" t="s">
        <v>260</v>
      </c>
      <c r="K167" s="11"/>
      <c r="L167" s="12"/>
      <c r="M167" s="11"/>
      <c r="N167" s="12" t="s">
        <v>260</v>
      </c>
      <c r="O167" s="11"/>
      <c r="P167" s="12"/>
      <c r="Q167" s="11"/>
      <c r="R167" s="12" t="s">
        <v>260</v>
      </c>
      <c r="S167" s="13">
        <f>12300</f>
        <v>12300</v>
      </c>
      <c r="T167" s="14" t="str">
        <f t="shared" si="13"/>
        <v>－</v>
      </c>
      <c r="U167" s="14"/>
      <c r="V167" s="14"/>
      <c r="W167" s="14" t="str">
        <f t="shared" si="14"/>
        <v>－</v>
      </c>
      <c r="X167" s="14"/>
      <c r="Y167" s="14"/>
      <c r="Z167" s="11" t="s">
        <v>60</v>
      </c>
      <c r="AA167" s="15" t="str">
        <f t="shared" si="15"/>
        <v>－</v>
      </c>
      <c r="AB167" s="15" t="str">
        <f t="shared" si="8"/>
        <v>－</v>
      </c>
      <c r="AC167" s="16" t="str">
        <f t="shared" si="16"/>
        <v>－</v>
      </c>
    </row>
    <row r="168" spans="1:29">
      <c r="A168" s="8" t="s">
        <v>46</v>
      </c>
      <c r="B168" s="9" t="s">
        <v>946</v>
      </c>
      <c r="C168" s="9" t="s">
        <v>947</v>
      </c>
      <c r="D168" s="9" t="s">
        <v>86</v>
      </c>
      <c r="E168" s="10" t="s">
        <v>123</v>
      </c>
      <c r="F168" s="10" t="s">
        <v>88</v>
      </c>
      <c r="G168" s="11"/>
      <c r="H168" s="12" t="s">
        <v>260</v>
      </c>
      <c r="I168" s="11"/>
      <c r="J168" s="12" t="s">
        <v>260</v>
      </c>
      <c r="K168" s="11"/>
      <c r="L168" s="12"/>
      <c r="M168" s="11"/>
      <c r="N168" s="12" t="s">
        <v>260</v>
      </c>
      <c r="O168" s="11"/>
      <c r="P168" s="12"/>
      <c r="Q168" s="11"/>
      <c r="R168" s="12" t="s">
        <v>260</v>
      </c>
      <c r="S168" s="13">
        <f>12300</f>
        <v>12300</v>
      </c>
      <c r="T168" s="14" t="str">
        <f t="shared" si="13"/>
        <v>－</v>
      </c>
      <c r="U168" s="14"/>
      <c r="V168" s="14"/>
      <c r="W168" s="14" t="str">
        <f t="shared" si="14"/>
        <v>－</v>
      </c>
      <c r="X168" s="14"/>
      <c r="Y168" s="14"/>
      <c r="Z168" s="11" t="s">
        <v>60</v>
      </c>
      <c r="AA168" s="15" t="str">
        <f t="shared" si="15"/>
        <v>－</v>
      </c>
      <c r="AB168" s="15" t="str">
        <f t="shared" si="8"/>
        <v>－</v>
      </c>
      <c r="AC168" s="16" t="str">
        <f t="shared" si="16"/>
        <v>－</v>
      </c>
    </row>
    <row r="169" spans="1:29">
      <c r="A169" s="8" t="s">
        <v>46</v>
      </c>
      <c r="B169" s="9" t="s">
        <v>946</v>
      </c>
      <c r="C169" s="9" t="s">
        <v>947</v>
      </c>
      <c r="D169" s="9" t="s">
        <v>669</v>
      </c>
      <c r="E169" s="10" t="s">
        <v>958</v>
      </c>
      <c r="F169" s="10" t="s">
        <v>755</v>
      </c>
      <c r="G169" s="11"/>
      <c r="H169" s="12" t="s">
        <v>260</v>
      </c>
      <c r="I169" s="11"/>
      <c r="J169" s="12" t="s">
        <v>260</v>
      </c>
      <c r="K169" s="11"/>
      <c r="L169" s="12"/>
      <c r="M169" s="11"/>
      <c r="N169" s="12" t="s">
        <v>260</v>
      </c>
      <c r="O169" s="11"/>
      <c r="P169" s="12"/>
      <c r="Q169" s="11"/>
      <c r="R169" s="12" t="s">
        <v>260</v>
      </c>
      <c r="S169" s="13">
        <f>12300</f>
        <v>12300</v>
      </c>
      <c r="T169" s="14" t="str">
        <f t="shared" si="13"/>
        <v>－</v>
      </c>
      <c r="U169" s="14"/>
      <c r="V169" s="14"/>
      <c r="W169" s="14" t="str">
        <f t="shared" si="14"/>
        <v>－</v>
      </c>
      <c r="X169" s="14"/>
      <c r="Y169" s="14"/>
      <c r="Z169" s="11" t="s">
        <v>60</v>
      </c>
      <c r="AA169" s="15" t="str">
        <f t="shared" si="15"/>
        <v>－</v>
      </c>
      <c r="AB169" s="15" t="str">
        <f t="shared" si="8"/>
        <v>－</v>
      </c>
      <c r="AC169" s="16" t="str">
        <f t="shared" si="16"/>
        <v>－</v>
      </c>
    </row>
    <row r="170" spans="1:29">
      <c r="A170" s="8" t="s">
        <v>46</v>
      </c>
      <c r="B170" s="9" t="s">
        <v>946</v>
      </c>
      <c r="C170" s="9" t="s">
        <v>947</v>
      </c>
      <c r="D170" s="9" t="s">
        <v>97</v>
      </c>
      <c r="E170" s="10" t="s">
        <v>135</v>
      </c>
      <c r="F170" s="10" t="s">
        <v>99</v>
      </c>
      <c r="G170" s="11"/>
      <c r="H170" s="12" t="s">
        <v>260</v>
      </c>
      <c r="I170" s="11"/>
      <c r="J170" s="12" t="s">
        <v>260</v>
      </c>
      <c r="K170" s="11"/>
      <c r="L170" s="12"/>
      <c r="M170" s="11"/>
      <c r="N170" s="12" t="s">
        <v>260</v>
      </c>
      <c r="O170" s="11"/>
      <c r="P170" s="12"/>
      <c r="Q170" s="11"/>
      <c r="R170" s="12" t="s">
        <v>260</v>
      </c>
      <c r="S170" s="13">
        <f>12300</f>
        <v>12300</v>
      </c>
      <c r="T170" s="14" t="str">
        <f t="shared" si="13"/>
        <v>－</v>
      </c>
      <c r="U170" s="14"/>
      <c r="V170" s="14"/>
      <c r="W170" s="14" t="str">
        <f t="shared" si="14"/>
        <v>－</v>
      </c>
      <c r="X170" s="14"/>
      <c r="Y170" s="14"/>
      <c r="Z170" s="11" t="s">
        <v>60</v>
      </c>
      <c r="AA170" s="15" t="str">
        <f t="shared" si="15"/>
        <v>－</v>
      </c>
      <c r="AB170" s="15" t="str">
        <f t="shared" si="8"/>
        <v>－</v>
      </c>
      <c r="AC170" s="16" t="str">
        <f t="shared" si="16"/>
        <v>－</v>
      </c>
    </row>
    <row r="171" spans="1:29">
      <c r="A171" s="8" t="s">
        <v>46</v>
      </c>
      <c r="B171" s="9" t="s">
        <v>946</v>
      </c>
      <c r="C171" s="9" t="s">
        <v>947</v>
      </c>
      <c r="D171" s="9" t="s">
        <v>524</v>
      </c>
      <c r="E171" s="10" t="s">
        <v>959</v>
      </c>
      <c r="F171" s="10" t="s">
        <v>768</v>
      </c>
      <c r="G171" s="11"/>
      <c r="H171" s="12" t="s">
        <v>260</v>
      </c>
      <c r="I171" s="11"/>
      <c r="J171" s="12" t="s">
        <v>260</v>
      </c>
      <c r="K171" s="11"/>
      <c r="L171" s="12"/>
      <c r="M171" s="11"/>
      <c r="N171" s="12" t="s">
        <v>260</v>
      </c>
      <c r="O171" s="11"/>
      <c r="P171" s="12"/>
      <c r="Q171" s="11"/>
      <c r="R171" s="12" t="s">
        <v>260</v>
      </c>
      <c r="S171" s="13">
        <f>12300</f>
        <v>12300</v>
      </c>
      <c r="T171" s="14" t="str">
        <f t="shared" si="13"/>
        <v>－</v>
      </c>
      <c r="U171" s="14"/>
      <c r="V171" s="14"/>
      <c r="W171" s="14" t="str">
        <f t="shared" si="14"/>
        <v>－</v>
      </c>
      <c r="X171" s="14"/>
      <c r="Y171" s="14"/>
      <c r="Z171" s="11" t="s">
        <v>60</v>
      </c>
      <c r="AA171" s="15" t="str">
        <f t="shared" si="15"/>
        <v>－</v>
      </c>
      <c r="AB171" s="15" t="str">
        <f t="shared" si="8"/>
        <v>－</v>
      </c>
      <c r="AC171" s="16" t="str">
        <f t="shared" si="16"/>
        <v>－</v>
      </c>
    </row>
    <row r="172" spans="1:29">
      <c r="A172" s="8" t="s">
        <v>46</v>
      </c>
      <c r="B172" s="9" t="s">
        <v>946</v>
      </c>
      <c r="C172" s="9" t="s">
        <v>947</v>
      </c>
      <c r="D172" s="9" t="s">
        <v>109</v>
      </c>
      <c r="E172" s="10" t="s">
        <v>147</v>
      </c>
      <c r="F172" s="10" t="s">
        <v>223</v>
      </c>
      <c r="G172" s="11"/>
      <c r="H172" s="12" t="s">
        <v>260</v>
      </c>
      <c r="I172" s="11"/>
      <c r="J172" s="12" t="s">
        <v>260</v>
      </c>
      <c r="K172" s="11"/>
      <c r="L172" s="12"/>
      <c r="M172" s="11"/>
      <c r="N172" s="12" t="s">
        <v>260</v>
      </c>
      <c r="O172" s="11"/>
      <c r="P172" s="12"/>
      <c r="Q172" s="11"/>
      <c r="R172" s="12" t="s">
        <v>260</v>
      </c>
      <c r="S172" s="13">
        <f>12300</f>
        <v>12300</v>
      </c>
      <c r="T172" s="14" t="str">
        <f t="shared" si="13"/>
        <v>－</v>
      </c>
      <c r="U172" s="14"/>
      <c r="V172" s="14"/>
      <c r="W172" s="14" t="str">
        <f t="shared" si="14"/>
        <v>－</v>
      </c>
      <c r="X172" s="14"/>
      <c r="Y172" s="14"/>
      <c r="Z172" s="11" t="s">
        <v>60</v>
      </c>
      <c r="AA172" s="15" t="str">
        <f t="shared" si="15"/>
        <v>－</v>
      </c>
      <c r="AB172" s="15" t="str">
        <f t="shared" si="8"/>
        <v>－</v>
      </c>
      <c r="AC172" s="16" t="str">
        <f t="shared" si="16"/>
        <v>－</v>
      </c>
    </row>
    <row r="173" spans="1:29">
      <c r="A173" s="8" t="s">
        <v>46</v>
      </c>
      <c r="B173" s="9" t="s">
        <v>946</v>
      </c>
      <c r="C173" s="9" t="s">
        <v>947</v>
      </c>
      <c r="D173" s="9" t="s">
        <v>544</v>
      </c>
      <c r="E173" s="10" t="s">
        <v>960</v>
      </c>
      <c r="F173" s="10" t="s">
        <v>961</v>
      </c>
      <c r="G173" s="11"/>
      <c r="H173" s="12" t="s">
        <v>260</v>
      </c>
      <c r="I173" s="11"/>
      <c r="J173" s="12" t="s">
        <v>260</v>
      </c>
      <c r="K173" s="11"/>
      <c r="L173" s="12"/>
      <c r="M173" s="11"/>
      <c r="N173" s="12" t="s">
        <v>260</v>
      </c>
      <c r="O173" s="11"/>
      <c r="P173" s="12"/>
      <c r="Q173" s="11"/>
      <c r="R173" s="12" t="s">
        <v>260</v>
      </c>
      <c r="S173" s="13">
        <f>12300</f>
        <v>12300</v>
      </c>
      <c r="T173" s="14" t="str">
        <f t="shared" si="13"/>
        <v>－</v>
      </c>
      <c r="U173" s="14"/>
      <c r="V173" s="14"/>
      <c r="W173" s="14" t="str">
        <f t="shared" si="14"/>
        <v>－</v>
      </c>
      <c r="X173" s="14"/>
      <c r="Y173" s="14"/>
      <c r="Z173" s="11"/>
      <c r="AA173" s="15" t="str">
        <f t="shared" si="15"/>
        <v>－</v>
      </c>
      <c r="AB173" s="15" t="str">
        <f t="shared" si="8"/>
        <v>－</v>
      </c>
      <c r="AC173" s="16" t="str">
        <f t="shared" si="16"/>
        <v>－</v>
      </c>
    </row>
    <row r="174" spans="1:29">
      <c r="A174" s="8" t="s">
        <v>46</v>
      </c>
      <c r="B174" s="9" t="s">
        <v>946</v>
      </c>
      <c r="C174" s="9" t="s">
        <v>947</v>
      </c>
      <c r="D174" s="9" t="s">
        <v>122</v>
      </c>
      <c r="E174" s="10" t="s">
        <v>159</v>
      </c>
      <c r="F174" s="10" t="s">
        <v>124</v>
      </c>
      <c r="G174" s="11"/>
      <c r="H174" s="12" t="s">
        <v>260</v>
      </c>
      <c r="I174" s="11"/>
      <c r="J174" s="12" t="s">
        <v>260</v>
      </c>
      <c r="K174" s="11"/>
      <c r="L174" s="12"/>
      <c r="M174" s="11"/>
      <c r="N174" s="12" t="s">
        <v>260</v>
      </c>
      <c r="O174" s="11"/>
      <c r="P174" s="12"/>
      <c r="Q174" s="11"/>
      <c r="R174" s="12" t="s">
        <v>260</v>
      </c>
      <c r="S174" s="13">
        <f>12300</f>
        <v>12300</v>
      </c>
      <c r="T174" s="14" t="str">
        <f t="shared" si="13"/>
        <v>－</v>
      </c>
      <c r="U174" s="14"/>
      <c r="V174" s="14"/>
      <c r="W174" s="14" t="str">
        <f t="shared" si="14"/>
        <v>－</v>
      </c>
      <c r="X174" s="14"/>
      <c r="Y174" s="14"/>
      <c r="Z174" s="11"/>
      <c r="AA174" s="15" t="str">
        <f t="shared" si="15"/>
        <v>－</v>
      </c>
      <c r="AB174" s="15" t="str">
        <f t="shared" si="8"/>
        <v>－</v>
      </c>
      <c r="AC174" s="16" t="str">
        <f t="shared" si="16"/>
        <v>－</v>
      </c>
    </row>
    <row r="175" spans="1:29">
      <c r="A175" s="8" t="s">
        <v>46</v>
      </c>
      <c r="B175" s="9" t="s">
        <v>946</v>
      </c>
      <c r="C175" s="9" t="s">
        <v>947</v>
      </c>
      <c r="D175" s="9" t="s">
        <v>557</v>
      </c>
      <c r="E175" s="10" t="s">
        <v>962</v>
      </c>
      <c r="F175" s="10" t="s">
        <v>963</v>
      </c>
      <c r="G175" s="11"/>
      <c r="H175" s="12" t="s">
        <v>260</v>
      </c>
      <c r="I175" s="11"/>
      <c r="J175" s="12" t="s">
        <v>260</v>
      </c>
      <c r="K175" s="11"/>
      <c r="L175" s="12"/>
      <c r="M175" s="11"/>
      <c r="N175" s="12" t="s">
        <v>260</v>
      </c>
      <c r="O175" s="11"/>
      <c r="P175" s="12"/>
      <c r="Q175" s="11"/>
      <c r="R175" s="12" t="s">
        <v>260</v>
      </c>
      <c r="S175" s="13">
        <f>12300</f>
        <v>12300</v>
      </c>
      <c r="T175" s="14" t="str">
        <f t="shared" si="13"/>
        <v>－</v>
      </c>
      <c r="U175" s="14"/>
      <c r="V175" s="14"/>
      <c r="W175" s="14" t="str">
        <f t="shared" si="14"/>
        <v>－</v>
      </c>
      <c r="X175" s="14"/>
      <c r="Y175" s="14"/>
      <c r="Z175" s="11"/>
      <c r="AA175" s="15" t="str">
        <f t="shared" si="15"/>
        <v>－</v>
      </c>
      <c r="AB175" s="15" t="str">
        <f t="shared" si="8"/>
        <v>－</v>
      </c>
      <c r="AC175" s="16" t="str">
        <f t="shared" si="16"/>
        <v>－</v>
      </c>
    </row>
    <row r="176" spans="1:29">
      <c r="A176" s="8" t="s">
        <v>46</v>
      </c>
      <c r="B176" s="9" t="s">
        <v>946</v>
      </c>
      <c r="C176" s="9" t="s">
        <v>947</v>
      </c>
      <c r="D176" s="9" t="s">
        <v>134</v>
      </c>
      <c r="E176" s="10" t="s">
        <v>170</v>
      </c>
      <c r="F176" s="10" t="s">
        <v>136</v>
      </c>
      <c r="G176" s="11"/>
      <c r="H176" s="12" t="s">
        <v>260</v>
      </c>
      <c r="I176" s="11"/>
      <c r="J176" s="12" t="s">
        <v>260</v>
      </c>
      <c r="K176" s="11"/>
      <c r="L176" s="12"/>
      <c r="M176" s="11"/>
      <c r="N176" s="12" t="s">
        <v>260</v>
      </c>
      <c r="O176" s="11"/>
      <c r="P176" s="12"/>
      <c r="Q176" s="11"/>
      <c r="R176" s="12" t="s">
        <v>260</v>
      </c>
      <c r="S176" s="13">
        <f>12300</f>
        <v>12300</v>
      </c>
      <c r="T176" s="14" t="str">
        <f t="shared" si="13"/>
        <v>－</v>
      </c>
      <c r="U176" s="14"/>
      <c r="V176" s="14"/>
      <c r="W176" s="14" t="str">
        <f t="shared" si="14"/>
        <v>－</v>
      </c>
      <c r="X176" s="14"/>
      <c r="Y176" s="14"/>
      <c r="Z176" s="11"/>
      <c r="AA176" s="15" t="str">
        <f t="shared" si="15"/>
        <v>－</v>
      </c>
      <c r="AB176" s="15" t="str">
        <f t="shared" si="8"/>
        <v>－</v>
      </c>
      <c r="AC176" s="16" t="str">
        <f t="shared" si="16"/>
        <v>－</v>
      </c>
    </row>
    <row r="177" spans="1:29">
      <c r="A177" s="8" t="s">
        <v>46</v>
      </c>
      <c r="B177" s="9" t="s">
        <v>946</v>
      </c>
      <c r="C177" s="9" t="s">
        <v>947</v>
      </c>
      <c r="D177" s="9" t="s">
        <v>577</v>
      </c>
      <c r="E177" s="10" t="s">
        <v>964</v>
      </c>
      <c r="F177" s="10" t="s">
        <v>965</v>
      </c>
      <c r="G177" s="11"/>
      <c r="H177" s="12" t="s">
        <v>260</v>
      </c>
      <c r="I177" s="11"/>
      <c r="J177" s="12" t="s">
        <v>260</v>
      </c>
      <c r="K177" s="11"/>
      <c r="L177" s="12"/>
      <c r="M177" s="11"/>
      <c r="N177" s="12" t="s">
        <v>260</v>
      </c>
      <c r="O177" s="11"/>
      <c r="P177" s="12"/>
      <c r="Q177" s="11"/>
      <c r="R177" s="12" t="s">
        <v>260</v>
      </c>
      <c r="S177" s="13">
        <f>12300</f>
        <v>12300</v>
      </c>
      <c r="T177" s="14" t="str">
        <f t="shared" si="13"/>
        <v>－</v>
      </c>
      <c r="U177" s="14"/>
      <c r="V177" s="14"/>
      <c r="W177" s="14" t="str">
        <f t="shared" si="14"/>
        <v>－</v>
      </c>
      <c r="X177" s="14"/>
      <c r="Y177" s="14"/>
      <c r="Z177" s="11"/>
      <c r="AA177" s="15" t="str">
        <f t="shared" si="15"/>
        <v>－</v>
      </c>
      <c r="AB177" s="15" t="str">
        <f t="shared" si="8"/>
        <v>－</v>
      </c>
      <c r="AC177" s="16" t="str">
        <f t="shared" si="16"/>
        <v>－</v>
      </c>
    </row>
    <row r="178" spans="1:29">
      <c r="A178" s="8" t="s">
        <v>46</v>
      </c>
      <c r="B178" s="9" t="s">
        <v>946</v>
      </c>
      <c r="C178" s="9" t="s">
        <v>947</v>
      </c>
      <c r="D178" s="9" t="s">
        <v>146</v>
      </c>
      <c r="E178" s="10" t="s">
        <v>111</v>
      </c>
      <c r="F178" s="10" t="s">
        <v>148</v>
      </c>
      <c r="G178" s="11"/>
      <c r="H178" s="12" t="s">
        <v>260</v>
      </c>
      <c r="I178" s="11"/>
      <c r="J178" s="12" t="s">
        <v>260</v>
      </c>
      <c r="K178" s="11"/>
      <c r="L178" s="12"/>
      <c r="M178" s="11"/>
      <c r="N178" s="12" t="s">
        <v>260</v>
      </c>
      <c r="O178" s="11"/>
      <c r="P178" s="12"/>
      <c r="Q178" s="11"/>
      <c r="R178" s="12" t="s">
        <v>260</v>
      </c>
      <c r="S178" s="13">
        <f>12300</f>
        <v>12300</v>
      </c>
      <c r="T178" s="14" t="str">
        <f t="shared" si="13"/>
        <v>－</v>
      </c>
      <c r="U178" s="14"/>
      <c r="V178" s="14"/>
      <c r="W178" s="14" t="str">
        <f t="shared" si="14"/>
        <v>－</v>
      </c>
      <c r="X178" s="14"/>
      <c r="Y178" s="14"/>
      <c r="Z178" s="11"/>
      <c r="AA178" s="15" t="str">
        <f t="shared" si="15"/>
        <v>－</v>
      </c>
      <c r="AB178" s="15" t="str">
        <f t="shared" si="8"/>
        <v>－</v>
      </c>
      <c r="AC178" s="16" t="str">
        <f t="shared" si="16"/>
        <v>－</v>
      </c>
    </row>
  </sheetData>
  <mergeCells count="32">
    <mergeCell ref="E6:F6"/>
    <mergeCell ref="D3:D5"/>
    <mergeCell ref="E3:F5"/>
    <mergeCell ref="K4:L4"/>
    <mergeCell ref="AC3:AC5"/>
    <mergeCell ref="T4:T5"/>
    <mergeCell ref="S3:S5"/>
    <mergeCell ref="G4:G5"/>
    <mergeCell ref="AB3:AB5"/>
    <mergeCell ref="Z3:AA5"/>
    <mergeCell ref="X4:X5"/>
    <mergeCell ref="O4:P4"/>
    <mergeCell ref="U4:U5"/>
    <mergeCell ref="W4:W5"/>
    <mergeCell ref="V4:V5"/>
    <mergeCell ref="Y4:Y5"/>
    <mergeCell ref="A1:J1"/>
    <mergeCell ref="A2:C2"/>
    <mergeCell ref="T3:V3"/>
    <mergeCell ref="W3:Y3"/>
    <mergeCell ref="Z6:AA6"/>
    <mergeCell ref="A3:A5"/>
    <mergeCell ref="G3:R3"/>
    <mergeCell ref="I4:I5"/>
    <mergeCell ref="J4:J5"/>
    <mergeCell ref="M4:M5"/>
    <mergeCell ref="N4:N5"/>
    <mergeCell ref="Q4:Q5"/>
    <mergeCell ref="R4:R5"/>
    <mergeCell ref="B3:B6"/>
    <mergeCell ref="C3:C6"/>
    <mergeCell ref="H4:H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C033-8712-4855-8EDB-7313B1D5D19D}">
  <sheetPr>
    <pageSetUpPr fitToPage="1"/>
  </sheetPr>
  <dimension ref="A1:AD228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 customHeight="1"/>
  <cols>
    <col min="1" max="1" width="10.625" style="65" customWidth="1"/>
    <col min="2" max="2" width="25.75" style="65" bestFit="1" customWidth="1"/>
    <col min="3" max="3" width="34.5" style="65" bestFit="1" customWidth="1"/>
    <col min="4" max="4" width="10.25" style="65" bestFit="1" customWidth="1"/>
    <col min="5" max="6" width="10.75" style="65" customWidth="1"/>
    <col min="7" max="7" width="10.25" style="65" customWidth="1"/>
    <col min="8" max="8" width="6.125" style="65" customWidth="1"/>
    <col min="9" max="9" width="15.25" style="65" customWidth="1"/>
    <col min="10" max="10" width="6.125" style="65" customWidth="1"/>
    <col min="11" max="11" width="15.25" style="65" customWidth="1"/>
    <col min="12" max="12" width="6.125" style="65" customWidth="1"/>
    <col min="13" max="13" width="15.25" style="65" customWidth="1"/>
    <col min="14" max="14" width="6.125" style="65" customWidth="1"/>
    <col min="15" max="15" width="15.25" style="65" customWidth="1"/>
    <col min="16" max="16" width="6.125" style="65" customWidth="1"/>
    <col min="17" max="17" width="15.25" style="65" customWidth="1"/>
    <col min="18" max="18" width="6.125" style="65" customWidth="1"/>
    <col min="19" max="19" width="15.25" style="65" customWidth="1"/>
    <col min="20" max="20" width="15.125" style="65" bestFit="1" customWidth="1"/>
    <col min="21" max="23" width="15" style="65" customWidth="1"/>
    <col min="24" max="26" width="21.25" style="65" customWidth="1"/>
    <col min="27" max="27" width="2.375" style="65" customWidth="1"/>
    <col min="28" max="28" width="15.25" style="65" customWidth="1"/>
    <col min="29" max="29" width="17.625" style="65" customWidth="1"/>
    <col min="30" max="30" width="6.75" style="65" customWidth="1"/>
    <col min="31" max="16384" width="9" style="65"/>
  </cols>
  <sheetData>
    <row r="1" spans="1:30" ht="30" customHeight="1">
      <c r="A1" s="60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3"/>
      <c r="Y1" s="63"/>
      <c r="Z1" s="63"/>
      <c r="AA1" s="63"/>
      <c r="AB1" s="63"/>
      <c r="AC1" s="63"/>
      <c r="AD1" s="64"/>
    </row>
    <row r="2" spans="1:30" ht="30" customHeight="1">
      <c r="A2" s="66" t="s">
        <v>27</v>
      </c>
      <c r="B2" s="67"/>
      <c r="C2" s="67"/>
      <c r="D2" s="68"/>
      <c r="E2" s="68"/>
      <c r="F2" s="68"/>
      <c r="G2" s="68"/>
      <c r="H2" s="68"/>
      <c r="I2" s="68"/>
      <c r="J2" s="68"/>
      <c r="K2" s="68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70" t="s">
        <v>966</v>
      </c>
      <c r="AA2" s="71" t="str">
        <f>A7&amp;"/12/31"</f>
        <v>2021/12/31</v>
      </c>
      <c r="AB2" s="71"/>
      <c r="AC2" s="69"/>
      <c r="AD2" s="72" t="s">
        <v>967</v>
      </c>
    </row>
    <row r="3" spans="1:30" ht="14.1" customHeight="1">
      <c r="A3" s="73" t="s">
        <v>25</v>
      </c>
      <c r="B3" s="74" t="s">
        <v>24</v>
      </c>
      <c r="C3" s="74" t="s">
        <v>23</v>
      </c>
      <c r="D3" s="75" t="s">
        <v>0</v>
      </c>
      <c r="E3" s="76" t="s">
        <v>4</v>
      </c>
      <c r="F3" s="77"/>
      <c r="G3" s="75" t="s">
        <v>968</v>
      </c>
      <c r="H3" s="78" t="s">
        <v>22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5" t="s">
        <v>969</v>
      </c>
      <c r="U3" s="80" t="s">
        <v>21</v>
      </c>
      <c r="V3" s="81"/>
      <c r="W3" s="82"/>
      <c r="X3" s="80" t="s">
        <v>20</v>
      </c>
      <c r="Y3" s="81"/>
      <c r="Z3" s="82"/>
      <c r="AA3" s="83" t="s">
        <v>970</v>
      </c>
      <c r="AB3" s="84"/>
      <c r="AC3" s="74" t="s">
        <v>28</v>
      </c>
      <c r="AD3" s="85" t="s">
        <v>971</v>
      </c>
    </row>
    <row r="4" spans="1:30" ht="9" customHeight="1">
      <c r="A4" s="86"/>
      <c r="B4" s="87"/>
      <c r="C4" s="87"/>
      <c r="D4" s="88"/>
      <c r="E4" s="83"/>
      <c r="F4" s="84"/>
      <c r="G4" s="88"/>
      <c r="H4" s="89" t="s">
        <v>5</v>
      </c>
      <c r="I4" s="90" t="s">
        <v>972</v>
      </c>
      <c r="J4" s="89" t="s">
        <v>5</v>
      </c>
      <c r="K4" s="91" t="s">
        <v>973</v>
      </c>
      <c r="L4" s="92" t="s">
        <v>1</v>
      </c>
      <c r="M4" s="92"/>
      <c r="N4" s="89" t="s">
        <v>5</v>
      </c>
      <c r="O4" s="91" t="s">
        <v>974</v>
      </c>
      <c r="P4" s="92" t="s">
        <v>1</v>
      </c>
      <c r="Q4" s="92"/>
      <c r="R4" s="89" t="s">
        <v>5</v>
      </c>
      <c r="S4" s="90" t="s">
        <v>975</v>
      </c>
      <c r="T4" s="88"/>
      <c r="U4" s="75" t="s">
        <v>2</v>
      </c>
      <c r="V4" s="88" t="s">
        <v>976</v>
      </c>
      <c r="W4" s="88" t="s">
        <v>42</v>
      </c>
      <c r="X4" s="75" t="s">
        <v>2</v>
      </c>
      <c r="Y4" s="88" t="s">
        <v>977</v>
      </c>
      <c r="Z4" s="88" t="s">
        <v>44</v>
      </c>
      <c r="AA4" s="83"/>
      <c r="AB4" s="84"/>
      <c r="AC4" s="87"/>
      <c r="AD4" s="93"/>
    </row>
    <row r="5" spans="1:30" ht="27" customHeight="1">
      <c r="A5" s="86"/>
      <c r="B5" s="87"/>
      <c r="C5" s="87"/>
      <c r="D5" s="88"/>
      <c r="E5" s="94"/>
      <c r="F5" s="95"/>
      <c r="G5" s="88"/>
      <c r="H5" s="96"/>
      <c r="I5" s="95"/>
      <c r="J5" s="96"/>
      <c r="K5" s="97"/>
      <c r="L5" s="98" t="s">
        <v>15</v>
      </c>
      <c r="M5" s="99" t="s">
        <v>978</v>
      </c>
      <c r="N5" s="96"/>
      <c r="O5" s="97"/>
      <c r="P5" s="98" t="s">
        <v>15</v>
      </c>
      <c r="Q5" s="99" t="s">
        <v>978</v>
      </c>
      <c r="R5" s="96"/>
      <c r="S5" s="95"/>
      <c r="T5" s="88"/>
      <c r="U5" s="75"/>
      <c r="V5" s="88"/>
      <c r="W5" s="88"/>
      <c r="X5" s="75"/>
      <c r="Y5" s="88"/>
      <c r="Z5" s="88"/>
      <c r="AA5" s="83"/>
      <c r="AB5" s="95"/>
      <c r="AC5" s="75"/>
      <c r="AD5" s="93"/>
    </row>
    <row r="6" spans="1:30" ht="36" customHeight="1">
      <c r="A6" s="100" t="s">
        <v>14</v>
      </c>
      <c r="B6" s="75"/>
      <c r="C6" s="75"/>
      <c r="D6" s="101" t="s">
        <v>3</v>
      </c>
      <c r="E6" s="102" t="s">
        <v>13</v>
      </c>
      <c r="F6" s="103"/>
      <c r="G6" s="101" t="s">
        <v>979</v>
      </c>
      <c r="H6" s="98" t="s">
        <v>12</v>
      </c>
      <c r="I6" s="104" t="s">
        <v>980</v>
      </c>
      <c r="J6" s="98" t="s">
        <v>12</v>
      </c>
      <c r="K6" s="99" t="s">
        <v>981</v>
      </c>
      <c r="L6" s="98" t="s">
        <v>12</v>
      </c>
      <c r="M6" s="99" t="s">
        <v>982</v>
      </c>
      <c r="N6" s="98" t="s">
        <v>12</v>
      </c>
      <c r="O6" s="99" t="s">
        <v>983</v>
      </c>
      <c r="P6" s="98" t="s">
        <v>12</v>
      </c>
      <c r="Q6" s="99" t="s">
        <v>982</v>
      </c>
      <c r="R6" s="98" t="s">
        <v>12</v>
      </c>
      <c r="S6" s="99" t="s">
        <v>984</v>
      </c>
      <c r="T6" s="101" t="s">
        <v>985</v>
      </c>
      <c r="U6" s="101" t="s">
        <v>11</v>
      </c>
      <c r="V6" s="101" t="s">
        <v>986</v>
      </c>
      <c r="W6" s="101" t="s">
        <v>43</v>
      </c>
      <c r="X6" s="101" t="s">
        <v>9</v>
      </c>
      <c r="Y6" s="101" t="s">
        <v>982</v>
      </c>
      <c r="Z6" s="105" t="s">
        <v>45</v>
      </c>
      <c r="AA6" s="102" t="s">
        <v>7</v>
      </c>
      <c r="AB6" s="103"/>
      <c r="AC6" s="99" t="s">
        <v>29</v>
      </c>
      <c r="AD6" s="106" t="s">
        <v>6</v>
      </c>
    </row>
    <row r="7" spans="1:30" ht="13.5" customHeight="1">
      <c r="A7" s="107" t="s">
        <v>46</v>
      </c>
      <c r="B7" s="108" t="s">
        <v>987</v>
      </c>
      <c r="C7" s="108" t="s">
        <v>988</v>
      </c>
      <c r="D7" s="108" t="s">
        <v>49</v>
      </c>
      <c r="E7" s="109" t="s">
        <v>989</v>
      </c>
      <c r="F7" s="109" t="s">
        <v>594</v>
      </c>
      <c r="G7" s="110">
        <v>50</v>
      </c>
      <c r="H7" s="111" t="s">
        <v>52</v>
      </c>
      <c r="I7" s="112" t="s">
        <v>990</v>
      </c>
      <c r="J7" s="111" t="s">
        <v>411</v>
      </c>
      <c r="K7" s="112" t="s">
        <v>991</v>
      </c>
      <c r="L7" s="111" t="s">
        <v>287</v>
      </c>
      <c r="M7" s="112" t="s">
        <v>992</v>
      </c>
      <c r="N7" s="111" t="s">
        <v>335</v>
      </c>
      <c r="O7" s="112" t="s">
        <v>993</v>
      </c>
      <c r="P7" s="111" t="s">
        <v>602</v>
      </c>
      <c r="Q7" s="112" t="s">
        <v>994</v>
      </c>
      <c r="R7" s="111" t="s">
        <v>602</v>
      </c>
      <c r="S7" s="112" t="s">
        <v>995</v>
      </c>
      <c r="T7" s="113">
        <f>46304</f>
        <v>46304</v>
      </c>
      <c r="U7" s="114">
        <f>268</f>
        <v>268</v>
      </c>
      <c r="V7" s="114">
        <v>104</v>
      </c>
      <c r="W7" s="114">
        <v>2</v>
      </c>
      <c r="X7" s="114">
        <f>619818000</f>
        <v>619818000</v>
      </c>
      <c r="Y7" s="114">
        <v>243602500</v>
      </c>
      <c r="Z7" s="115">
        <v>4729500</v>
      </c>
      <c r="AA7" s="111" t="s">
        <v>60</v>
      </c>
      <c r="AB7" s="116">
        <f>172</f>
        <v>172</v>
      </c>
      <c r="AC7" s="116" t="str">
        <f t="shared" ref="AC7:AD70" si="0">"－"</f>
        <v>－</v>
      </c>
      <c r="AD7" s="117">
        <f>15</f>
        <v>15</v>
      </c>
    </row>
    <row r="8" spans="1:30">
      <c r="A8" s="107" t="s">
        <v>46</v>
      </c>
      <c r="B8" s="108" t="s">
        <v>987</v>
      </c>
      <c r="C8" s="108" t="s">
        <v>988</v>
      </c>
      <c r="D8" s="108" t="s">
        <v>612</v>
      </c>
      <c r="E8" s="109" t="s">
        <v>604</v>
      </c>
      <c r="F8" s="109" t="s">
        <v>996</v>
      </c>
      <c r="G8" s="110">
        <v>50</v>
      </c>
      <c r="H8" s="111" t="s">
        <v>52</v>
      </c>
      <c r="I8" s="112" t="s">
        <v>997</v>
      </c>
      <c r="J8" s="111" t="s">
        <v>490</v>
      </c>
      <c r="K8" s="112" t="s">
        <v>998</v>
      </c>
      <c r="L8" s="111" t="s">
        <v>490</v>
      </c>
      <c r="M8" s="112" t="s">
        <v>999</v>
      </c>
      <c r="N8" s="111" t="s">
        <v>335</v>
      </c>
      <c r="O8" s="112" t="s">
        <v>1000</v>
      </c>
      <c r="P8" s="111" t="s">
        <v>287</v>
      </c>
      <c r="Q8" s="112" t="s">
        <v>1001</v>
      </c>
      <c r="R8" s="111" t="s">
        <v>490</v>
      </c>
      <c r="S8" s="112" t="s">
        <v>998</v>
      </c>
      <c r="T8" s="113">
        <f>48797.22</f>
        <v>48797.22</v>
      </c>
      <c r="U8" s="114">
        <f>373</f>
        <v>373</v>
      </c>
      <c r="V8" s="114">
        <v>97</v>
      </c>
      <c r="W8" s="114">
        <v>20</v>
      </c>
      <c r="X8" s="114">
        <f>927206000</f>
        <v>927206000</v>
      </c>
      <c r="Y8" s="114">
        <v>256064000</v>
      </c>
      <c r="Z8" s="115">
        <v>47555000</v>
      </c>
      <c r="AA8" s="111" t="s">
        <v>60</v>
      </c>
      <c r="AB8" s="116">
        <f>164</f>
        <v>164</v>
      </c>
      <c r="AC8" s="116" t="str">
        <f t="shared" si="0"/>
        <v>－</v>
      </c>
      <c r="AD8" s="117">
        <f>32</f>
        <v>32</v>
      </c>
    </row>
    <row r="9" spans="1:30">
      <c r="A9" s="107" t="s">
        <v>46</v>
      </c>
      <c r="B9" s="108" t="s">
        <v>987</v>
      </c>
      <c r="C9" s="108" t="s">
        <v>988</v>
      </c>
      <c r="D9" s="108" t="s">
        <v>61</v>
      </c>
      <c r="E9" s="109" t="s">
        <v>951</v>
      </c>
      <c r="F9" s="109" t="s">
        <v>614</v>
      </c>
      <c r="G9" s="110">
        <v>50</v>
      </c>
      <c r="H9" s="111" t="s">
        <v>52</v>
      </c>
      <c r="I9" s="112" t="s">
        <v>1002</v>
      </c>
      <c r="J9" s="111" t="s">
        <v>664</v>
      </c>
      <c r="K9" s="112" t="s">
        <v>1003</v>
      </c>
      <c r="L9" s="111" t="s">
        <v>66</v>
      </c>
      <c r="M9" s="112" t="s">
        <v>1004</v>
      </c>
      <c r="N9" s="111" t="s">
        <v>335</v>
      </c>
      <c r="O9" s="112" t="s">
        <v>1005</v>
      </c>
      <c r="P9" s="111" t="s">
        <v>1006</v>
      </c>
      <c r="Q9" s="112" t="s">
        <v>1007</v>
      </c>
      <c r="R9" s="111" t="s">
        <v>1008</v>
      </c>
      <c r="S9" s="112" t="s">
        <v>1009</v>
      </c>
      <c r="T9" s="113">
        <f>51801.43</f>
        <v>51801.43</v>
      </c>
      <c r="U9" s="114">
        <f>793</f>
        <v>793</v>
      </c>
      <c r="V9" s="114">
        <v>107</v>
      </c>
      <c r="W9" s="114">
        <v>71</v>
      </c>
      <c r="X9" s="114">
        <f>2057423000</f>
        <v>2057423000</v>
      </c>
      <c r="Y9" s="114">
        <v>289859000</v>
      </c>
      <c r="Z9" s="115">
        <v>179329000</v>
      </c>
      <c r="AA9" s="111" t="s">
        <v>60</v>
      </c>
      <c r="AB9" s="116">
        <f>270</f>
        <v>270</v>
      </c>
      <c r="AC9" s="116" t="str">
        <f t="shared" si="0"/>
        <v>－</v>
      </c>
      <c r="AD9" s="117">
        <f>56</f>
        <v>56</v>
      </c>
    </row>
    <row r="10" spans="1:30">
      <c r="A10" s="107" t="s">
        <v>46</v>
      </c>
      <c r="B10" s="108" t="s">
        <v>987</v>
      </c>
      <c r="C10" s="108" t="s">
        <v>988</v>
      </c>
      <c r="D10" s="108" t="s">
        <v>633</v>
      </c>
      <c r="E10" s="109" t="s">
        <v>1010</v>
      </c>
      <c r="F10" s="109" t="s">
        <v>200</v>
      </c>
      <c r="G10" s="110">
        <v>50</v>
      </c>
      <c r="H10" s="111" t="s">
        <v>52</v>
      </c>
      <c r="I10" s="112" t="s">
        <v>1011</v>
      </c>
      <c r="J10" s="111" t="s">
        <v>280</v>
      </c>
      <c r="K10" s="112" t="s">
        <v>1012</v>
      </c>
      <c r="L10" s="111" t="s">
        <v>797</v>
      </c>
      <c r="M10" s="112" t="s">
        <v>1013</v>
      </c>
      <c r="N10" s="111" t="s">
        <v>335</v>
      </c>
      <c r="O10" s="112" t="s">
        <v>1014</v>
      </c>
      <c r="P10" s="111" t="s">
        <v>1006</v>
      </c>
      <c r="Q10" s="112" t="s">
        <v>1015</v>
      </c>
      <c r="R10" s="111" t="s">
        <v>203</v>
      </c>
      <c r="S10" s="112" t="s">
        <v>1016</v>
      </c>
      <c r="T10" s="113">
        <f>53097.92</f>
        <v>53097.919999999998</v>
      </c>
      <c r="U10" s="114">
        <f>1207</f>
        <v>1207</v>
      </c>
      <c r="V10" s="114">
        <v>157</v>
      </c>
      <c r="W10" s="114">
        <v>80</v>
      </c>
      <c r="X10" s="114">
        <f>3268853000</f>
        <v>3268853000</v>
      </c>
      <c r="Y10" s="114">
        <v>446793000</v>
      </c>
      <c r="Z10" s="115">
        <v>219406000</v>
      </c>
      <c r="AA10" s="111" t="s">
        <v>60</v>
      </c>
      <c r="AB10" s="116">
        <f>212</f>
        <v>212</v>
      </c>
      <c r="AC10" s="116" t="str">
        <f t="shared" si="0"/>
        <v>－</v>
      </c>
      <c r="AD10" s="117">
        <f>74</f>
        <v>74</v>
      </c>
    </row>
    <row r="11" spans="1:30">
      <c r="A11" s="107" t="s">
        <v>46</v>
      </c>
      <c r="B11" s="108" t="s">
        <v>987</v>
      </c>
      <c r="C11" s="108" t="s">
        <v>988</v>
      </c>
      <c r="D11" s="108" t="s">
        <v>72</v>
      </c>
      <c r="E11" s="109" t="s">
        <v>955</v>
      </c>
      <c r="F11" s="109" t="s">
        <v>635</v>
      </c>
      <c r="G11" s="110">
        <v>50</v>
      </c>
      <c r="H11" s="111" t="s">
        <v>52</v>
      </c>
      <c r="I11" s="112" t="s">
        <v>1017</v>
      </c>
      <c r="J11" s="111" t="s">
        <v>102</v>
      </c>
      <c r="K11" s="112" t="s">
        <v>1003</v>
      </c>
      <c r="L11" s="111" t="s">
        <v>642</v>
      </c>
      <c r="M11" s="112" t="s">
        <v>1018</v>
      </c>
      <c r="N11" s="111" t="s">
        <v>335</v>
      </c>
      <c r="O11" s="112" t="s">
        <v>1019</v>
      </c>
      <c r="P11" s="111" t="s">
        <v>1006</v>
      </c>
      <c r="Q11" s="112" t="s">
        <v>1020</v>
      </c>
      <c r="R11" s="111" t="s">
        <v>642</v>
      </c>
      <c r="S11" s="112" t="s">
        <v>1021</v>
      </c>
      <c r="T11" s="113">
        <f>53850.21</f>
        <v>53850.21</v>
      </c>
      <c r="U11" s="114">
        <f>1589</f>
        <v>1589</v>
      </c>
      <c r="V11" s="114">
        <v>120</v>
      </c>
      <c r="W11" s="114">
        <v>325</v>
      </c>
      <c r="X11" s="114">
        <f>4124334000</f>
        <v>4124334000</v>
      </c>
      <c r="Y11" s="114">
        <v>328959500</v>
      </c>
      <c r="Z11" s="115">
        <v>823617000</v>
      </c>
      <c r="AA11" s="111" t="s">
        <v>60</v>
      </c>
      <c r="AB11" s="116">
        <f>202</f>
        <v>202</v>
      </c>
      <c r="AC11" s="116" t="str">
        <f t="shared" si="0"/>
        <v>－</v>
      </c>
      <c r="AD11" s="117">
        <f>95</f>
        <v>95</v>
      </c>
    </row>
    <row r="12" spans="1:30">
      <c r="A12" s="107" t="s">
        <v>46</v>
      </c>
      <c r="B12" s="108" t="s">
        <v>987</v>
      </c>
      <c r="C12" s="108" t="s">
        <v>988</v>
      </c>
      <c r="D12" s="108" t="s">
        <v>651</v>
      </c>
      <c r="E12" s="109" t="s">
        <v>1022</v>
      </c>
      <c r="F12" s="109" t="s">
        <v>74</v>
      </c>
      <c r="G12" s="110">
        <v>50</v>
      </c>
      <c r="H12" s="111" t="s">
        <v>52</v>
      </c>
      <c r="I12" s="112" t="s">
        <v>1023</v>
      </c>
      <c r="J12" s="111" t="s">
        <v>211</v>
      </c>
      <c r="K12" s="112" t="s">
        <v>1024</v>
      </c>
      <c r="L12" s="111" t="s">
        <v>283</v>
      </c>
      <c r="M12" s="112" t="s">
        <v>1025</v>
      </c>
      <c r="N12" s="111" t="s">
        <v>335</v>
      </c>
      <c r="O12" s="112" t="s">
        <v>1026</v>
      </c>
      <c r="P12" s="111" t="s">
        <v>1006</v>
      </c>
      <c r="Q12" s="112" t="s">
        <v>1027</v>
      </c>
      <c r="R12" s="111" t="s">
        <v>84</v>
      </c>
      <c r="S12" s="112" t="s">
        <v>1028</v>
      </c>
      <c r="T12" s="113">
        <f>55382.29</f>
        <v>55382.29</v>
      </c>
      <c r="U12" s="114">
        <f>3737</f>
        <v>3737</v>
      </c>
      <c r="V12" s="114">
        <v>215</v>
      </c>
      <c r="W12" s="114">
        <v>628</v>
      </c>
      <c r="X12" s="114">
        <f>9587427000</f>
        <v>9587427000</v>
      </c>
      <c r="Y12" s="114">
        <v>646121000</v>
      </c>
      <c r="Z12" s="115">
        <v>1578340000</v>
      </c>
      <c r="AA12" s="111" t="s">
        <v>60</v>
      </c>
      <c r="AB12" s="116">
        <f>188</f>
        <v>188</v>
      </c>
      <c r="AC12" s="116" t="str">
        <f t="shared" si="0"/>
        <v>－</v>
      </c>
      <c r="AD12" s="117">
        <f>116</f>
        <v>116</v>
      </c>
    </row>
    <row r="13" spans="1:30">
      <c r="A13" s="107" t="s">
        <v>46</v>
      </c>
      <c r="B13" s="108" t="s">
        <v>987</v>
      </c>
      <c r="C13" s="108" t="s">
        <v>988</v>
      </c>
      <c r="D13" s="108" t="s">
        <v>86</v>
      </c>
      <c r="E13" s="109" t="s">
        <v>652</v>
      </c>
      <c r="F13" s="109" t="s">
        <v>1029</v>
      </c>
      <c r="G13" s="110">
        <v>50</v>
      </c>
      <c r="H13" s="111" t="s">
        <v>608</v>
      </c>
      <c r="I13" s="112" t="s">
        <v>1030</v>
      </c>
      <c r="J13" s="111" t="s">
        <v>1031</v>
      </c>
      <c r="K13" s="112" t="s">
        <v>1032</v>
      </c>
      <c r="L13" s="111" t="s">
        <v>1031</v>
      </c>
      <c r="M13" s="112" t="s">
        <v>1033</v>
      </c>
      <c r="N13" s="111" t="s">
        <v>1034</v>
      </c>
      <c r="O13" s="112" t="s">
        <v>1035</v>
      </c>
      <c r="P13" s="111" t="s">
        <v>1006</v>
      </c>
      <c r="Q13" s="112" t="s">
        <v>1036</v>
      </c>
      <c r="R13" s="111" t="s">
        <v>1037</v>
      </c>
      <c r="S13" s="112" t="s">
        <v>1038</v>
      </c>
      <c r="T13" s="113">
        <f>57551.74</f>
        <v>57551.74</v>
      </c>
      <c r="U13" s="114">
        <f>4057</f>
        <v>4057</v>
      </c>
      <c r="V13" s="114">
        <v>295</v>
      </c>
      <c r="W13" s="114">
        <v>639</v>
      </c>
      <c r="X13" s="114">
        <f>11034809500</f>
        <v>11034809500</v>
      </c>
      <c r="Y13" s="114">
        <v>853403500</v>
      </c>
      <c r="Z13" s="115">
        <v>1727426500</v>
      </c>
      <c r="AA13" s="111" t="s">
        <v>60</v>
      </c>
      <c r="AB13" s="116">
        <f>176</f>
        <v>176</v>
      </c>
      <c r="AC13" s="116" t="str">
        <f t="shared" si="0"/>
        <v>－</v>
      </c>
      <c r="AD13" s="117">
        <f>121</f>
        <v>121</v>
      </c>
    </row>
    <row r="14" spans="1:30">
      <c r="A14" s="107" t="s">
        <v>46</v>
      </c>
      <c r="B14" s="108" t="s">
        <v>987</v>
      </c>
      <c r="C14" s="108" t="s">
        <v>988</v>
      </c>
      <c r="D14" s="108" t="s">
        <v>669</v>
      </c>
      <c r="E14" s="109" t="s">
        <v>781</v>
      </c>
      <c r="F14" s="109" t="s">
        <v>213</v>
      </c>
      <c r="G14" s="110">
        <v>50</v>
      </c>
      <c r="H14" s="111" t="s">
        <v>1039</v>
      </c>
      <c r="I14" s="112" t="s">
        <v>1040</v>
      </c>
      <c r="J14" s="111" t="s">
        <v>881</v>
      </c>
      <c r="K14" s="112" t="s">
        <v>1041</v>
      </c>
      <c r="L14" s="111" t="s">
        <v>1031</v>
      </c>
      <c r="M14" s="112" t="s">
        <v>1042</v>
      </c>
      <c r="N14" s="111" t="s">
        <v>118</v>
      </c>
      <c r="O14" s="112" t="s">
        <v>1043</v>
      </c>
      <c r="P14" s="111" t="s">
        <v>1044</v>
      </c>
      <c r="Q14" s="112" t="s">
        <v>1045</v>
      </c>
      <c r="R14" s="111" t="s">
        <v>217</v>
      </c>
      <c r="S14" s="112" t="s">
        <v>1046</v>
      </c>
      <c r="T14" s="113">
        <f>59941.15</f>
        <v>59941.15</v>
      </c>
      <c r="U14" s="114">
        <f>4463</f>
        <v>4463</v>
      </c>
      <c r="V14" s="114">
        <v>281</v>
      </c>
      <c r="W14" s="114">
        <v>744</v>
      </c>
      <c r="X14" s="114">
        <f>12660459000</f>
        <v>12660459000</v>
      </c>
      <c r="Y14" s="114">
        <v>817904500</v>
      </c>
      <c r="Z14" s="115">
        <v>2087537000</v>
      </c>
      <c r="AA14" s="111" t="s">
        <v>60</v>
      </c>
      <c r="AB14" s="116">
        <f>170</f>
        <v>170</v>
      </c>
      <c r="AC14" s="116" t="str">
        <f t="shared" si="0"/>
        <v>－</v>
      </c>
      <c r="AD14" s="117">
        <f>121</f>
        <v>121</v>
      </c>
    </row>
    <row r="15" spans="1:30">
      <c r="A15" s="107" t="s">
        <v>46</v>
      </c>
      <c r="B15" s="108" t="s">
        <v>987</v>
      </c>
      <c r="C15" s="108" t="s">
        <v>988</v>
      </c>
      <c r="D15" s="108" t="s">
        <v>97</v>
      </c>
      <c r="E15" s="109" t="s">
        <v>670</v>
      </c>
      <c r="F15" s="109" t="s">
        <v>671</v>
      </c>
      <c r="G15" s="110">
        <v>50</v>
      </c>
      <c r="H15" s="111" t="s">
        <v>672</v>
      </c>
      <c r="I15" s="112" t="s">
        <v>1047</v>
      </c>
      <c r="J15" s="111" t="s">
        <v>679</v>
      </c>
      <c r="K15" s="112" t="s">
        <v>1048</v>
      </c>
      <c r="L15" s="111" t="s">
        <v>679</v>
      </c>
      <c r="M15" s="112" t="s">
        <v>1049</v>
      </c>
      <c r="N15" s="111" t="s">
        <v>672</v>
      </c>
      <c r="O15" s="112" t="s">
        <v>1047</v>
      </c>
      <c r="P15" s="111" t="s">
        <v>672</v>
      </c>
      <c r="Q15" s="112" t="s">
        <v>1050</v>
      </c>
      <c r="R15" s="111" t="s">
        <v>679</v>
      </c>
      <c r="S15" s="112" t="s">
        <v>1051</v>
      </c>
      <c r="T15" s="113">
        <f>60993.52</f>
        <v>60993.52</v>
      </c>
      <c r="U15" s="114">
        <f>4006</f>
        <v>4006</v>
      </c>
      <c r="V15" s="114">
        <v>182</v>
      </c>
      <c r="W15" s="114">
        <v>813</v>
      </c>
      <c r="X15" s="114">
        <f>11442089500</f>
        <v>11442089500</v>
      </c>
      <c r="Y15" s="114">
        <v>564082500</v>
      </c>
      <c r="Z15" s="115">
        <v>2316193000</v>
      </c>
      <c r="AA15" s="111" t="s">
        <v>60</v>
      </c>
      <c r="AB15" s="116">
        <f>160</f>
        <v>160</v>
      </c>
      <c r="AC15" s="116" t="str">
        <f t="shared" si="0"/>
        <v>－</v>
      </c>
      <c r="AD15" s="117">
        <f>110</f>
        <v>110</v>
      </c>
    </row>
    <row r="16" spans="1:30">
      <c r="A16" s="107" t="s">
        <v>46</v>
      </c>
      <c r="B16" s="108" t="s">
        <v>987</v>
      </c>
      <c r="C16" s="108" t="s">
        <v>988</v>
      </c>
      <c r="D16" s="108" t="s">
        <v>524</v>
      </c>
      <c r="E16" s="109" t="s">
        <v>63</v>
      </c>
      <c r="F16" s="109" t="s">
        <v>218</v>
      </c>
      <c r="G16" s="110">
        <v>50</v>
      </c>
      <c r="H16" s="111" t="s">
        <v>70</v>
      </c>
      <c r="I16" s="112" t="s">
        <v>1052</v>
      </c>
      <c r="J16" s="111" t="s">
        <v>299</v>
      </c>
      <c r="K16" s="112" t="s">
        <v>1053</v>
      </c>
      <c r="L16" s="111" t="s">
        <v>221</v>
      </c>
      <c r="M16" s="112" t="s">
        <v>1054</v>
      </c>
      <c r="N16" s="111" t="s">
        <v>137</v>
      </c>
      <c r="O16" s="112" t="s">
        <v>1055</v>
      </c>
      <c r="P16" s="111" t="s">
        <v>1056</v>
      </c>
      <c r="Q16" s="112" t="s">
        <v>1057</v>
      </c>
      <c r="R16" s="111" t="s">
        <v>221</v>
      </c>
      <c r="S16" s="112" t="s">
        <v>1058</v>
      </c>
      <c r="T16" s="113">
        <f>63265.41</f>
        <v>63265.41</v>
      </c>
      <c r="U16" s="114">
        <f>3355</f>
        <v>3355</v>
      </c>
      <c r="V16" s="114">
        <v>127</v>
      </c>
      <c r="W16" s="114">
        <v>729</v>
      </c>
      <c r="X16" s="114">
        <f>9868221000</f>
        <v>9868221000</v>
      </c>
      <c r="Y16" s="114">
        <v>425712000</v>
      </c>
      <c r="Z16" s="115">
        <v>2146873500</v>
      </c>
      <c r="AA16" s="111" t="s">
        <v>60</v>
      </c>
      <c r="AB16" s="116">
        <f>160</f>
        <v>160</v>
      </c>
      <c r="AC16" s="116" t="str">
        <f t="shared" si="0"/>
        <v>－</v>
      </c>
      <c r="AD16" s="117">
        <f>106</f>
        <v>106</v>
      </c>
    </row>
    <row r="17" spans="1:30">
      <c r="A17" s="107" t="s">
        <v>46</v>
      </c>
      <c r="B17" s="108" t="s">
        <v>987</v>
      </c>
      <c r="C17" s="108" t="s">
        <v>988</v>
      </c>
      <c r="D17" s="108" t="s">
        <v>109</v>
      </c>
      <c r="E17" s="109" t="s">
        <v>689</v>
      </c>
      <c r="F17" s="109" t="s">
        <v>768</v>
      </c>
      <c r="G17" s="110">
        <v>50</v>
      </c>
      <c r="H17" s="111" t="s">
        <v>691</v>
      </c>
      <c r="I17" s="112" t="s">
        <v>1059</v>
      </c>
      <c r="J17" s="111" t="s">
        <v>172</v>
      </c>
      <c r="K17" s="112" t="s">
        <v>1060</v>
      </c>
      <c r="L17" s="111" t="s">
        <v>571</v>
      </c>
      <c r="M17" s="112" t="s">
        <v>1061</v>
      </c>
      <c r="N17" s="111" t="s">
        <v>92</v>
      </c>
      <c r="O17" s="112" t="s">
        <v>1062</v>
      </c>
      <c r="P17" s="111" t="s">
        <v>415</v>
      </c>
      <c r="Q17" s="112" t="s">
        <v>1063</v>
      </c>
      <c r="R17" s="111" t="s">
        <v>698</v>
      </c>
      <c r="S17" s="112" t="s">
        <v>1064</v>
      </c>
      <c r="T17" s="113">
        <f>65558.4</f>
        <v>65558.399999999994</v>
      </c>
      <c r="U17" s="114">
        <f>3524</f>
        <v>3524</v>
      </c>
      <c r="V17" s="114">
        <v>221</v>
      </c>
      <c r="W17" s="114">
        <v>521</v>
      </c>
      <c r="X17" s="114">
        <f>10773118000</f>
        <v>10773118000</v>
      </c>
      <c r="Y17" s="114">
        <v>713532000</v>
      </c>
      <c r="Z17" s="115">
        <v>1592101500</v>
      </c>
      <c r="AA17" s="111" t="s">
        <v>60</v>
      </c>
      <c r="AB17" s="116">
        <f>154</f>
        <v>154</v>
      </c>
      <c r="AC17" s="116" t="str">
        <f t="shared" si="0"/>
        <v>－</v>
      </c>
      <c r="AD17" s="117">
        <f>105</f>
        <v>105</v>
      </c>
    </row>
    <row r="18" spans="1:30">
      <c r="A18" s="107" t="s">
        <v>46</v>
      </c>
      <c r="B18" s="108" t="s">
        <v>987</v>
      </c>
      <c r="C18" s="108" t="s">
        <v>988</v>
      </c>
      <c r="D18" s="108" t="s">
        <v>544</v>
      </c>
      <c r="E18" s="109" t="s">
        <v>147</v>
      </c>
      <c r="F18" s="109" t="s">
        <v>183</v>
      </c>
      <c r="G18" s="110">
        <v>50</v>
      </c>
      <c r="H18" s="111" t="s">
        <v>149</v>
      </c>
      <c r="I18" s="112" t="s">
        <v>1065</v>
      </c>
      <c r="J18" s="111" t="s">
        <v>571</v>
      </c>
      <c r="K18" s="112" t="s">
        <v>1066</v>
      </c>
      <c r="L18" s="111" t="s">
        <v>1067</v>
      </c>
      <c r="M18" s="112" t="s">
        <v>1068</v>
      </c>
      <c r="N18" s="111" t="s">
        <v>1037</v>
      </c>
      <c r="O18" s="112" t="s">
        <v>1069</v>
      </c>
      <c r="P18" s="111" t="s">
        <v>897</v>
      </c>
      <c r="Q18" s="112" t="s">
        <v>1070</v>
      </c>
      <c r="R18" s="111" t="s">
        <v>185</v>
      </c>
      <c r="S18" s="112" t="s">
        <v>1071</v>
      </c>
      <c r="T18" s="113">
        <f>66162.52</f>
        <v>66162.52</v>
      </c>
      <c r="U18" s="114">
        <f>2507</f>
        <v>2507</v>
      </c>
      <c r="V18" s="114">
        <v>133</v>
      </c>
      <c r="W18" s="114">
        <v>387</v>
      </c>
      <c r="X18" s="114">
        <f>7857625000</f>
        <v>7857625000</v>
      </c>
      <c r="Y18" s="114">
        <v>438680500</v>
      </c>
      <c r="Z18" s="115">
        <v>1201750000</v>
      </c>
      <c r="AA18" s="111" t="s">
        <v>60</v>
      </c>
      <c r="AB18" s="116">
        <f>114</f>
        <v>114</v>
      </c>
      <c r="AC18" s="116" t="str">
        <f t="shared" si="0"/>
        <v>－</v>
      </c>
      <c r="AD18" s="117">
        <f>100</f>
        <v>100</v>
      </c>
    </row>
    <row r="19" spans="1:30">
      <c r="A19" s="107" t="s">
        <v>46</v>
      </c>
      <c r="B19" s="108" t="s">
        <v>987</v>
      </c>
      <c r="C19" s="108" t="s">
        <v>988</v>
      </c>
      <c r="D19" s="108" t="s">
        <v>122</v>
      </c>
      <c r="E19" s="109" t="s">
        <v>653</v>
      </c>
      <c r="F19" s="109" t="s">
        <v>709</v>
      </c>
      <c r="G19" s="110">
        <v>50</v>
      </c>
      <c r="H19" s="111" t="s">
        <v>1072</v>
      </c>
      <c r="I19" s="112" t="s">
        <v>1073</v>
      </c>
      <c r="J19" s="111" t="s">
        <v>172</v>
      </c>
      <c r="K19" s="112" t="s">
        <v>1074</v>
      </c>
      <c r="L19" s="111" t="s">
        <v>1067</v>
      </c>
      <c r="M19" s="112" t="s">
        <v>1075</v>
      </c>
      <c r="N19" s="111" t="s">
        <v>352</v>
      </c>
      <c r="O19" s="112" t="s">
        <v>1076</v>
      </c>
      <c r="P19" s="111" t="s">
        <v>897</v>
      </c>
      <c r="Q19" s="112" t="s">
        <v>1077</v>
      </c>
      <c r="R19" s="111" t="s">
        <v>132</v>
      </c>
      <c r="S19" s="112" t="s">
        <v>1048</v>
      </c>
      <c r="T19" s="113">
        <f>66507.52</f>
        <v>66507.520000000004</v>
      </c>
      <c r="U19" s="114">
        <f>1988</f>
        <v>1988</v>
      </c>
      <c r="V19" s="114">
        <v>82</v>
      </c>
      <c r="W19" s="114">
        <v>300</v>
      </c>
      <c r="X19" s="114">
        <f>6247206000</f>
        <v>6247206000</v>
      </c>
      <c r="Y19" s="114">
        <v>257000000</v>
      </c>
      <c r="Z19" s="115">
        <v>938549000</v>
      </c>
      <c r="AA19" s="111"/>
      <c r="AB19" s="116">
        <f>110</f>
        <v>110</v>
      </c>
      <c r="AC19" s="116" t="str">
        <f t="shared" si="0"/>
        <v>－</v>
      </c>
      <c r="AD19" s="117">
        <f>92</f>
        <v>92</v>
      </c>
    </row>
    <row r="20" spans="1:30">
      <c r="A20" s="107" t="s">
        <v>46</v>
      </c>
      <c r="B20" s="108" t="s">
        <v>987</v>
      </c>
      <c r="C20" s="108" t="s">
        <v>988</v>
      </c>
      <c r="D20" s="108" t="s">
        <v>557</v>
      </c>
      <c r="E20" s="109" t="s">
        <v>88</v>
      </c>
      <c r="F20" s="109" t="s">
        <v>1078</v>
      </c>
      <c r="G20" s="110">
        <v>50</v>
      </c>
      <c r="H20" s="111" t="s">
        <v>95</v>
      </c>
      <c r="I20" s="112" t="s">
        <v>1079</v>
      </c>
      <c r="J20" s="111" t="s">
        <v>571</v>
      </c>
      <c r="K20" s="112" t="s">
        <v>1080</v>
      </c>
      <c r="L20" s="111" t="s">
        <v>132</v>
      </c>
      <c r="M20" s="112" t="s">
        <v>1081</v>
      </c>
      <c r="N20" s="111" t="s">
        <v>897</v>
      </c>
      <c r="O20" s="112" t="s">
        <v>1082</v>
      </c>
      <c r="P20" s="111" t="s">
        <v>1083</v>
      </c>
      <c r="Q20" s="112" t="s">
        <v>1084</v>
      </c>
      <c r="R20" s="111" t="s">
        <v>132</v>
      </c>
      <c r="S20" s="112" t="s">
        <v>1085</v>
      </c>
      <c r="T20" s="113">
        <f>67919.08</f>
        <v>67919.08</v>
      </c>
      <c r="U20" s="114">
        <f>2456</f>
        <v>2456</v>
      </c>
      <c r="V20" s="114">
        <v>15</v>
      </c>
      <c r="W20" s="114">
        <v>206</v>
      </c>
      <c r="X20" s="114">
        <f>8224385000</f>
        <v>8224385000</v>
      </c>
      <c r="Y20" s="114">
        <v>48602500</v>
      </c>
      <c r="Z20" s="115">
        <v>661524500</v>
      </c>
      <c r="AA20" s="111"/>
      <c r="AB20" s="116">
        <f>184</f>
        <v>184</v>
      </c>
      <c r="AC20" s="116" t="str">
        <f t="shared" si="0"/>
        <v>－</v>
      </c>
      <c r="AD20" s="117">
        <f>85</f>
        <v>85</v>
      </c>
    </row>
    <row r="21" spans="1:30">
      <c r="A21" s="107" t="s">
        <v>46</v>
      </c>
      <c r="B21" s="108" t="s">
        <v>987</v>
      </c>
      <c r="C21" s="108" t="s">
        <v>988</v>
      </c>
      <c r="D21" s="108" t="s">
        <v>134</v>
      </c>
      <c r="E21" s="109" t="s">
        <v>755</v>
      </c>
      <c r="F21" s="109" t="s">
        <v>722</v>
      </c>
      <c r="G21" s="110">
        <v>50</v>
      </c>
      <c r="H21" s="111" t="s">
        <v>531</v>
      </c>
      <c r="I21" s="112" t="s">
        <v>1086</v>
      </c>
      <c r="J21" s="111" t="s">
        <v>571</v>
      </c>
      <c r="K21" s="112" t="s">
        <v>1087</v>
      </c>
      <c r="L21" s="111" t="s">
        <v>1067</v>
      </c>
      <c r="M21" s="112" t="s">
        <v>1088</v>
      </c>
      <c r="N21" s="111" t="s">
        <v>897</v>
      </c>
      <c r="O21" s="112" t="s">
        <v>1089</v>
      </c>
      <c r="P21" s="111" t="s">
        <v>228</v>
      </c>
      <c r="Q21" s="112" t="s">
        <v>1090</v>
      </c>
      <c r="R21" s="111" t="s">
        <v>132</v>
      </c>
      <c r="S21" s="112" t="s">
        <v>1048</v>
      </c>
      <c r="T21" s="113">
        <f>69161.19</f>
        <v>69161.19</v>
      </c>
      <c r="U21" s="114">
        <f>958</f>
        <v>958</v>
      </c>
      <c r="V21" s="114">
        <v>23</v>
      </c>
      <c r="W21" s="114">
        <v>24</v>
      </c>
      <c r="X21" s="114">
        <f>3355204500</f>
        <v>3355204500</v>
      </c>
      <c r="Y21" s="114">
        <v>77556500</v>
      </c>
      <c r="Z21" s="115">
        <v>86838000</v>
      </c>
      <c r="AA21" s="111"/>
      <c r="AB21" s="116">
        <f>112</f>
        <v>112</v>
      </c>
      <c r="AC21" s="116" t="str">
        <f t="shared" si="0"/>
        <v>－</v>
      </c>
      <c r="AD21" s="117">
        <f>64</f>
        <v>64</v>
      </c>
    </row>
    <row r="22" spans="1:30">
      <c r="A22" s="107" t="s">
        <v>46</v>
      </c>
      <c r="B22" s="108" t="s">
        <v>987</v>
      </c>
      <c r="C22" s="108" t="s">
        <v>988</v>
      </c>
      <c r="D22" s="108" t="s">
        <v>577</v>
      </c>
      <c r="E22" s="109" t="s">
        <v>99</v>
      </c>
      <c r="F22" s="109" t="s">
        <v>136</v>
      </c>
      <c r="G22" s="110">
        <v>50</v>
      </c>
      <c r="H22" s="111" t="s">
        <v>107</v>
      </c>
      <c r="I22" s="112" t="s">
        <v>1091</v>
      </c>
      <c r="J22" s="111" t="s">
        <v>107</v>
      </c>
      <c r="K22" s="112" t="s">
        <v>1091</v>
      </c>
      <c r="L22" s="111" t="s">
        <v>1067</v>
      </c>
      <c r="M22" s="112" t="s">
        <v>1092</v>
      </c>
      <c r="N22" s="111" t="s">
        <v>897</v>
      </c>
      <c r="O22" s="112" t="s">
        <v>1093</v>
      </c>
      <c r="P22" s="111" t="s">
        <v>1067</v>
      </c>
      <c r="Q22" s="112" t="s">
        <v>1092</v>
      </c>
      <c r="R22" s="111" t="s">
        <v>132</v>
      </c>
      <c r="S22" s="112" t="s">
        <v>1094</v>
      </c>
      <c r="T22" s="113">
        <f>67901.74</f>
        <v>67901.740000000005</v>
      </c>
      <c r="U22" s="114">
        <f>799</f>
        <v>799</v>
      </c>
      <c r="V22" s="114">
        <v>2</v>
      </c>
      <c r="W22" s="114">
        <v>4</v>
      </c>
      <c r="X22" s="114">
        <f>2752643500</f>
        <v>2752643500</v>
      </c>
      <c r="Y22" s="114">
        <v>7079000</v>
      </c>
      <c r="Z22" s="115">
        <v>13234500</v>
      </c>
      <c r="AA22" s="111"/>
      <c r="AB22" s="116">
        <f>70</f>
        <v>70</v>
      </c>
      <c r="AC22" s="116" t="str">
        <f t="shared" si="0"/>
        <v>－</v>
      </c>
      <c r="AD22" s="117">
        <f>46</f>
        <v>46</v>
      </c>
    </row>
    <row r="23" spans="1:30">
      <c r="A23" s="107" t="s">
        <v>46</v>
      </c>
      <c r="B23" s="108" t="s">
        <v>987</v>
      </c>
      <c r="C23" s="108" t="s">
        <v>988</v>
      </c>
      <c r="D23" s="108" t="s">
        <v>146</v>
      </c>
      <c r="E23" s="109" t="s">
        <v>964</v>
      </c>
      <c r="F23" s="109" t="s">
        <v>734</v>
      </c>
      <c r="G23" s="110">
        <v>50</v>
      </c>
      <c r="H23" s="111" t="s">
        <v>115</v>
      </c>
      <c r="I23" s="112" t="s">
        <v>1095</v>
      </c>
      <c r="J23" s="111" t="s">
        <v>115</v>
      </c>
      <c r="K23" s="112" t="s">
        <v>1095</v>
      </c>
      <c r="L23" s="111"/>
      <c r="M23" s="112"/>
      <c r="N23" s="111" t="s">
        <v>1096</v>
      </c>
      <c r="O23" s="112" t="s">
        <v>1097</v>
      </c>
      <c r="P23" s="111"/>
      <c r="Q23" s="112"/>
      <c r="R23" s="111" t="s">
        <v>132</v>
      </c>
      <c r="S23" s="112" t="s">
        <v>1098</v>
      </c>
      <c r="T23" s="113">
        <f>64821.6</f>
        <v>64821.599999999999</v>
      </c>
      <c r="U23" s="114">
        <f>738</f>
        <v>738</v>
      </c>
      <c r="V23" s="114"/>
      <c r="W23" s="114"/>
      <c r="X23" s="114">
        <f>2369246000</f>
        <v>2369246000</v>
      </c>
      <c r="Y23" s="114"/>
      <c r="Z23" s="115"/>
      <c r="AA23" s="111"/>
      <c r="AB23" s="116">
        <f>99</f>
        <v>99</v>
      </c>
      <c r="AC23" s="116" t="str">
        <f t="shared" si="0"/>
        <v>－</v>
      </c>
      <c r="AD23" s="117">
        <f>25</f>
        <v>25</v>
      </c>
    </row>
    <row r="24" spans="1:30">
      <c r="A24" s="107" t="s">
        <v>46</v>
      </c>
      <c r="B24" s="108" t="s">
        <v>987</v>
      </c>
      <c r="C24" s="108" t="s">
        <v>988</v>
      </c>
      <c r="D24" s="108" t="s">
        <v>745</v>
      </c>
      <c r="E24" s="109" t="s">
        <v>1099</v>
      </c>
      <c r="F24" s="109" t="s">
        <v>241</v>
      </c>
      <c r="G24" s="110">
        <v>50</v>
      </c>
      <c r="H24" s="111" t="s">
        <v>189</v>
      </c>
      <c r="I24" s="112" t="s">
        <v>1100</v>
      </c>
      <c r="J24" s="111" t="s">
        <v>132</v>
      </c>
      <c r="K24" s="112" t="s">
        <v>1101</v>
      </c>
      <c r="L24" s="111"/>
      <c r="M24" s="112"/>
      <c r="N24" s="111" t="s">
        <v>400</v>
      </c>
      <c r="O24" s="112" t="s">
        <v>1102</v>
      </c>
      <c r="P24" s="111"/>
      <c r="Q24" s="112"/>
      <c r="R24" s="111" t="s">
        <v>132</v>
      </c>
      <c r="S24" s="112" t="s">
        <v>1103</v>
      </c>
      <c r="T24" s="113">
        <f>68760</f>
        <v>68760</v>
      </c>
      <c r="U24" s="114">
        <f>29</f>
        <v>29</v>
      </c>
      <c r="V24" s="114"/>
      <c r="W24" s="114"/>
      <c r="X24" s="114">
        <f>99445500</f>
        <v>99445500</v>
      </c>
      <c r="Y24" s="114"/>
      <c r="Z24" s="115"/>
      <c r="AA24" s="111"/>
      <c r="AB24" s="116">
        <f>9</f>
        <v>9</v>
      </c>
      <c r="AC24" s="116" t="str">
        <f t="shared" si="0"/>
        <v>－</v>
      </c>
      <c r="AD24" s="117">
        <f>4</f>
        <v>4</v>
      </c>
    </row>
    <row r="25" spans="1:30">
      <c r="A25" s="107" t="s">
        <v>46</v>
      </c>
      <c r="B25" s="108" t="s">
        <v>1104</v>
      </c>
      <c r="C25" s="108" t="s">
        <v>1105</v>
      </c>
      <c r="D25" s="108" t="s">
        <v>49</v>
      </c>
      <c r="E25" s="109" t="s">
        <v>989</v>
      </c>
      <c r="F25" s="109" t="s">
        <v>594</v>
      </c>
      <c r="G25" s="110">
        <v>50</v>
      </c>
      <c r="H25" s="111" t="s">
        <v>52</v>
      </c>
      <c r="I25" s="112" t="s">
        <v>1106</v>
      </c>
      <c r="J25" s="111" t="s">
        <v>411</v>
      </c>
      <c r="K25" s="112" t="s">
        <v>1107</v>
      </c>
      <c r="L25" s="111" t="s">
        <v>600</v>
      </c>
      <c r="M25" s="112" t="s">
        <v>1108</v>
      </c>
      <c r="N25" s="111" t="s">
        <v>335</v>
      </c>
      <c r="O25" s="112" t="s">
        <v>1109</v>
      </c>
      <c r="P25" s="111" t="s">
        <v>54</v>
      </c>
      <c r="Q25" s="112" t="s">
        <v>1110</v>
      </c>
      <c r="R25" s="111" t="s">
        <v>602</v>
      </c>
      <c r="S25" s="112" t="s">
        <v>1111</v>
      </c>
      <c r="T25" s="113">
        <f>50192.67</f>
        <v>50192.67</v>
      </c>
      <c r="U25" s="114">
        <f>450</f>
        <v>450</v>
      </c>
      <c r="V25" s="114">
        <v>230</v>
      </c>
      <c r="W25" s="114">
        <v>7</v>
      </c>
      <c r="X25" s="114">
        <f>1128325500</f>
        <v>1128325500</v>
      </c>
      <c r="Y25" s="114">
        <v>577031500</v>
      </c>
      <c r="Z25" s="115">
        <v>17804000</v>
      </c>
      <c r="AA25" s="111" t="s">
        <v>60</v>
      </c>
      <c r="AB25" s="116">
        <f>424</f>
        <v>424</v>
      </c>
      <c r="AC25" s="116" t="str">
        <f t="shared" si="0"/>
        <v>－</v>
      </c>
      <c r="AD25" s="117">
        <f>15</f>
        <v>15</v>
      </c>
    </row>
    <row r="26" spans="1:30">
      <c r="A26" s="107" t="s">
        <v>46</v>
      </c>
      <c r="B26" s="108" t="s">
        <v>1104</v>
      </c>
      <c r="C26" s="108" t="s">
        <v>1105</v>
      </c>
      <c r="D26" s="108" t="s">
        <v>612</v>
      </c>
      <c r="E26" s="109" t="s">
        <v>604</v>
      </c>
      <c r="F26" s="109" t="s">
        <v>996</v>
      </c>
      <c r="G26" s="110">
        <v>50</v>
      </c>
      <c r="H26" s="111" t="s">
        <v>52</v>
      </c>
      <c r="I26" s="112" t="s">
        <v>1112</v>
      </c>
      <c r="J26" s="111" t="s">
        <v>490</v>
      </c>
      <c r="K26" s="112" t="s">
        <v>1113</v>
      </c>
      <c r="L26" s="111" t="s">
        <v>82</v>
      </c>
      <c r="M26" s="112" t="s">
        <v>1114</v>
      </c>
      <c r="N26" s="111" t="s">
        <v>335</v>
      </c>
      <c r="O26" s="112" t="s">
        <v>1115</v>
      </c>
      <c r="P26" s="111" t="s">
        <v>82</v>
      </c>
      <c r="Q26" s="112" t="s">
        <v>1116</v>
      </c>
      <c r="R26" s="111" t="s">
        <v>490</v>
      </c>
      <c r="S26" s="112" t="s">
        <v>1113</v>
      </c>
      <c r="T26" s="113">
        <f>51812.5</f>
        <v>51812.5</v>
      </c>
      <c r="U26" s="114">
        <f>543</f>
        <v>543</v>
      </c>
      <c r="V26" s="114">
        <v>238</v>
      </c>
      <c r="W26" s="114">
        <v>9</v>
      </c>
      <c r="X26" s="114">
        <f>1446267500</f>
        <v>1446267500</v>
      </c>
      <c r="Y26" s="114">
        <v>657947500</v>
      </c>
      <c r="Z26" s="115">
        <v>22974500</v>
      </c>
      <c r="AA26" s="111" t="s">
        <v>60</v>
      </c>
      <c r="AB26" s="116">
        <f>298</f>
        <v>298</v>
      </c>
      <c r="AC26" s="116" t="str">
        <f t="shared" si="0"/>
        <v>－</v>
      </c>
      <c r="AD26" s="117">
        <f>33</f>
        <v>33</v>
      </c>
    </row>
    <row r="27" spans="1:30">
      <c r="A27" s="107" t="s">
        <v>46</v>
      </c>
      <c r="B27" s="108" t="s">
        <v>1104</v>
      </c>
      <c r="C27" s="108" t="s">
        <v>1105</v>
      </c>
      <c r="D27" s="108" t="s">
        <v>61</v>
      </c>
      <c r="E27" s="109" t="s">
        <v>951</v>
      </c>
      <c r="F27" s="109" t="s">
        <v>614</v>
      </c>
      <c r="G27" s="110">
        <v>50</v>
      </c>
      <c r="H27" s="111" t="s">
        <v>52</v>
      </c>
      <c r="I27" s="112" t="s">
        <v>1117</v>
      </c>
      <c r="J27" s="111" t="s">
        <v>664</v>
      </c>
      <c r="K27" s="112" t="s">
        <v>1118</v>
      </c>
      <c r="L27" s="111" t="s">
        <v>664</v>
      </c>
      <c r="M27" s="112" t="s">
        <v>1119</v>
      </c>
      <c r="N27" s="111" t="s">
        <v>460</v>
      </c>
      <c r="O27" s="112" t="s">
        <v>1120</v>
      </c>
      <c r="P27" s="111" t="s">
        <v>1006</v>
      </c>
      <c r="Q27" s="112" t="s">
        <v>1121</v>
      </c>
      <c r="R27" s="111" t="s">
        <v>1008</v>
      </c>
      <c r="S27" s="112" t="s">
        <v>1122</v>
      </c>
      <c r="T27" s="113">
        <f>53780.18</f>
        <v>53780.18</v>
      </c>
      <c r="U27" s="114">
        <f>462</f>
        <v>462</v>
      </c>
      <c r="V27" s="114">
        <v>121</v>
      </c>
      <c r="W27" s="114">
        <v>4</v>
      </c>
      <c r="X27" s="114">
        <f>1234515500</f>
        <v>1234515500</v>
      </c>
      <c r="Y27" s="114">
        <v>306743500</v>
      </c>
      <c r="Z27" s="115">
        <v>10274500</v>
      </c>
      <c r="AA27" s="111" t="s">
        <v>60</v>
      </c>
      <c r="AB27" s="116">
        <f>126</f>
        <v>126</v>
      </c>
      <c r="AC27" s="116" t="str">
        <f t="shared" si="0"/>
        <v>－</v>
      </c>
      <c r="AD27" s="117">
        <f>50</f>
        <v>50</v>
      </c>
    </row>
    <row r="28" spans="1:30">
      <c r="A28" s="107" t="s">
        <v>46</v>
      </c>
      <c r="B28" s="108" t="s">
        <v>1104</v>
      </c>
      <c r="C28" s="108" t="s">
        <v>1105</v>
      </c>
      <c r="D28" s="108" t="s">
        <v>633</v>
      </c>
      <c r="E28" s="109" t="s">
        <v>1010</v>
      </c>
      <c r="F28" s="109" t="s">
        <v>200</v>
      </c>
      <c r="G28" s="110">
        <v>50</v>
      </c>
      <c r="H28" s="111" t="s">
        <v>52</v>
      </c>
      <c r="I28" s="112" t="s">
        <v>1123</v>
      </c>
      <c r="J28" s="111" t="s">
        <v>664</v>
      </c>
      <c r="K28" s="112" t="s">
        <v>1124</v>
      </c>
      <c r="L28" s="111" t="s">
        <v>1044</v>
      </c>
      <c r="M28" s="112" t="s">
        <v>1125</v>
      </c>
      <c r="N28" s="111" t="s">
        <v>335</v>
      </c>
      <c r="O28" s="112" t="s">
        <v>1126</v>
      </c>
      <c r="P28" s="111" t="s">
        <v>1006</v>
      </c>
      <c r="Q28" s="112" t="s">
        <v>1127</v>
      </c>
      <c r="R28" s="111" t="s">
        <v>631</v>
      </c>
      <c r="S28" s="112" t="s">
        <v>1128</v>
      </c>
      <c r="T28" s="113">
        <f>54123.25</f>
        <v>54123.25</v>
      </c>
      <c r="U28" s="114">
        <f>875</f>
        <v>875</v>
      </c>
      <c r="V28" s="114">
        <v>135</v>
      </c>
      <c r="W28" s="114">
        <v>28</v>
      </c>
      <c r="X28" s="114">
        <f>2332557500</f>
        <v>2332557500</v>
      </c>
      <c r="Y28" s="114">
        <v>343822000</v>
      </c>
      <c r="Z28" s="115">
        <v>74367000</v>
      </c>
      <c r="AA28" s="111" t="s">
        <v>60</v>
      </c>
      <c r="AB28" s="116">
        <f>176</f>
        <v>176</v>
      </c>
      <c r="AC28" s="116" t="str">
        <f t="shared" si="0"/>
        <v>－</v>
      </c>
      <c r="AD28" s="117">
        <f>71</f>
        <v>71</v>
      </c>
    </row>
    <row r="29" spans="1:30">
      <c r="A29" s="107" t="s">
        <v>46</v>
      </c>
      <c r="B29" s="108" t="s">
        <v>1104</v>
      </c>
      <c r="C29" s="108" t="s">
        <v>1105</v>
      </c>
      <c r="D29" s="108" t="s">
        <v>72</v>
      </c>
      <c r="E29" s="109" t="s">
        <v>955</v>
      </c>
      <c r="F29" s="109" t="s">
        <v>635</v>
      </c>
      <c r="G29" s="110">
        <v>50</v>
      </c>
      <c r="H29" s="111" t="s">
        <v>52</v>
      </c>
      <c r="I29" s="112" t="s">
        <v>1129</v>
      </c>
      <c r="J29" s="111" t="s">
        <v>68</v>
      </c>
      <c r="K29" s="112" t="s">
        <v>1130</v>
      </c>
      <c r="L29" s="111" t="s">
        <v>1131</v>
      </c>
      <c r="M29" s="112" t="s">
        <v>1132</v>
      </c>
      <c r="N29" s="111" t="s">
        <v>335</v>
      </c>
      <c r="O29" s="112" t="s">
        <v>1133</v>
      </c>
      <c r="P29" s="111" t="s">
        <v>1006</v>
      </c>
      <c r="Q29" s="112" t="s">
        <v>1134</v>
      </c>
      <c r="R29" s="111" t="s">
        <v>642</v>
      </c>
      <c r="S29" s="112" t="s">
        <v>1135</v>
      </c>
      <c r="T29" s="113">
        <f>54729.37</f>
        <v>54729.37</v>
      </c>
      <c r="U29" s="114">
        <f>1855</f>
        <v>1855</v>
      </c>
      <c r="V29" s="114">
        <v>193</v>
      </c>
      <c r="W29" s="114">
        <v>562</v>
      </c>
      <c r="X29" s="114">
        <f>4959508500</f>
        <v>4959508500</v>
      </c>
      <c r="Y29" s="114">
        <v>519555000</v>
      </c>
      <c r="Z29" s="115">
        <v>1505984000</v>
      </c>
      <c r="AA29" s="111" t="s">
        <v>60</v>
      </c>
      <c r="AB29" s="116">
        <f>162</f>
        <v>162</v>
      </c>
      <c r="AC29" s="116" t="str">
        <f t="shared" si="0"/>
        <v>－</v>
      </c>
      <c r="AD29" s="117">
        <f>95</f>
        <v>95</v>
      </c>
    </row>
    <row r="30" spans="1:30">
      <c r="A30" s="107" t="s">
        <v>46</v>
      </c>
      <c r="B30" s="108" t="s">
        <v>1104</v>
      </c>
      <c r="C30" s="108" t="s">
        <v>1105</v>
      </c>
      <c r="D30" s="108" t="s">
        <v>651</v>
      </c>
      <c r="E30" s="109" t="s">
        <v>1022</v>
      </c>
      <c r="F30" s="109" t="s">
        <v>74</v>
      </c>
      <c r="G30" s="110">
        <v>50</v>
      </c>
      <c r="H30" s="111" t="s">
        <v>52</v>
      </c>
      <c r="I30" s="112" t="s">
        <v>1136</v>
      </c>
      <c r="J30" s="111" t="s">
        <v>84</v>
      </c>
      <c r="K30" s="112" t="s">
        <v>1137</v>
      </c>
      <c r="L30" s="111" t="s">
        <v>84</v>
      </c>
      <c r="M30" s="112" t="s">
        <v>1138</v>
      </c>
      <c r="N30" s="111" t="s">
        <v>335</v>
      </c>
      <c r="O30" s="112" t="s">
        <v>1139</v>
      </c>
      <c r="P30" s="111" t="s">
        <v>1006</v>
      </c>
      <c r="Q30" s="112" t="s">
        <v>1140</v>
      </c>
      <c r="R30" s="111" t="s">
        <v>84</v>
      </c>
      <c r="S30" s="112" t="s">
        <v>1137</v>
      </c>
      <c r="T30" s="113">
        <f>55752.46</f>
        <v>55752.46</v>
      </c>
      <c r="U30" s="114">
        <f>2425</f>
        <v>2425</v>
      </c>
      <c r="V30" s="114">
        <v>147</v>
      </c>
      <c r="W30" s="114">
        <v>989</v>
      </c>
      <c r="X30" s="114">
        <f>6479488500</f>
        <v>6479488500</v>
      </c>
      <c r="Y30" s="114">
        <v>435627000</v>
      </c>
      <c r="Z30" s="115">
        <v>2650565000</v>
      </c>
      <c r="AA30" s="111" t="s">
        <v>60</v>
      </c>
      <c r="AB30" s="116">
        <f>160</f>
        <v>160</v>
      </c>
      <c r="AC30" s="116" t="str">
        <f t="shared" si="0"/>
        <v>－</v>
      </c>
      <c r="AD30" s="117">
        <f>112</f>
        <v>112</v>
      </c>
    </row>
    <row r="31" spans="1:30">
      <c r="A31" s="107" t="s">
        <v>46</v>
      </c>
      <c r="B31" s="108" t="s">
        <v>1104</v>
      </c>
      <c r="C31" s="108" t="s">
        <v>1105</v>
      </c>
      <c r="D31" s="108" t="s">
        <v>86</v>
      </c>
      <c r="E31" s="109" t="s">
        <v>652</v>
      </c>
      <c r="F31" s="109" t="s">
        <v>1029</v>
      </c>
      <c r="G31" s="110">
        <v>50</v>
      </c>
      <c r="H31" s="111" t="s">
        <v>608</v>
      </c>
      <c r="I31" s="112" t="s">
        <v>1141</v>
      </c>
      <c r="J31" s="111" t="s">
        <v>498</v>
      </c>
      <c r="K31" s="112" t="s">
        <v>1142</v>
      </c>
      <c r="L31" s="111" t="s">
        <v>498</v>
      </c>
      <c r="M31" s="112" t="s">
        <v>1143</v>
      </c>
      <c r="N31" s="111" t="s">
        <v>1034</v>
      </c>
      <c r="O31" s="112" t="s">
        <v>1144</v>
      </c>
      <c r="P31" s="111" t="s">
        <v>1006</v>
      </c>
      <c r="Q31" s="112" t="s">
        <v>1145</v>
      </c>
      <c r="R31" s="111" t="s">
        <v>1037</v>
      </c>
      <c r="S31" s="112" t="s">
        <v>1146</v>
      </c>
      <c r="T31" s="113">
        <f>57455.21</f>
        <v>57455.21</v>
      </c>
      <c r="U31" s="114">
        <f>2424</f>
        <v>2424</v>
      </c>
      <c r="V31" s="114">
        <v>134</v>
      </c>
      <c r="W31" s="114">
        <v>915</v>
      </c>
      <c r="X31" s="114">
        <f>6726707500</f>
        <v>6726707500</v>
      </c>
      <c r="Y31" s="114">
        <v>386580000</v>
      </c>
      <c r="Z31" s="115">
        <v>2545208000</v>
      </c>
      <c r="AA31" s="111" t="s">
        <v>60</v>
      </c>
      <c r="AB31" s="116">
        <f>158</f>
        <v>158</v>
      </c>
      <c r="AC31" s="116" t="str">
        <f t="shared" si="0"/>
        <v>－</v>
      </c>
      <c r="AD31" s="117">
        <f>116</f>
        <v>116</v>
      </c>
    </row>
    <row r="32" spans="1:30">
      <c r="A32" s="107" t="s">
        <v>46</v>
      </c>
      <c r="B32" s="108" t="s">
        <v>1104</v>
      </c>
      <c r="C32" s="108" t="s">
        <v>1105</v>
      </c>
      <c r="D32" s="108" t="s">
        <v>669</v>
      </c>
      <c r="E32" s="109" t="s">
        <v>781</v>
      </c>
      <c r="F32" s="109" t="s">
        <v>213</v>
      </c>
      <c r="G32" s="110">
        <v>50</v>
      </c>
      <c r="H32" s="111" t="s">
        <v>1039</v>
      </c>
      <c r="I32" s="112" t="s">
        <v>1147</v>
      </c>
      <c r="J32" s="111" t="s">
        <v>498</v>
      </c>
      <c r="K32" s="112" t="s">
        <v>1148</v>
      </c>
      <c r="L32" s="111" t="s">
        <v>1149</v>
      </c>
      <c r="M32" s="112" t="s">
        <v>1150</v>
      </c>
      <c r="N32" s="111" t="s">
        <v>1008</v>
      </c>
      <c r="O32" s="112" t="s">
        <v>1151</v>
      </c>
      <c r="P32" s="111" t="s">
        <v>1044</v>
      </c>
      <c r="Q32" s="112" t="s">
        <v>1152</v>
      </c>
      <c r="R32" s="111" t="s">
        <v>217</v>
      </c>
      <c r="S32" s="112" t="s">
        <v>1153</v>
      </c>
      <c r="T32" s="113">
        <f>59113.69</f>
        <v>59113.69</v>
      </c>
      <c r="U32" s="114">
        <f>2333</f>
        <v>2333</v>
      </c>
      <c r="V32" s="114">
        <v>105</v>
      </c>
      <c r="W32" s="114">
        <v>741</v>
      </c>
      <c r="X32" s="114">
        <f>6558542000</f>
        <v>6558542000</v>
      </c>
      <c r="Y32" s="114">
        <v>263477000</v>
      </c>
      <c r="Z32" s="115">
        <v>2110849000</v>
      </c>
      <c r="AA32" s="111" t="s">
        <v>60</v>
      </c>
      <c r="AB32" s="116">
        <f>120</f>
        <v>120</v>
      </c>
      <c r="AC32" s="116" t="str">
        <f t="shared" si="0"/>
        <v>－</v>
      </c>
      <c r="AD32" s="117">
        <f>101</f>
        <v>101</v>
      </c>
    </row>
    <row r="33" spans="1:30">
      <c r="A33" s="107" t="s">
        <v>46</v>
      </c>
      <c r="B33" s="108" t="s">
        <v>1104</v>
      </c>
      <c r="C33" s="108" t="s">
        <v>1105</v>
      </c>
      <c r="D33" s="108" t="s">
        <v>97</v>
      </c>
      <c r="E33" s="109" t="s">
        <v>670</v>
      </c>
      <c r="F33" s="109" t="s">
        <v>671</v>
      </c>
      <c r="G33" s="110">
        <v>50</v>
      </c>
      <c r="H33" s="111" t="s">
        <v>1154</v>
      </c>
      <c r="I33" s="112" t="s">
        <v>1155</v>
      </c>
      <c r="J33" s="111" t="s">
        <v>679</v>
      </c>
      <c r="K33" s="112" t="s">
        <v>1156</v>
      </c>
      <c r="L33" s="111" t="s">
        <v>679</v>
      </c>
      <c r="M33" s="112" t="s">
        <v>1157</v>
      </c>
      <c r="N33" s="111" t="s">
        <v>1154</v>
      </c>
      <c r="O33" s="112" t="s">
        <v>1158</v>
      </c>
      <c r="P33" s="111" t="s">
        <v>1154</v>
      </c>
      <c r="Q33" s="112" t="s">
        <v>1159</v>
      </c>
      <c r="R33" s="111" t="s">
        <v>679</v>
      </c>
      <c r="S33" s="112" t="s">
        <v>1160</v>
      </c>
      <c r="T33" s="113">
        <f>60448.44</f>
        <v>60448.44</v>
      </c>
      <c r="U33" s="114">
        <f>1738</f>
        <v>1738</v>
      </c>
      <c r="V33" s="114">
        <v>74</v>
      </c>
      <c r="W33" s="114">
        <v>457</v>
      </c>
      <c r="X33" s="114">
        <f>5017962000</f>
        <v>5017962000</v>
      </c>
      <c r="Y33" s="114">
        <v>233529000</v>
      </c>
      <c r="Z33" s="115">
        <v>1311089500</v>
      </c>
      <c r="AA33" s="111" t="s">
        <v>60</v>
      </c>
      <c r="AB33" s="116">
        <f>120</f>
        <v>120</v>
      </c>
      <c r="AC33" s="116" t="str">
        <f t="shared" si="0"/>
        <v>－</v>
      </c>
      <c r="AD33" s="117">
        <f>90</f>
        <v>90</v>
      </c>
    </row>
    <row r="34" spans="1:30">
      <c r="A34" s="107" t="s">
        <v>46</v>
      </c>
      <c r="B34" s="108" t="s">
        <v>1104</v>
      </c>
      <c r="C34" s="108" t="s">
        <v>1105</v>
      </c>
      <c r="D34" s="108" t="s">
        <v>524</v>
      </c>
      <c r="E34" s="109" t="s">
        <v>63</v>
      </c>
      <c r="F34" s="109" t="s">
        <v>218</v>
      </c>
      <c r="G34" s="110">
        <v>50</v>
      </c>
      <c r="H34" s="111" t="s">
        <v>70</v>
      </c>
      <c r="I34" s="112" t="s">
        <v>1161</v>
      </c>
      <c r="J34" s="111" t="s">
        <v>571</v>
      </c>
      <c r="K34" s="112" t="s">
        <v>1162</v>
      </c>
      <c r="L34" s="111" t="s">
        <v>221</v>
      </c>
      <c r="M34" s="112" t="s">
        <v>1163</v>
      </c>
      <c r="N34" s="111" t="s">
        <v>70</v>
      </c>
      <c r="O34" s="112" t="s">
        <v>1155</v>
      </c>
      <c r="P34" s="111" t="s">
        <v>1164</v>
      </c>
      <c r="Q34" s="112" t="s">
        <v>1165</v>
      </c>
      <c r="R34" s="111" t="s">
        <v>221</v>
      </c>
      <c r="S34" s="112" t="s">
        <v>1166</v>
      </c>
      <c r="T34" s="113">
        <f>63400.57</f>
        <v>63400.57</v>
      </c>
      <c r="U34" s="114">
        <f>1825</f>
        <v>1825</v>
      </c>
      <c r="V34" s="114">
        <v>402</v>
      </c>
      <c r="W34" s="114">
        <v>195</v>
      </c>
      <c r="X34" s="114">
        <f>5524378000</f>
        <v>5524378000</v>
      </c>
      <c r="Y34" s="114">
        <v>1255971000</v>
      </c>
      <c r="Z34" s="115">
        <v>579469500</v>
      </c>
      <c r="AA34" s="111" t="s">
        <v>60</v>
      </c>
      <c r="AB34" s="116">
        <f>208</f>
        <v>208</v>
      </c>
      <c r="AC34" s="116" t="str">
        <f t="shared" si="0"/>
        <v>－</v>
      </c>
      <c r="AD34" s="117">
        <f>92</f>
        <v>92</v>
      </c>
    </row>
    <row r="35" spans="1:30">
      <c r="A35" s="107" t="s">
        <v>46</v>
      </c>
      <c r="B35" s="108" t="s">
        <v>1104</v>
      </c>
      <c r="C35" s="108" t="s">
        <v>1105</v>
      </c>
      <c r="D35" s="108" t="s">
        <v>109</v>
      </c>
      <c r="E35" s="109" t="s">
        <v>689</v>
      </c>
      <c r="F35" s="109" t="s">
        <v>768</v>
      </c>
      <c r="G35" s="110">
        <v>50</v>
      </c>
      <c r="H35" s="111" t="s">
        <v>691</v>
      </c>
      <c r="I35" s="112" t="s">
        <v>1167</v>
      </c>
      <c r="J35" s="111" t="s">
        <v>172</v>
      </c>
      <c r="K35" s="112" t="s">
        <v>1168</v>
      </c>
      <c r="L35" s="111" t="s">
        <v>872</v>
      </c>
      <c r="M35" s="112" t="s">
        <v>1169</v>
      </c>
      <c r="N35" s="111" t="s">
        <v>92</v>
      </c>
      <c r="O35" s="112" t="s">
        <v>1170</v>
      </c>
      <c r="P35" s="111" t="s">
        <v>693</v>
      </c>
      <c r="Q35" s="112" t="s">
        <v>1171</v>
      </c>
      <c r="R35" s="111" t="s">
        <v>729</v>
      </c>
      <c r="S35" s="112" t="s">
        <v>1172</v>
      </c>
      <c r="T35" s="113">
        <f>66222.64</f>
        <v>66222.64</v>
      </c>
      <c r="U35" s="114">
        <f>1941</f>
        <v>1941</v>
      </c>
      <c r="V35" s="114">
        <v>478</v>
      </c>
      <c r="W35" s="114">
        <v>70</v>
      </c>
      <c r="X35" s="114">
        <f>6235742500</f>
        <v>6235742500</v>
      </c>
      <c r="Y35" s="114">
        <v>1524192500</v>
      </c>
      <c r="Z35" s="115">
        <v>218419500</v>
      </c>
      <c r="AA35" s="111" t="s">
        <v>60</v>
      </c>
      <c r="AB35" s="116">
        <f>374</f>
        <v>374</v>
      </c>
      <c r="AC35" s="116" t="str">
        <f t="shared" si="0"/>
        <v>－</v>
      </c>
      <c r="AD35" s="117">
        <f>105</f>
        <v>105</v>
      </c>
    </row>
    <row r="36" spans="1:30">
      <c r="A36" s="107" t="s">
        <v>46</v>
      </c>
      <c r="B36" s="108" t="s">
        <v>1104</v>
      </c>
      <c r="C36" s="108" t="s">
        <v>1105</v>
      </c>
      <c r="D36" s="108" t="s">
        <v>544</v>
      </c>
      <c r="E36" s="109" t="s">
        <v>147</v>
      </c>
      <c r="F36" s="109" t="s">
        <v>183</v>
      </c>
      <c r="G36" s="110">
        <v>50</v>
      </c>
      <c r="H36" s="111" t="s">
        <v>149</v>
      </c>
      <c r="I36" s="112" t="s">
        <v>1173</v>
      </c>
      <c r="J36" s="111" t="s">
        <v>299</v>
      </c>
      <c r="K36" s="112" t="s">
        <v>1174</v>
      </c>
      <c r="L36" s="111" t="s">
        <v>541</v>
      </c>
      <c r="M36" s="112" t="s">
        <v>1175</v>
      </c>
      <c r="N36" s="111" t="s">
        <v>1176</v>
      </c>
      <c r="O36" s="112" t="s">
        <v>1177</v>
      </c>
      <c r="P36" s="111" t="s">
        <v>477</v>
      </c>
      <c r="Q36" s="112" t="s">
        <v>1178</v>
      </c>
      <c r="R36" s="111" t="s">
        <v>185</v>
      </c>
      <c r="S36" s="112" t="s">
        <v>1179</v>
      </c>
      <c r="T36" s="113">
        <f>67382.93</f>
        <v>67382.929999999993</v>
      </c>
      <c r="U36" s="114">
        <f>1788</f>
        <v>1788</v>
      </c>
      <c r="V36" s="114">
        <v>236</v>
      </c>
      <c r="W36" s="114">
        <v>78</v>
      </c>
      <c r="X36" s="114">
        <f>5966983500</f>
        <v>5966983500</v>
      </c>
      <c r="Y36" s="114">
        <v>820960500</v>
      </c>
      <c r="Z36" s="115">
        <v>242947000</v>
      </c>
      <c r="AA36" s="111" t="s">
        <v>60</v>
      </c>
      <c r="AB36" s="116">
        <f>328</f>
        <v>328</v>
      </c>
      <c r="AC36" s="116" t="str">
        <f t="shared" si="0"/>
        <v>－</v>
      </c>
      <c r="AD36" s="117">
        <f>111</f>
        <v>111</v>
      </c>
    </row>
    <row r="37" spans="1:30">
      <c r="A37" s="107" t="s">
        <v>46</v>
      </c>
      <c r="B37" s="108" t="s">
        <v>1104</v>
      </c>
      <c r="C37" s="108" t="s">
        <v>1105</v>
      </c>
      <c r="D37" s="108" t="s">
        <v>122</v>
      </c>
      <c r="E37" s="109" t="s">
        <v>653</v>
      </c>
      <c r="F37" s="109" t="s">
        <v>709</v>
      </c>
      <c r="G37" s="110">
        <v>50</v>
      </c>
      <c r="H37" s="111" t="s">
        <v>660</v>
      </c>
      <c r="I37" s="112" t="s">
        <v>1180</v>
      </c>
      <c r="J37" s="111" t="s">
        <v>571</v>
      </c>
      <c r="K37" s="112" t="s">
        <v>1181</v>
      </c>
      <c r="L37" s="111" t="s">
        <v>1067</v>
      </c>
      <c r="M37" s="112" t="s">
        <v>1182</v>
      </c>
      <c r="N37" s="111" t="s">
        <v>352</v>
      </c>
      <c r="O37" s="112" t="s">
        <v>1183</v>
      </c>
      <c r="P37" s="111" t="s">
        <v>477</v>
      </c>
      <c r="Q37" s="112" t="s">
        <v>1184</v>
      </c>
      <c r="R37" s="111" t="s">
        <v>132</v>
      </c>
      <c r="S37" s="112" t="s">
        <v>1185</v>
      </c>
      <c r="T37" s="113">
        <f>67945.41</f>
        <v>67945.41</v>
      </c>
      <c r="U37" s="114">
        <f>1284</f>
        <v>1284</v>
      </c>
      <c r="V37" s="114">
        <v>56</v>
      </c>
      <c r="W37" s="114">
        <v>51</v>
      </c>
      <c r="X37" s="114">
        <f>4188066000</f>
        <v>4188066000</v>
      </c>
      <c r="Y37" s="114">
        <v>195621000</v>
      </c>
      <c r="Z37" s="115">
        <v>161465000</v>
      </c>
      <c r="AA37" s="111"/>
      <c r="AB37" s="116">
        <f>128</f>
        <v>128</v>
      </c>
      <c r="AC37" s="116" t="str">
        <f t="shared" si="0"/>
        <v>－</v>
      </c>
      <c r="AD37" s="117">
        <f>100</f>
        <v>100</v>
      </c>
    </row>
    <row r="38" spans="1:30">
      <c r="A38" s="107" t="s">
        <v>46</v>
      </c>
      <c r="B38" s="108" t="s">
        <v>1104</v>
      </c>
      <c r="C38" s="108" t="s">
        <v>1105</v>
      </c>
      <c r="D38" s="108" t="s">
        <v>557</v>
      </c>
      <c r="E38" s="109" t="s">
        <v>88</v>
      </c>
      <c r="F38" s="109" t="s">
        <v>1078</v>
      </c>
      <c r="G38" s="110">
        <v>50</v>
      </c>
      <c r="H38" s="111" t="s">
        <v>95</v>
      </c>
      <c r="I38" s="112" t="s">
        <v>1186</v>
      </c>
      <c r="J38" s="111" t="s">
        <v>107</v>
      </c>
      <c r="K38" s="112" t="s">
        <v>1187</v>
      </c>
      <c r="L38" s="111" t="s">
        <v>528</v>
      </c>
      <c r="M38" s="112" t="s">
        <v>1188</v>
      </c>
      <c r="N38" s="111" t="s">
        <v>676</v>
      </c>
      <c r="O38" s="112" t="s">
        <v>1189</v>
      </c>
      <c r="P38" s="111" t="s">
        <v>187</v>
      </c>
      <c r="Q38" s="112" t="s">
        <v>1190</v>
      </c>
      <c r="R38" s="111" t="s">
        <v>132</v>
      </c>
      <c r="S38" s="112" t="s">
        <v>1191</v>
      </c>
      <c r="T38" s="113">
        <f>69124.94</f>
        <v>69124.94</v>
      </c>
      <c r="U38" s="114">
        <f>676</f>
        <v>676</v>
      </c>
      <c r="V38" s="114">
        <v>35</v>
      </c>
      <c r="W38" s="114">
        <v>44</v>
      </c>
      <c r="X38" s="114">
        <f>2329088500</f>
        <v>2329088500</v>
      </c>
      <c r="Y38" s="114">
        <v>128144000</v>
      </c>
      <c r="Z38" s="115">
        <v>142801500</v>
      </c>
      <c r="AA38" s="111"/>
      <c r="AB38" s="116">
        <f>100</f>
        <v>100</v>
      </c>
      <c r="AC38" s="116" t="str">
        <f t="shared" si="0"/>
        <v>－</v>
      </c>
      <c r="AD38" s="117">
        <f>75</f>
        <v>75</v>
      </c>
    </row>
    <row r="39" spans="1:30">
      <c r="A39" s="107" t="s">
        <v>46</v>
      </c>
      <c r="B39" s="108" t="s">
        <v>1104</v>
      </c>
      <c r="C39" s="108" t="s">
        <v>1105</v>
      </c>
      <c r="D39" s="108" t="s">
        <v>134</v>
      </c>
      <c r="E39" s="109" t="s">
        <v>755</v>
      </c>
      <c r="F39" s="109" t="s">
        <v>722</v>
      </c>
      <c r="G39" s="110">
        <v>50</v>
      </c>
      <c r="H39" s="111" t="s">
        <v>531</v>
      </c>
      <c r="I39" s="112" t="s">
        <v>1142</v>
      </c>
      <c r="J39" s="111" t="s">
        <v>299</v>
      </c>
      <c r="K39" s="112" t="s">
        <v>1192</v>
      </c>
      <c r="L39" s="111" t="s">
        <v>1193</v>
      </c>
      <c r="M39" s="112" t="s">
        <v>1194</v>
      </c>
      <c r="N39" s="111" t="s">
        <v>177</v>
      </c>
      <c r="O39" s="112" t="s">
        <v>1195</v>
      </c>
      <c r="P39" s="111" t="s">
        <v>187</v>
      </c>
      <c r="Q39" s="112" t="s">
        <v>1196</v>
      </c>
      <c r="R39" s="111" t="s">
        <v>132</v>
      </c>
      <c r="S39" s="112" t="s">
        <v>1095</v>
      </c>
      <c r="T39" s="113">
        <f>70565.07</f>
        <v>70565.070000000007</v>
      </c>
      <c r="U39" s="114">
        <f>397</f>
        <v>397</v>
      </c>
      <c r="V39" s="114">
        <v>14</v>
      </c>
      <c r="W39" s="114">
        <v>13</v>
      </c>
      <c r="X39" s="114">
        <f>1421315000</f>
        <v>1421315000</v>
      </c>
      <c r="Y39" s="114">
        <v>50577000</v>
      </c>
      <c r="Z39" s="115">
        <v>44852000</v>
      </c>
      <c r="AA39" s="111"/>
      <c r="AB39" s="116">
        <f>47</f>
        <v>47</v>
      </c>
      <c r="AC39" s="116" t="str">
        <f t="shared" si="0"/>
        <v>－</v>
      </c>
      <c r="AD39" s="117">
        <f>56</f>
        <v>56</v>
      </c>
    </row>
    <row r="40" spans="1:30">
      <c r="A40" s="107" t="s">
        <v>46</v>
      </c>
      <c r="B40" s="108" t="s">
        <v>1104</v>
      </c>
      <c r="C40" s="108" t="s">
        <v>1105</v>
      </c>
      <c r="D40" s="108" t="s">
        <v>577</v>
      </c>
      <c r="E40" s="109" t="s">
        <v>99</v>
      </c>
      <c r="F40" s="109" t="s">
        <v>136</v>
      </c>
      <c r="G40" s="110">
        <v>50</v>
      </c>
      <c r="H40" s="111" t="s">
        <v>107</v>
      </c>
      <c r="I40" s="112" t="s">
        <v>1197</v>
      </c>
      <c r="J40" s="111" t="s">
        <v>172</v>
      </c>
      <c r="K40" s="112" t="s">
        <v>1074</v>
      </c>
      <c r="L40" s="111" t="s">
        <v>1067</v>
      </c>
      <c r="M40" s="112" t="s">
        <v>1198</v>
      </c>
      <c r="N40" s="111" t="s">
        <v>177</v>
      </c>
      <c r="O40" s="112" t="s">
        <v>1199</v>
      </c>
      <c r="P40" s="111" t="s">
        <v>1200</v>
      </c>
      <c r="Q40" s="112" t="s">
        <v>1201</v>
      </c>
      <c r="R40" s="111" t="s">
        <v>132</v>
      </c>
      <c r="S40" s="112" t="s">
        <v>1202</v>
      </c>
      <c r="T40" s="113">
        <f>69782.61</f>
        <v>69782.61</v>
      </c>
      <c r="U40" s="114">
        <f>186</f>
        <v>186</v>
      </c>
      <c r="V40" s="114">
        <v>8</v>
      </c>
      <c r="W40" s="114">
        <v>1</v>
      </c>
      <c r="X40" s="114">
        <f>651568000</f>
        <v>651568000</v>
      </c>
      <c r="Y40" s="114">
        <v>27349000</v>
      </c>
      <c r="Z40" s="115">
        <v>3262500</v>
      </c>
      <c r="AA40" s="111"/>
      <c r="AB40" s="116">
        <f>12</f>
        <v>12</v>
      </c>
      <c r="AC40" s="116" t="str">
        <f t="shared" si="0"/>
        <v>－</v>
      </c>
      <c r="AD40" s="117">
        <f>43</f>
        <v>43</v>
      </c>
    </row>
    <row r="41" spans="1:30">
      <c r="A41" s="107" t="s">
        <v>46</v>
      </c>
      <c r="B41" s="108" t="s">
        <v>1104</v>
      </c>
      <c r="C41" s="108" t="s">
        <v>1105</v>
      </c>
      <c r="D41" s="108" t="s">
        <v>146</v>
      </c>
      <c r="E41" s="109" t="s">
        <v>964</v>
      </c>
      <c r="F41" s="109" t="s">
        <v>734</v>
      </c>
      <c r="G41" s="110">
        <v>50</v>
      </c>
      <c r="H41" s="111" t="s">
        <v>505</v>
      </c>
      <c r="I41" s="112" t="s">
        <v>1203</v>
      </c>
      <c r="J41" s="111" t="s">
        <v>132</v>
      </c>
      <c r="K41" s="112" t="s">
        <v>1204</v>
      </c>
      <c r="L41" s="111"/>
      <c r="M41" s="112"/>
      <c r="N41" s="111" t="s">
        <v>177</v>
      </c>
      <c r="O41" s="112" t="s">
        <v>1205</v>
      </c>
      <c r="P41" s="111"/>
      <c r="Q41" s="112"/>
      <c r="R41" s="111" t="s">
        <v>132</v>
      </c>
      <c r="S41" s="112" t="s">
        <v>1206</v>
      </c>
      <c r="T41" s="113">
        <f>66876.8</f>
        <v>66876.800000000003</v>
      </c>
      <c r="U41" s="114">
        <f>109</f>
        <v>109</v>
      </c>
      <c r="V41" s="114"/>
      <c r="W41" s="114"/>
      <c r="X41" s="114">
        <f>366572000</f>
        <v>366572000</v>
      </c>
      <c r="Y41" s="114"/>
      <c r="Z41" s="115"/>
      <c r="AA41" s="111"/>
      <c r="AB41" s="116">
        <f>29</f>
        <v>29</v>
      </c>
      <c r="AC41" s="116" t="str">
        <f t="shared" si="0"/>
        <v>－</v>
      </c>
      <c r="AD41" s="117">
        <f>22</f>
        <v>22</v>
      </c>
    </row>
    <row r="42" spans="1:30">
      <c r="A42" s="107" t="s">
        <v>46</v>
      </c>
      <c r="B42" s="108" t="s">
        <v>1104</v>
      </c>
      <c r="C42" s="108" t="s">
        <v>1105</v>
      </c>
      <c r="D42" s="108" t="s">
        <v>745</v>
      </c>
      <c r="E42" s="109" t="s">
        <v>1099</v>
      </c>
      <c r="F42" s="109" t="s">
        <v>241</v>
      </c>
      <c r="G42" s="110">
        <v>50</v>
      </c>
      <c r="H42" s="111" t="s">
        <v>400</v>
      </c>
      <c r="I42" s="112" t="s">
        <v>1207</v>
      </c>
      <c r="J42" s="111" t="s">
        <v>187</v>
      </c>
      <c r="K42" s="112" t="s">
        <v>1208</v>
      </c>
      <c r="L42" s="111"/>
      <c r="M42" s="112"/>
      <c r="N42" s="111" t="s">
        <v>400</v>
      </c>
      <c r="O42" s="112" t="s">
        <v>1207</v>
      </c>
      <c r="P42" s="111"/>
      <c r="Q42" s="112"/>
      <c r="R42" s="111" t="s">
        <v>187</v>
      </c>
      <c r="S42" s="112" t="s">
        <v>1209</v>
      </c>
      <c r="T42" s="113">
        <f>69650</f>
        <v>69650</v>
      </c>
      <c r="U42" s="114">
        <f>6</f>
        <v>6</v>
      </c>
      <c r="V42" s="114"/>
      <c r="W42" s="114"/>
      <c r="X42" s="114">
        <f>21021500</f>
        <v>21021500</v>
      </c>
      <c r="Y42" s="114"/>
      <c r="Z42" s="115"/>
      <c r="AA42" s="111"/>
      <c r="AB42" s="116">
        <f>4</f>
        <v>4</v>
      </c>
      <c r="AC42" s="116" t="str">
        <f t="shared" si="0"/>
        <v>－</v>
      </c>
      <c r="AD42" s="117">
        <f>2</f>
        <v>2</v>
      </c>
    </row>
    <row r="43" spans="1:30">
      <c r="A43" s="107" t="s">
        <v>46</v>
      </c>
      <c r="B43" s="108" t="s">
        <v>1210</v>
      </c>
      <c r="C43" s="108" t="s">
        <v>1211</v>
      </c>
      <c r="D43" s="108" t="s">
        <v>49</v>
      </c>
      <c r="E43" s="109" t="s">
        <v>989</v>
      </c>
      <c r="F43" s="109" t="s">
        <v>594</v>
      </c>
      <c r="G43" s="110">
        <v>50</v>
      </c>
      <c r="H43" s="111"/>
      <c r="I43" s="112" t="s">
        <v>260</v>
      </c>
      <c r="J43" s="111"/>
      <c r="K43" s="112" t="s">
        <v>260</v>
      </c>
      <c r="L43" s="111"/>
      <c r="M43" s="112"/>
      <c r="N43" s="111"/>
      <c r="O43" s="112" t="s">
        <v>260</v>
      </c>
      <c r="P43" s="111"/>
      <c r="Q43" s="112"/>
      <c r="R43" s="111"/>
      <c r="S43" s="112" t="s">
        <v>260</v>
      </c>
      <c r="T43" s="113">
        <f>52926.67</f>
        <v>52926.67</v>
      </c>
      <c r="U43" s="114" t="str">
        <f t="shared" ref="U43:U60" si="1">"－"</f>
        <v>－</v>
      </c>
      <c r="V43" s="114"/>
      <c r="W43" s="114"/>
      <c r="X43" s="114" t="str">
        <f t="shared" ref="X43:X60" si="2">"－"</f>
        <v>－</v>
      </c>
      <c r="Y43" s="114"/>
      <c r="Z43" s="115"/>
      <c r="AA43" s="111" t="s">
        <v>60</v>
      </c>
      <c r="AB43" s="116" t="str">
        <f t="shared" ref="AB43:AB60" si="3">"－"</f>
        <v>－</v>
      </c>
      <c r="AC43" s="116" t="str">
        <f t="shared" si="0"/>
        <v>－</v>
      </c>
      <c r="AD43" s="117" t="str">
        <f t="shared" si="0"/>
        <v>－</v>
      </c>
    </row>
    <row r="44" spans="1:30">
      <c r="A44" s="107" t="s">
        <v>46</v>
      </c>
      <c r="B44" s="108" t="s">
        <v>1210</v>
      </c>
      <c r="C44" s="108" t="s">
        <v>1211</v>
      </c>
      <c r="D44" s="108" t="s">
        <v>612</v>
      </c>
      <c r="E44" s="109" t="s">
        <v>604</v>
      </c>
      <c r="F44" s="109" t="s">
        <v>996</v>
      </c>
      <c r="G44" s="110">
        <v>50</v>
      </c>
      <c r="H44" s="111"/>
      <c r="I44" s="112" t="s">
        <v>260</v>
      </c>
      <c r="J44" s="111"/>
      <c r="K44" s="112" t="s">
        <v>260</v>
      </c>
      <c r="L44" s="111"/>
      <c r="M44" s="112"/>
      <c r="N44" s="111"/>
      <c r="O44" s="112" t="s">
        <v>260</v>
      </c>
      <c r="P44" s="111"/>
      <c r="Q44" s="112"/>
      <c r="R44" s="111"/>
      <c r="S44" s="112" t="s">
        <v>260</v>
      </c>
      <c r="T44" s="113">
        <f>54830.56</f>
        <v>54830.559999999998</v>
      </c>
      <c r="U44" s="114" t="str">
        <f t="shared" si="1"/>
        <v>－</v>
      </c>
      <c r="V44" s="114"/>
      <c r="W44" s="114"/>
      <c r="X44" s="114" t="str">
        <f t="shared" si="2"/>
        <v>－</v>
      </c>
      <c r="Y44" s="114"/>
      <c r="Z44" s="115"/>
      <c r="AA44" s="111" t="s">
        <v>60</v>
      </c>
      <c r="AB44" s="116" t="str">
        <f t="shared" si="3"/>
        <v>－</v>
      </c>
      <c r="AC44" s="116" t="str">
        <f t="shared" si="0"/>
        <v>－</v>
      </c>
      <c r="AD44" s="117" t="str">
        <f t="shared" si="0"/>
        <v>－</v>
      </c>
    </row>
    <row r="45" spans="1:30">
      <c r="A45" s="107" t="s">
        <v>46</v>
      </c>
      <c r="B45" s="108" t="s">
        <v>1210</v>
      </c>
      <c r="C45" s="108" t="s">
        <v>1211</v>
      </c>
      <c r="D45" s="108" t="s">
        <v>61</v>
      </c>
      <c r="E45" s="109" t="s">
        <v>951</v>
      </c>
      <c r="F45" s="109" t="s">
        <v>614</v>
      </c>
      <c r="G45" s="110">
        <v>50</v>
      </c>
      <c r="H45" s="111"/>
      <c r="I45" s="112" t="s">
        <v>260</v>
      </c>
      <c r="J45" s="111"/>
      <c r="K45" s="112" t="s">
        <v>260</v>
      </c>
      <c r="L45" s="111"/>
      <c r="M45" s="112"/>
      <c r="N45" s="111"/>
      <c r="O45" s="112" t="s">
        <v>260</v>
      </c>
      <c r="P45" s="111"/>
      <c r="Q45" s="112"/>
      <c r="R45" s="111"/>
      <c r="S45" s="112" t="s">
        <v>260</v>
      </c>
      <c r="T45" s="113">
        <f>56946.43</f>
        <v>56946.43</v>
      </c>
      <c r="U45" s="114" t="str">
        <f t="shared" si="1"/>
        <v>－</v>
      </c>
      <c r="V45" s="114"/>
      <c r="W45" s="114"/>
      <c r="X45" s="114" t="str">
        <f t="shared" si="2"/>
        <v>－</v>
      </c>
      <c r="Y45" s="114"/>
      <c r="Z45" s="115"/>
      <c r="AA45" s="111" t="s">
        <v>60</v>
      </c>
      <c r="AB45" s="116" t="str">
        <f t="shared" si="3"/>
        <v>－</v>
      </c>
      <c r="AC45" s="116" t="str">
        <f t="shared" si="0"/>
        <v>－</v>
      </c>
      <c r="AD45" s="117" t="str">
        <f t="shared" si="0"/>
        <v>－</v>
      </c>
    </row>
    <row r="46" spans="1:30">
      <c r="A46" s="107" t="s">
        <v>46</v>
      </c>
      <c r="B46" s="108" t="s">
        <v>1210</v>
      </c>
      <c r="C46" s="108" t="s">
        <v>1211</v>
      </c>
      <c r="D46" s="108" t="s">
        <v>633</v>
      </c>
      <c r="E46" s="109" t="s">
        <v>1010</v>
      </c>
      <c r="F46" s="109" t="s">
        <v>200</v>
      </c>
      <c r="G46" s="110">
        <v>50</v>
      </c>
      <c r="H46" s="111"/>
      <c r="I46" s="112" t="s">
        <v>260</v>
      </c>
      <c r="J46" s="111"/>
      <c r="K46" s="112" t="s">
        <v>260</v>
      </c>
      <c r="L46" s="111"/>
      <c r="M46" s="112"/>
      <c r="N46" s="111"/>
      <c r="O46" s="112" t="s">
        <v>260</v>
      </c>
      <c r="P46" s="111"/>
      <c r="Q46" s="112"/>
      <c r="R46" s="111"/>
      <c r="S46" s="112" t="s">
        <v>260</v>
      </c>
      <c r="T46" s="113">
        <f>58236.36</f>
        <v>58236.36</v>
      </c>
      <c r="U46" s="114" t="str">
        <f t="shared" si="1"/>
        <v>－</v>
      </c>
      <c r="V46" s="114"/>
      <c r="W46" s="114"/>
      <c r="X46" s="114" t="str">
        <f t="shared" si="2"/>
        <v>－</v>
      </c>
      <c r="Y46" s="114"/>
      <c r="Z46" s="115"/>
      <c r="AA46" s="111" t="s">
        <v>60</v>
      </c>
      <c r="AB46" s="116" t="str">
        <f t="shared" si="3"/>
        <v>－</v>
      </c>
      <c r="AC46" s="116" t="str">
        <f t="shared" si="0"/>
        <v>－</v>
      </c>
      <c r="AD46" s="117" t="str">
        <f t="shared" si="0"/>
        <v>－</v>
      </c>
    </row>
    <row r="47" spans="1:30">
      <c r="A47" s="107" t="s">
        <v>46</v>
      </c>
      <c r="B47" s="108" t="s">
        <v>1210</v>
      </c>
      <c r="C47" s="108" t="s">
        <v>1211</v>
      </c>
      <c r="D47" s="108" t="s">
        <v>72</v>
      </c>
      <c r="E47" s="109" t="s">
        <v>955</v>
      </c>
      <c r="F47" s="109" t="s">
        <v>635</v>
      </c>
      <c r="G47" s="110">
        <v>50</v>
      </c>
      <c r="H47" s="111"/>
      <c r="I47" s="112" t="s">
        <v>260</v>
      </c>
      <c r="J47" s="111"/>
      <c r="K47" s="112" t="s">
        <v>260</v>
      </c>
      <c r="L47" s="111"/>
      <c r="M47" s="112"/>
      <c r="N47" s="111"/>
      <c r="O47" s="112" t="s">
        <v>260</v>
      </c>
      <c r="P47" s="111"/>
      <c r="Q47" s="112"/>
      <c r="R47" s="111"/>
      <c r="S47" s="112" t="s">
        <v>260</v>
      </c>
      <c r="T47" s="113">
        <f>59046.32</f>
        <v>59046.32</v>
      </c>
      <c r="U47" s="114" t="str">
        <f t="shared" si="1"/>
        <v>－</v>
      </c>
      <c r="V47" s="114"/>
      <c r="W47" s="114"/>
      <c r="X47" s="114" t="str">
        <f t="shared" si="2"/>
        <v>－</v>
      </c>
      <c r="Y47" s="114"/>
      <c r="Z47" s="115"/>
      <c r="AA47" s="111" t="s">
        <v>60</v>
      </c>
      <c r="AB47" s="116" t="str">
        <f t="shared" si="3"/>
        <v>－</v>
      </c>
      <c r="AC47" s="116" t="str">
        <f t="shared" si="0"/>
        <v>－</v>
      </c>
      <c r="AD47" s="117" t="str">
        <f t="shared" si="0"/>
        <v>－</v>
      </c>
    </row>
    <row r="48" spans="1:30">
      <c r="A48" s="107" t="s">
        <v>46</v>
      </c>
      <c r="B48" s="108" t="s">
        <v>1210</v>
      </c>
      <c r="C48" s="108" t="s">
        <v>1211</v>
      </c>
      <c r="D48" s="108" t="s">
        <v>651</v>
      </c>
      <c r="E48" s="109" t="s">
        <v>1022</v>
      </c>
      <c r="F48" s="109" t="s">
        <v>74</v>
      </c>
      <c r="G48" s="110">
        <v>50</v>
      </c>
      <c r="H48" s="111"/>
      <c r="I48" s="112" t="s">
        <v>260</v>
      </c>
      <c r="J48" s="111"/>
      <c r="K48" s="112" t="s">
        <v>260</v>
      </c>
      <c r="L48" s="111"/>
      <c r="M48" s="112"/>
      <c r="N48" s="111"/>
      <c r="O48" s="112" t="s">
        <v>260</v>
      </c>
      <c r="P48" s="111"/>
      <c r="Q48" s="112"/>
      <c r="R48" s="111"/>
      <c r="S48" s="112" t="s">
        <v>260</v>
      </c>
      <c r="T48" s="113">
        <f>60355.93</f>
        <v>60355.93</v>
      </c>
      <c r="U48" s="114" t="str">
        <f t="shared" si="1"/>
        <v>－</v>
      </c>
      <c r="V48" s="114"/>
      <c r="W48" s="114"/>
      <c r="X48" s="114" t="str">
        <f t="shared" si="2"/>
        <v>－</v>
      </c>
      <c r="Y48" s="114"/>
      <c r="Z48" s="115"/>
      <c r="AA48" s="111" t="s">
        <v>60</v>
      </c>
      <c r="AB48" s="116" t="str">
        <f t="shared" si="3"/>
        <v>－</v>
      </c>
      <c r="AC48" s="116" t="str">
        <f t="shared" si="0"/>
        <v>－</v>
      </c>
      <c r="AD48" s="117" t="str">
        <f t="shared" si="0"/>
        <v>－</v>
      </c>
    </row>
    <row r="49" spans="1:30">
      <c r="A49" s="107" t="s">
        <v>46</v>
      </c>
      <c r="B49" s="108" t="s">
        <v>1210</v>
      </c>
      <c r="C49" s="108" t="s">
        <v>1211</v>
      </c>
      <c r="D49" s="108" t="s">
        <v>86</v>
      </c>
      <c r="E49" s="109" t="s">
        <v>652</v>
      </c>
      <c r="F49" s="109" t="s">
        <v>1029</v>
      </c>
      <c r="G49" s="110">
        <v>50</v>
      </c>
      <c r="H49" s="111"/>
      <c r="I49" s="112" t="s">
        <v>260</v>
      </c>
      <c r="J49" s="111"/>
      <c r="K49" s="112" t="s">
        <v>260</v>
      </c>
      <c r="L49" s="111"/>
      <c r="M49" s="112"/>
      <c r="N49" s="111"/>
      <c r="O49" s="112" t="s">
        <v>260</v>
      </c>
      <c r="P49" s="111"/>
      <c r="Q49" s="112"/>
      <c r="R49" s="111"/>
      <c r="S49" s="112" t="s">
        <v>260</v>
      </c>
      <c r="T49" s="113">
        <f>62303.31</f>
        <v>62303.31</v>
      </c>
      <c r="U49" s="114" t="str">
        <f t="shared" si="1"/>
        <v>－</v>
      </c>
      <c r="V49" s="114"/>
      <c r="W49" s="114"/>
      <c r="X49" s="114" t="str">
        <f t="shared" si="2"/>
        <v>－</v>
      </c>
      <c r="Y49" s="114"/>
      <c r="Z49" s="115"/>
      <c r="AA49" s="111" t="s">
        <v>60</v>
      </c>
      <c r="AB49" s="116" t="str">
        <f t="shared" si="3"/>
        <v>－</v>
      </c>
      <c r="AC49" s="116" t="str">
        <f t="shared" si="0"/>
        <v>－</v>
      </c>
      <c r="AD49" s="117" t="str">
        <f t="shared" si="0"/>
        <v>－</v>
      </c>
    </row>
    <row r="50" spans="1:30">
      <c r="A50" s="107" t="s">
        <v>46</v>
      </c>
      <c r="B50" s="108" t="s">
        <v>1210</v>
      </c>
      <c r="C50" s="108" t="s">
        <v>1211</v>
      </c>
      <c r="D50" s="108" t="s">
        <v>669</v>
      </c>
      <c r="E50" s="109" t="s">
        <v>781</v>
      </c>
      <c r="F50" s="109" t="s">
        <v>213</v>
      </c>
      <c r="G50" s="110">
        <v>50</v>
      </c>
      <c r="H50" s="111"/>
      <c r="I50" s="112" t="s">
        <v>260</v>
      </c>
      <c r="J50" s="111"/>
      <c r="K50" s="112" t="s">
        <v>260</v>
      </c>
      <c r="L50" s="111"/>
      <c r="M50" s="112"/>
      <c r="N50" s="111"/>
      <c r="O50" s="112" t="s">
        <v>260</v>
      </c>
      <c r="P50" s="111"/>
      <c r="Q50" s="112"/>
      <c r="R50" s="111"/>
      <c r="S50" s="112" t="s">
        <v>260</v>
      </c>
      <c r="T50" s="113">
        <f>63982.79</f>
        <v>63982.79</v>
      </c>
      <c r="U50" s="114" t="str">
        <f t="shared" si="1"/>
        <v>－</v>
      </c>
      <c r="V50" s="114"/>
      <c r="W50" s="114"/>
      <c r="X50" s="114" t="str">
        <f t="shared" si="2"/>
        <v>－</v>
      </c>
      <c r="Y50" s="114"/>
      <c r="Z50" s="115"/>
      <c r="AA50" s="111" t="s">
        <v>60</v>
      </c>
      <c r="AB50" s="116" t="str">
        <f t="shared" si="3"/>
        <v>－</v>
      </c>
      <c r="AC50" s="116" t="str">
        <f t="shared" si="0"/>
        <v>－</v>
      </c>
      <c r="AD50" s="117" t="str">
        <f t="shared" si="0"/>
        <v>－</v>
      </c>
    </row>
    <row r="51" spans="1:30">
      <c r="A51" s="107" t="s">
        <v>46</v>
      </c>
      <c r="B51" s="108" t="s">
        <v>1210</v>
      </c>
      <c r="C51" s="108" t="s">
        <v>1211</v>
      </c>
      <c r="D51" s="108" t="s">
        <v>97</v>
      </c>
      <c r="E51" s="109" t="s">
        <v>670</v>
      </c>
      <c r="F51" s="109" t="s">
        <v>671</v>
      </c>
      <c r="G51" s="110">
        <v>50</v>
      </c>
      <c r="H51" s="111"/>
      <c r="I51" s="112" t="s">
        <v>260</v>
      </c>
      <c r="J51" s="111"/>
      <c r="K51" s="112" t="s">
        <v>260</v>
      </c>
      <c r="L51" s="111"/>
      <c r="M51" s="112"/>
      <c r="N51" s="111"/>
      <c r="O51" s="112" t="s">
        <v>260</v>
      </c>
      <c r="P51" s="111"/>
      <c r="Q51" s="112"/>
      <c r="R51" s="111"/>
      <c r="S51" s="112" t="s">
        <v>260</v>
      </c>
      <c r="T51" s="113">
        <f>64834.43</f>
        <v>64834.43</v>
      </c>
      <c r="U51" s="114" t="str">
        <f t="shared" si="1"/>
        <v>－</v>
      </c>
      <c r="V51" s="114"/>
      <c r="W51" s="114"/>
      <c r="X51" s="114" t="str">
        <f t="shared" si="2"/>
        <v>－</v>
      </c>
      <c r="Y51" s="114"/>
      <c r="Z51" s="115"/>
      <c r="AA51" s="111" t="s">
        <v>60</v>
      </c>
      <c r="AB51" s="116" t="str">
        <f t="shared" si="3"/>
        <v>－</v>
      </c>
      <c r="AC51" s="116" t="str">
        <f t="shared" si="0"/>
        <v>－</v>
      </c>
      <c r="AD51" s="117" t="str">
        <f t="shared" si="0"/>
        <v>－</v>
      </c>
    </row>
    <row r="52" spans="1:30">
      <c r="A52" s="107" t="s">
        <v>46</v>
      </c>
      <c r="B52" s="108" t="s">
        <v>1210</v>
      </c>
      <c r="C52" s="108" t="s">
        <v>1211</v>
      </c>
      <c r="D52" s="108" t="s">
        <v>524</v>
      </c>
      <c r="E52" s="109" t="s">
        <v>63</v>
      </c>
      <c r="F52" s="109" t="s">
        <v>218</v>
      </c>
      <c r="G52" s="110">
        <v>50</v>
      </c>
      <c r="H52" s="111"/>
      <c r="I52" s="112" t="s">
        <v>260</v>
      </c>
      <c r="J52" s="111"/>
      <c r="K52" s="112" t="s">
        <v>260</v>
      </c>
      <c r="L52" s="111"/>
      <c r="M52" s="112"/>
      <c r="N52" s="111"/>
      <c r="O52" s="112" t="s">
        <v>260</v>
      </c>
      <c r="P52" s="111"/>
      <c r="Q52" s="112"/>
      <c r="R52" s="111"/>
      <c r="S52" s="112" t="s">
        <v>260</v>
      </c>
      <c r="T52" s="113">
        <f>66922.13</f>
        <v>66922.13</v>
      </c>
      <c r="U52" s="114" t="str">
        <f t="shared" si="1"/>
        <v>－</v>
      </c>
      <c r="V52" s="114"/>
      <c r="W52" s="114"/>
      <c r="X52" s="114" t="str">
        <f t="shared" si="2"/>
        <v>－</v>
      </c>
      <c r="Y52" s="114"/>
      <c r="Z52" s="115"/>
      <c r="AA52" s="111" t="s">
        <v>60</v>
      </c>
      <c r="AB52" s="116" t="str">
        <f t="shared" si="3"/>
        <v>－</v>
      </c>
      <c r="AC52" s="116" t="str">
        <f t="shared" si="0"/>
        <v>－</v>
      </c>
      <c r="AD52" s="117" t="str">
        <f t="shared" si="0"/>
        <v>－</v>
      </c>
    </row>
    <row r="53" spans="1:30">
      <c r="A53" s="107" t="s">
        <v>46</v>
      </c>
      <c r="B53" s="108" t="s">
        <v>1210</v>
      </c>
      <c r="C53" s="108" t="s">
        <v>1211</v>
      </c>
      <c r="D53" s="108" t="s">
        <v>109</v>
      </c>
      <c r="E53" s="109" t="s">
        <v>689</v>
      </c>
      <c r="F53" s="109" t="s">
        <v>768</v>
      </c>
      <c r="G53" s="110">
        <v>50</v>
      </c>
      <c r="H53" s="111"/>
      <c r="I53" s="112" t="s">
        <v>260</v>
      </c>
      <c r="J53" s="111"/>
      <c r="K53" s="112" t="s">
        <v>260</v>
      </c>
      <c r="L53" s="111"/>
      <c r="M53" s="112"/>
      <c r="N53" s="111"/>
      <c r="O53" s="112" t="s">
        <v>260</v>
      </c>
      <c r="P53" s="111"/>
      <c r="Q53" s="112"/>
      <c r="R53" s="111"/>
      <c r="S53" s="112" t="s">
        <v>260</v>
      </c>
      <c r="T53" s="113">
        <f>69307.2</f>
        <v>69307.199999999997</v>
      </c>
      <c r="U53" s="114" t="str">
        <f t="shared" si="1"/>
        <v>－</v>
      </c>
      <c r="V53" s="114"/>
      <c r="W53" s="114"/>
      <c r="X53" s="114" t="str">
        <f t="shared" si="2"/>
        <v>－</v>
      </c>
      <c r="Y53" s="114"/>
      <c r="Z53" s="115"/>
      <c r="AA53" s="111" t="s">
        <v>60</v>
      </c>
      <c r="AB53" s="116" t="str">
        <f t="shared" si="3"/>
        <v>－</v>
      </c>
      <c r="AC53" s="116" t="str">
        <f t="shared" si="0"/>
        <v>－</v>
      </c>
      <c r="AD53" s="117" t="str">
        <f t="shared" si="0"/>
        <v>－</v>
      </c>
    </row>
    <row r="54" spans="1:30">
      <c r="A54" s="107" t="s">
        <v>46</v>
      </c>
      <c r="B54" s="108" t="s">
        <v>1210</v>
      </c>
      <c r="C54" s="108" t="s">
        <v>1211</v>
      </c>
      <c r="D54" s="108" t="s">
        <v>544</v>
      </c>
      <c r="E54" s="109" t="s">
        <v>147</v>
      </c>
      <c r="F54" s="109" t="s">
        <v>183</v>
      </c>
      <c r="G54" s="110">
        <v>50</v>
      </c>
      <c r="H54" s="111"/>
      <c r="I54" s="112" t="s">
        <v>260</v>
      </c>
      <c r="J54" s="111"/>
      <c r="K54" s="112" t="s">
        <v>260</v>
      </c>
      <c r="L54" s="111"/>
      <c r="M54" s="112"/>
      <c r="N54" s="111"/>
      <c r="O54" s="112" t="s">
        <v>260</v>
      </c>
      <c r="P54" s="111"/>
      <c r="Q54" s="112"/>
      <c r="R54" s="111"/>
      <c r="S54" s="112" t="s">
        <v>260</v>
      </c>
      <c r="T54" s="113">
        <f>70418.7</f>
        <v>70418.7</v>
      </c>
      <c r="U54" s="114" t="str">
        <f t="shared" si="1"/>
        <v>－</v>
      </c>
      <c r="V54" s="114"/>
      <c r="W54" s="114"/>
      <c r="X54" s="114" t="str">
        <f t="shared" si="2"/>
        <v>－</v>
      </c>
      <c r="Y54" s="114"/>
      <c r="Z54" s="115"/>
      <c r="AA54" s="111" t="s">
        <v>60</v>
      </c>
      <c r="AB54" s="116" t="str">
        <f t="shared" si="3"/>
        <v>－</v>
      </c>
      <c r="AC54" s="116" t="str">
        <f t="shared" si="0"/>
        <v>－</v>
      </c>
      <c r="AD54" s="117" t="str">
        <f t="shared" si="0"/>
        <v>－</v>
      </c>
    </row>
    <row r="55" spans="1:30">
      <c r="A55" s="107" t="s">
        <v>46</v>
      </c>
      <c r="B55" s="108" t="s">
        <v>1210</v>
      </c>
      <c r="C55" s="108" t="s">
        <v>1211</v>
      </c>
      <c r="D55" s="108" t="s">
        <v>122</v>
      </c>
      <c r="E55" s="109" t="s">
        <v>653</v>
      </c>
      <c r="F55" s="109" t="s">
        <v>709</v>
      </c>
      <c r="G55" s="110">
        <v>50</v>
      </c>
      <c r="H55" s="111"/>
      <c r="I55" s="112" t="s">
        <v>260</v>
      </c>
      <c r="J55" s="111"/>
      <c r="K55" s="112" t="s">
        <v>260</v>
      </c>
      <c r="L55" s="111"/>
      <c r="M55" s="112"/>
      <c r="N55" s="111"/>
      <c r="O55" s="112" t="s">
        <v>260</v>
      </c>
      <c r="P55" s="111"/>
      <c r="Q55" s="112"/>
      <c r="R55" s="111"/>
      <c r="S55" s="112" t="s">
        <v>260</v>
      </c>
      <c r="T55" s="113">
        <f>70786.24</f>
        <v>70786.240000000005</v>
      </c>
      <c r="U55" s="114" t="str">
        <f t="shared" si="1"/>
        <v>－</v>
      </c>
      <c r="V55" s="114"/>
      <c r="W55" s="114"/>
      <c r="X55" s="114" t="str">
        <f t="shared" si="2"/>
        <v>－</v>
      </c>
      <c r="Y55" s="114"/>
      <c r="Z55" s="115"/>
      <c r="AA55" s="111"/>
      <c r="AB55" s="116" t="str">
        <f t="shared" si="3"/>
        <v>－</v>
      </c>
      <c r="AC55" s="116" t="str">
        <f t="shared" si="0"/>
        <v>－</v>
      </c>
      <c r="AD55" s="117" t="str">
        <f t="shared" si="0"/>
        <v>－</v>
      </c>
    </row>
    <row r="56" spans="1:30">
      <c r="A56" s="107" t="s">
        <v>46</v>
      </c>
      <c r="B56" s="108" t="s">
        <v>1210</v>
      </c>
      <c r="C56" s="108" t="s">
        <v>1211</v>
      </c>
      <c r="D56" s="108" t="s">
        <v>557</v>
      </c>
      <c r="E56" s="109" t="s">
        <v>88</v>
      </c>
      <c r="F56" s="109" t="s">
        <v>1078</v>
      </c>
      <c r="G56" s="110">
        <v>50</v>
      </c>
      <c r="H56" s="111"/>
      <c r="I56" s="112" t="s">
        <v>260</v>
      </c>
      <c r="J56" s="111"/>
      <c r="K56" s="112" t="s">
        <v>260</v>
      </c>
      <c r="L56" s="111"/>
      <c r="M56" s="112"/>
      <c r="N56" s="111"/>
      <c r="O56" s="112" t="s">
        <v>260</v>
      </c>
      <c r="P56" s="111"/>
      <c r="Q56" s="112"/>
      <c r="R56" s="111"/>
      <c r="S56" s="112" t="s">
        <v>260</v>
      </c>
      <c r="T56" s="113">
        <f>72021.84</f>
        <v>72021.84</v>
      </c>
      <c r="U56" s="114" t="str">
        <f t="shared" si="1"/>
        <v>－</v>
      </c>
      <c r="V56" s="114"/>
      <c r="W56" s="114"/>
      <c r="X56" s="114" t="str">
        <f t="shared" si="2"/>
        <v>－</v>
      </c>
      <c r="Y56" s="114"/>
      <c r="Z56" s="115"/>
      <c r="AA56" s="111"/>
      <c r="AB56" s="116" t="str">
        <f t="shared" si="3"/>
        <v>－</v>
      </c>
      <c r="AC56" s="116" t="str">
        <f t="shared" si="0"/>
        <v>－</v>
      </c>
      <c r="AD56" s="117" t="str">
        <f t="shared" si="0"/>
        <v>－</v>
      </c>
    </row>
    <row r="57" spans="1:30">
      <c r="A57" s="107" t="s">
        <v>46</v>
      </c>
      <c r="B57" s="108" t="s">
        <v>1210</v>
      </c>
      <c r="C57" s="108" t="s">
        <v>1211</v>
      </c>
      <c r="D57" s="108" t="s">
        <v>134</v>
      </c>
      <c r="E57" s="109" t="s">
        <v>755</v>
      </c>
      <c r="F57" s="109" t="s">
        <v>722</v>
      </c>
      <c r="G57" s="110">
        <v>50</v>
      </c>
      <c r="H57" s="111"/>
      <c r="I57" s="112" t="s">
        <v>260</v>
      </c>
      <c r="J57" s="111"/>
      <c r="K57" s="112" t="s">
        <v>260</v>
      </c>
      <c r="L57" s="111"/>
      <c r="M57" s="112"/>
      <c r="N57" s="111"/>
      <c r="O57" s="112" t="s">
        <v>260</v>
      </c>
      <c r="P57" s="111"/>
      <c r="Q57" s="112"/>
      <c r="R57" s="111"/>
      <c r="S57" s="112" t="s">
        <v>260</v>
      </c>
      <c r="T57" s="113">
        <f>73646.27</f>
        <v>73646.27</v>
      </c>
      <c r="U57" s="114" t="str">
        <f t="shared" si="1"/>
        <v>－</v>
      </c>
      <c r="V57" s="114"/>
      <c r="W57" s="114"/>
      <c r="X57" s="114" t="str">
        <f t="shared" si="2"/>
        <v>－</v>
      </c>
      <c r="Y57" s="114"/>
      <c r="Z57" s="115"/>
      <c r="AA57" s="111"/>
      <c r="AB57" s="116" t="str">
        <f t="shared" si="3"/>
        <v>－</v>
      </c>
      <c r="AC57" s="116" t="str">
        <f t="shared" si="0"/>
        <v>－</v>
      </c>
      <c r="AD57" s="117" t="str">
        <f t="shared" si="0"/>
        <v>－</v>
      </c>
    </row>
    <row r="58" spans="1:30">
      <c r="A58" s="107" t="s">
        <v>46</v>
      </c>
      <c r="B58" s="108" t="s">
        <v>1210</v>
      </c>
      <c r="C58" s="108" t="s">
        <v>1211</v>
      </c>
      <c r="D58" s="108" t="s">
        <v>577</v>
      </c>
      <c r="E58" s="109" t="s">
        <v>99</v>
      </c>
      <c r="F58" s="109" t="s">
        <v>136</v>
      </c>
      <c r="G58" s="110">
        <v>50</v>
      </c>
      <c r="H58" s="111"/>
      <c r="I58" s="112" t="s">
        <v>260</v>
      </c>
      <c r="J58" s="111"/>
      <c r="K58" s="112" t="s">
        <v>260</v>
      </c>
      <c r="L58" s="111"/>
      <c r="M58" s="112"/>
      <c r="N58" s="111"/>
      <c r="O58" s="112" t="s">
        <v>260</v>
      </c>
      <c r="P58" s="111"/>
      <c r="Q58" s="112"/>
      <c r="R58" s="111"/>
      <c r="S58" s="112" t="s">
        <v>260</v>
      </c>
      <c r="T58" s="113">
        <f>73689.13</f>
        <v>73689.13</v>
      </c>
      <c r="U58" s="114" t="str">
        <f t="shared" si="1"/>
        <v>－</v>
      </c>
      <c r="V58" s="114"/>
      <c r="W58" s="114"/>
      <c r="X58" s="114" t="str">
        <f t="shared" si="2"/>
        <v>－</v>
      </c>
      <c r="Y58" s="114"/>
      <c r="Z58" s="115"/>
      <c r="AA58" s="111"/>
      <c r="AB58" s="116" t="str">
        <f t="shared" si="3"/>
        <v>－</v>
      </c>
      <c r="AC58" s="116" t="str">
        <f t="shared" si="0"/>
        <v>－</v>
      </c>
      <c r="AD58" s="117" t="str">
        <f t="shared" si="0"/>
        <v>－</v>
      </c>
    </row>
    <row r="59" spans="1:30">
      <c r="A59" s="107" t="s">
        <v>46</v>
      </c>
      <c r="B59" s="108" t="s">
        <v>1210</v>
      </c>
      <c r="C59" s="108" t="s">
        <v>1211</v>
      </c>
      <c r="D59" s="108" t="s">
        <v>146</v>
      </c>
      <c r="E59" s="109" t="s">
        <v>964</v>
      </c>
      <c r="F59" s="109" t="s">
        <v>734</v>
      </c>
      <c r="G59" s="110">
        <v>50</v>
      </c>
      <c r="H59" s="111"/>
      <c r="I59" s="112" t="s">
        <v>260</v>
      </c>
      <c r="J59" s="111"/>
      <c r="K59" s="112" t="s">
        <v>260</v>
      </c>
      <c r="L59" s="111"/>
      <c r="M59" s="112"/>
      <c r="N59" s="111"/>
      <c r="O59" s="112" t="s">
        <v>260</v>
      </c>
      <c r="P59" s="111"/>
      <c r="Q59" s="112"/>
      <c r="R59" s="111"/>
      <c r="S59" s="112" t="s">
        <v>260</v>
      </c>
      <c r="T59" s="113">
        <f>71460</f>
        <v>71460</v>
      </c>
      <c r="U59" s="114" t="str">
        <f t="shared" si="1"/>
        <v>－</v>
      </c>
      <c r="V59" s="114"/>
      <c r="W59" s="114"/>
      <c r="X59" s="114" t="str">
        <f t="shared" si="2"/>
        <v>－</v>
      </c>
      <c r="Y59" s="114"/>
      <c r="Z59" s="115"/>
      <c r="AA59" s="111"/>
      <c r="AB59" s="116" t="str">
        <f t="shared" si="3"/>
        <v>－</v>
      </c>
      <c r="AC59" s="116" t="str">
        <f t="shared" si="0"/>
        <v>－</v>
      </c>
      <c r="AD59" s="117" t="str">
        <f t="shared" si="0"/>
        <v>－</v>
      </c>
    </row>
    <row r="60" spans="1:30">
      <c r="A60" s="107" t="s">
        <v>46</v>
      </c>
      <c r="B60" s="108" t="s">
        <v>1210</v>
      </c>
      <c r="C60" s="108" t="s">
        <v>1211</v>
      </c>
      <c r="D60" s="108" t="s">
        <v>745</v>
      </c>
      <c r="E60" s="109" t="s">
        <v>1099</v>
      </c>
      <c r="F60" s="109" t="s">
        <v>241</v>
      </c>
      <c r="G60" s="110">
        <v>50</v>
      </c>
      <c r="H60" s="111"/>
      <c r="I60" s="112" t="s">
        <v>260</v>
      </c>
      <c r="J60" s="111"/>
      <c r="K60" s="112" t="s">
        <v>260</v>
      </c>
      <c r="L60" s="111"/>
      <c r="M60" s="112"/>
      <c r="N60" s="111"/>
      <c r="O60" s="112" t="s">
        <v>260</v>
      </c>
      <c r="P60" s="111"/>
      <c r="Q60" s="112"/>
      <c r="R60" s="111"/>
      <c r="S60" s="112" t="s">
        <v>260</v>
      </c>
      <c r="T60" s="113">
        <f>70525</f>
        <v>70525</v>
      </c>
      <c r="U60" s="114" t="str">
        <f t="shared" si="1"/>
        <v>－</v>
      </c>
      <c r="V60" s="114"/>
      <c r="W60" s="114"/>
      <c r="X60" s="114" t="str">
        <f t="shared" si="2"/>
        <v>－</v>
      </c>
      <c r="Y60" s="114"/>
      <c r="Z60" s="115"/>
      <c r="AA60" s="111"/>
      <c r="AB60" s="116" t="str">
        <f t="shared" si="3"/>
        <v>－</v>
      </c>
      <c r="AC60" s="116" t="str">
        <f t="shared" si="0"/>
        <v>－</v>
      </c>
      <c r="AD60" s="117" t="str">
        <f t="shared" si="0"/>
        <v>－</v>
      </c>
    </row>
    <row r="61" spans="1:30">
      <c r="A61" s="107" t="s">
        <v>46</v>
      </c>
      <c r="B61" s="108" t="s">
        <v>1212</v>
      </c>
      <c r="C61" s="108" t="s">
        <v>1213</v>
      </c>
      <c r="D61" s="108" t="s">
        <v>592</v>
      </c>
      <c r="E61" s="109" t="s">
        <v>778</v>
      </c>
      <c r="F61" s="109" t="s">
        <v>779</v>
      </c>
      <c r="G61" s="110">
        <v>50</v>
      </c>
      <c r="H61" s="111" t="s">
        <v>52</v>
      </c>
      <c r="I61" s="112" t="s">
        <v>1214</v>
      </c>
      <c r="J61" s="111" t="s">
        <v>411</v>
      </c>
      <c r="K61" s="112" t="s">
        <v>1215</v>
      </c>
      <c r="L61" s="111" t="s">
        <v>1216</v>
      </c>
      <c r="M61" s="112" t="s">
        <v>1217</v>
      </c>
      <c r="N61" s="111" t="s">
        <v>52</v>
      </c>
      <c r="O61" s="112" t="s">
        <v>1218</v>
      </c>
      <c r="P61" s="111" t="s">
        <v>335</v>
      </c>
      <c r="Q61" s="112" t="s">
        <v>1219</v>
      </c>
      <c r="R61" s="111" t="s">
        <v>1216</v>
      </c>
      <c r="S61" s="112" t="s">
        <v>1220</v>
      </c>
      <c r="T61" s="113">
        <f>35343.68</f>
        <v>35343.68</v>
      </c>
      <c r="U61" s="114">
        <f>454</f>
        <v>454</v>
      </c>
      <c r="V61" s="114">
        <v>154</v>
      </c>
      <c r="W61" s="114">
        <v>15</v>
      </c>
      <c r="X61" s="114">
        <f>792642500</f>
        <v>792642500</v>
      </c>
      <c r="Y61" s="114">
        <v>270157000</v>
      </c>
      <c r="Z61" s="115">
        <v>26363500</v>
      </c>
      <c r="AA61" s="111" t="s">
        <v>60</v>
      </c>
      <c r="AB61" s="116">
        <f>4625</f>
        <v>4625</v>
      </c>
      <c r="AC61" s="116" t="str">
        <f t="shared" si="0"/>
        <v>－</v>
      </c>
      <c r="AD61" s="117">
        <f>18</f>
        <v>18</v>
      </c>
    </row>
    <row r="62" spans="1:30">
      <c r="A62" s="107" t="s">
        <v>46</v>
      </c>
      <c r="B62" s="108" t="s">
        <v>1212</v>
      </c>
      <c r="C62" s="108" t="s">
        <v>1213</v>
      </c>
      <c r="D62" s="108" t="s">
        <v>49</v>
      </c>
      <c r="E62" s="109" t="s">
        <v>780</v>
      </c>
      <c r="F62" s="109" t="s">
        <v>781</v>
      </c>
      <c r="G62" s="110">
        <v>50</v>
      </c>
      <c r="H62" s="111" t="s">
        <v>52</v>
      </c>
      <c r="I62" s="112" t="s">
        <v>1221</v>
      </c>
      <c r="J62" s="111" t="s">
        <v>56</v>
      </c>
      <c r="K62" s="112" t="s">
        <v>1222</v>
      </c>
      <c r="L62" s="111" t="s">
        <v>490</v>
      </c>
      <c r="M62" s="112" t="s">
        <v>1223</v>
      </c>
      <c r="N62" s="111" t="s">
        <v>335</v>
      </c>
      <c r="O62" s="112" t="s">
        <v>1224</v>
      </c>
      <c r="P62" s="111" t="s">
        <v>472</v>
      </c>
      <c r="Q62" s="112" t="s">
        <v>1225</v>
      </c>
      <c r="R62" s="111" t="s">
        <v>1039</v>
      </c>
      <c r="S62" s="112" t="s">
        <v>1226</v>
      </c>
      <c r="T62" s="113">
        <f>37321.35</f>
        <v>37321.35</v>
      </c>
      <c r="U62" s="114">
        <f>2738</f>
        <v>2738</v>
      </c>
      <c r="V62" s="114">
        <v>188</v>
      </c>
      <c r="W62" s="114">
        <v>91</v>
      </c>
      <c r="X62" s="114">
        <f>4903330500</f>
        <v>4903330500</v>
      </c>
      <c r="Y62" s="114">
        <v>353611000</v>
      </c>
      <c r="Z62" s="115">
        <v>161717500</v>
      </c>
      <c r="AA62" s="111" t="s">
        <v>60</v>
      </c>
      <c r="AB62" s="116">
        <f>9120</f>
        <v>9120</v>
      </c>
      <c r="AC62" s="116" t="str">
        <f t="shared" si="0"/>
        <v>－</v>
      </c>
      <c r="AD62" s="117">
        <f>37</f>
        <v>37</v>
      </c>
    </row>
    <row r="63" spans="1:30">
      <c r="A63" s="107" t="s">
        <v>46</v>
      </c>
      <c r="B63" s="108" t="s">
        <v>1212</v>
      </c>
      <c r="C63" s="108" t="s">
        <v>1213</v>
      </c>
      <c r="D63" s="108" t="s">
        <v>612</v>
      </c>
      <c r="E63" s="109" t="s">
        <v>782</v>
      </c>
      <c r="F63" s="109" t="s">
        <v>783</v>
      </c>
      <c r="G63" s="110">
        <v>50</v>
      </c>
      <c r="H63" s="111" t="s">
        <v>52</v>
      </c>
      <c r="I63" s="112" t="s">
        <v>1227</v>
      </c>
      <c r="J63" s="111" t="s">
        <v>664</v>
      </c>
      <c r="K63" s="112" t="s">
        <v>1228</v>
      </c>
      <c r="L63" s="111" t="s">
        <v>1229</v>
      </c>
      <c r="M63" s="112" t="s">
        <v>1230</v>
      </c>
      <c r="N63" s="111" t="s">
        <v>335</v>
      </c>
      <c r="O63" s="112" t="s">
        <v>1231</v>
      </c>
      <c r="P63" s="111" t="s">
        <v>335</v>
      </c>
      <c r="Q63" s="112" t="s">
        <v>1232</v>
      </c>
      <c r="R63" s="111" t="s">
        <v>1233</v>
      </c>
      <c r="S63" s="112" t="s">
        <v>1234</v>
      </c>
      <c r="T63" s="113">
        <f>40112</f>
        <v>40112</v>
      </c>
      <c r="U63" s="114">
        <f>5026</f>
        <v>5026</v>
      </c>
      <c r="V63" s="114">
        <v>544</v>
      </c>
      <c r="W63" s="114">
        <v>379</v>
      </c>
      <c r="X63" s="114">
        <f>9422661000</f>
        <v>9422661000</v>
      </c>
      <c r="Y63" s="114">
        <v>1007136500</v>
      </c>
      <c r="Z63" s="115">
        <v>674252000</v>
      </c>
      <c r="AA63" s="111" t="s">
        <v>60</v>
      </c>
      <c r="AB63" s="116">
        <f>3397</f>
        <v>3397</v>
      </c>
      <c r="AC63" s="116" t="str">
        <f t="shared" si="0"/>
        <v>－</v>
      </c>
      <c r="AD63" s="117">
        <f>57</f>
        <v>57</v>
      </c>
    </row>
    <row r="64" spans="1:30">
      <c r="A64" s="107" t="s">
        <v>46</v>
      </c>
      <c r="B64" s="108" t="s">
        <v>1212</v>
      </c>
      <c r="C64" s="108" t="s">
        <v>1213</v>
      </c>
      <c r="D64" s="108" t="s">
        <v>61</v>
      </c>
      <c r="E64" s="109" t="s">
        <v>784</v>
      </c>
      <c r="F64" s="109" t="s">
        <v>785</v>
      </c>
      <c r="G64" s="110">
        <v>50</v>
      </c>
      <c r="H64" s="111" t="s">
        <v>52</v>
      </c>
      <c r="I64" s="112" t="s">
        <v>1235</v>
      </c>
      <c r="J64" s="111" t="s">
        <v>664</v>
      </c>
      <c r="K64" s="112" t="s">
        <v>1236</v>
      </c>
      <c r="L64" s="111" t="s">
        <v>664</v>
      </c>
      <c r="M64" s="112" t="s">
        <v>1237</v>
      </c>
      <c r="N64" s="111" t="s">
        <v>335</v>
      </c>
      <c r="O64" s="112" t="s">
        <v>1238</v>
      </c>
      <c r="P64" s="111" t="s">
        <v>52</v>
      </c>
      <c r="Q64" s="112" t="s">
        <v>865</v>
      </c>
      <c r="R64" s="111" t="s">
        <v>1164</v>
      </c>
      <c r="S64" s="112" t="s">
        <v>1239</v>
      </c>
      <c r="T64" s="113">
        <f>40581.98</f>
        <v>40581.980000000003</v>
      </c>
      <c r="U64" s="114">
        <f>17214</f>
        <v>17214</v>
      </c>
      <c r="V64" s="114">
        <v>1998</v>
      </c>
      <c r="W64" s="114">
        <v>2101</v>
      </c>
      <c r="X64" s="114">
        <f>32083333000</f>
        <v>32083333000</v>
      </c>
      <c r="Y64" s="114">
        <v>3940597500</v>
      </c>
      <c r="Z64" s="115">
        <v>3714268000</v>
      </c>
      <c r="AA64" s="111" t="s">
        <v>60</v>
      </c>
      <c r="AB64" s="116">
        <f>10776</f>
        <v>10776</v>
      </c>
      <c r="AC64" s="116" t="str">
        <f t="shared" si="0"/>
        <v>－</v>
      </c>
      <c r="AD64" s="117">
        <f>81</f>
        <v>81</v>
      </c>
    </row>
    <row r="65" spans="1:30">
      <c r="A65" s="107" t="s">
        <v>46</v>
      </c>
      <c r="B65" s="108" t="s">
        <v>1212</v>
      </c>
      <c r="C65" s="108" t="s">
        <v>1213</v>
      </c>
      <c r="D65" s="108" t="s">
        <v>633</v>
      </c>
      <c r="E65" s="109" t="s">
        <v>786</v>
      </c>
      <c r="F65" s="109" t="s">
        <v>787</v>
      </c>
      <c r="G65" s="110">
        <v>50</v>
      </c>
      <c r="H65" s="111" t="s">
        <v>52</v>
      </c>
      <c r="I65" s="112" t="s">
        <v>1240</v>
      </c>
      <c r="J65" s="111" t="s">
        <v>664</v>
      </c>
      <c r="K65" s="112" t="s">
        <v>1241</v>
      </c>
      <c r="L65" s="111" t="s">
        <v>664</v>
      </c>
      <c r="M65" s="112" t="s">
        <v>1242</v>
      </c>
      <c r="N65" s="111" t="s">
        <v>335</v>
      </c>
      <c r="O65" s="112" t="s">
        <v>909</v>
      </c>
      <c r="P65" s="111" t="s">
        <v>335</v>
      </c>
      <c r="Q65" s="112" t="s">
        <v>1243</v>
      </c>
      <c r="R65" s="111" t="s">
        <v>90</v>
      </c>
      <c r="S65" s="112" t="s">
        <v>1244</v>
      </c>
      <c r="T65" s="113">
        <f>41219.09</f>
        <v>41219.089999999997</v>
      </c>
      <c r="U65" s="114">
        <f>186467</f>
        <v>186467</v>
      </c>
      <c r="V65" s="114">
        <v>2560</v>
      </c>
      <c r="W65" s="114">
        <v>25243</v>
      </c>
      <c r="X65" s="114">
        <f>329735533000</f>
        <v>329735533000</v>
      </c>
      <c r="Y65" s="114">
        <v>4831470500</v>
      </c>
      <c r="Z65" s="115">
        <v>44883280500</v>
      </c>
      <c r="AA65" s="111" t="s">
        <v>60</v>
      </c>
      <c r="AB65" s="116">
        <f>3534</f>
        <v>3534</v>
      </c>
      <c r="AC65" s="116" t="str">
        <f t="shared" si="0"/>
        <v>－</v>
      </c>
      <c r="AD65" s="117">
        <f>99</f>
        <v>99</v>
      </c>
    </row>
    <row r="66" spans="1:30">
      <c r="A66" s="107" t="s">
        <v>46</v>
      </c>
      <c r="B66" s="108" t="s">
        <v>1212</v>
      </c>
      <c r="C66" s="108" t="s">
        <v>1213</v>
      </c>
      <c r="D66" s="108" t="s">
        <v>72</v>
      </c>
      <c r="E66" s="109" t="s">
        <v>791</v>
      </c>
      <c r="F66" s="109" t="s">
        <v>792</v>
      </c>
      <c r="G66" s="110">
        <v>50</v>
      </c>
      <c r="H66" s="111" t="s">
        <v>52</v>
      </c>
      <c r="I66" s="112" t="s">
        <v>1245</v>
      </c>
      <c r="J66" s="111" t="s">
        <v>702</v>
      </c>
      <c r="K66" s="112" t="s">
        <v>1246</v>
      </c>
      <c r="L66" s="111" t="s">
        <v>1247</v>
      </c>
      <c r="M66" s="112" t="s">
        <v>1248</v>
      </c>
      <c r="N66" s="111" t="s">
        <v>335</v>
      </c>
      <c r="O66" s="112" t="s">
        <v>1249</v>
      </c>
      <c r="P66" s="111" t="s">
        <v>1250</v>
      </c>
      <c r="Q66" s="112" t="s">
        <v>1251</v>
      </c>
      <c r="R66" s="111" t="s">
        <v>1252</v>
      </c>
      <c r="S66" s="112" t="s">
        <v>1253</v>
      </c>
      <c r="T66" s="113">
        <f>42335.12</f>
        <v>42335.12</v>
      </c>
      <c r="U66" s="114">
        <f>365146</f>
        <v>365146</v>
      </c>
      <c r="V66" s="114">
        <v>2062</v>
      </c>
      <c r="W66" s="114">
        <v>47845</v>
      </c>
      <c r="X66" s="114">
        <f>673747723500</f>
        <v>673747723500</v>
      </c>
      <c r="Y66" s="114">
        <v>4139487000</v>
      </c>
      <c r="Z66" s="115">
        <v>89544800000</v>
      </c>
      <c r="AA66" s="111" t="s">
        <v>60</v>
      </c>
      <c r="AB66" s="116">
        <f>3506</f>
        <v>3506</v>
      </c>
      <c r="AC66" s="116" t="str">
        <f t="shared" si="0"/>
        <v>－</v>
      </c>
      <c r="AD66" s="117">
        <f>120</f>
        <v>120</v>
      </c>
    </row>
    <row r="67" spans="1:30">
      <c r="A67" s="107" t="s">
        <v>46</v>
      </c>
      <c r="B67" s="108" t="s">
        <v>1212</v>
      </c>
      <c r="C67" s="108" t="s">
        <v>1213</v>
      </c>
      <c r="D67" s="108" t="s">
        <v>651</v>
      </c>
      <c r="E67" s="109" t="s">
        <v>793</v>
      </c>
      <c r="F67" s="109" t="s">
        <v>794</v>
      </c>
      <c r="G67" s="110">
        <v>50</v>
      </c>
      <c r="H67" s="111" t="s">
        <v>1034</v>
      </c>
      <c r="I67" s="112" t="s">
        <v>1254</v>
      </c>
      <c r="J67" s="111" t="s">
        <v>314</v>
      </c>
      <c r="K67" s="112" t="s">
        <v>1255</v>
      </c>
      <c r="L67" s="111" t="s">
        <v>1256</v>
      </c>
      <c r="M67" s="112" t="s">
        <v>1257</v>
      </c>
      <c r="N67" s="111" t="s">
        <v>1034</v>
      </c>
      <c r="O67" s="112" t="s">
        <v>1258</v>
      </c>
      <c r="P67" s="111" t="s">
        <v>1259</v>
      </c>
      <c r="Q67" s="112" t="s">
        <v>1260</v>
      </c>
      <c r="R67" s="111" t="s">
        <v>1261</v>
      </c>
      <c r="S67" s="112" t="s">
        <v>1262</v>
      </c>
      <c r="T67" s="113">
        <f>44630.57</f>
        <v>44630.57</v>
      </c>
      <c r="U67" s="114">
        <f>384448</f>
        <v>384448</v>
      </c>
      <c r="V67" s="114">
        <v>2442</v>
      </c>
      <c r="W67" s="114">
        <v>53987</v>
      </c>
      <c r="X67" s="114">
        <f>785486649000</f>
        <v>785486649000</v>
      </c>
      <c r="Y67" s="114">
        <v>5561230500</v>
      </c>
      <c r="Z67" s="115">
        <v>111270201500</v>
      </c>
      <c r="AA67" s="111" t="s">
        <v>60</v>
      </c>
      <c r="AB67" s="116">
        <f>9431</f>
        <v>9431</v>
      </c>
      <c r="AC67" s="116" t="str">
        <f t="shared" si="0"/>
        <v>－</v>
      </c>
      <c r="AD67" s="117">
        <f>122</f>
        <v>122</v>
      </c>
    </row>
    <row r="68" spans="1:30">
      <c r="A68" s="107" t="s">
        <v>46</v>
      </c>
      <c r="B68" s="108" t="s">
        <v>1212</v>
      </c>
      <c r="C68" s="108" t="s">
        <v>1213</v>
      </c>
      <c r="D68" s="108" t="s">
        <v>86</v>
      </c>
      <c r="E68" s="109" t="s">
        <v>800</v>
      </c>
      <c r="F68" s="109" t="s">
        <v>801</v>
      </c>
      <c r="G68" s="110">
        <v>50</v>
      </c>
      <c r="H68" s="111" t="s">
        <v>1263</v>
      </c>
      <c r="I68" s="112" t="s">
        <v>1264</v>
      </c>
      <c r="J68" s="111" t="s">
        <v>314</v>
      </c>
      <c r="K68" s="112" t="s">
        <v>1265</v>
      </c>
      <c r="L68" s="111" t="s">
        <v>498</v>
      </c>
      <c r="M68" s="112" t="s">
        <v>1266</v>
      </c>
      <c r="N68" s="111" t="s">
        <v>1267</v>
      </c>
      <c r="O68" s="112" t="s">
        <v>1268</v>
      </c>
      <c r="P68" s="111" t="s">
        <v>118</v>
      </c>
      <c r="Q68" s="112" t="s">
        <v>1269</v>
      </c>
      <c r="R68" s="111" t="s">
        <v>1270</v>
      </c>
      <c r="S68" s="112" t="s">
        <v>1106</v>
      </c>
      <c r="T68" s="113">
        <f>45618.32</f>
        <v>45618.32</v>
      </c>
      <c r="U68" s="114">
        <f>405553</f>
        <v>405553</v>
      </c>
      <c r="V68" s="114">
        <v>8336</v>
      </c>
      <c r="W68" s="114">
        <v>53497</v>
      </c>
      <c r="X68" s="114">
        <f>854937927500</f>
        <v>854937927500</v>
      </c>
      <c r="Y68" s="114">
        <v>18561115000</v>
      </c>
      <c r="Z68" s="115">
        <v>113040210500</v>
      </c>
      <c r="AA68" s="111" t="s">
        <v>60</v>
      </c>
      <c r="AB68" s="116">
        <f>2933</f>
        <v>2933</v>
      </c>
      <c r="AC68" s="116" t="str">
        <f t="shared" si="0"/>
        <v>－</v>
      </c>
      <c r="AD68" s="117">
        <f>125</f>
        <v>125</v>
      </c>
    </row>
    <row r="69" spans="1:30">
      <c r="A69" s="107" t="s">
        <v>46</v>
      </c>
      <c r="B69" s="108" t="s">
        <v>1212</v>
      </c>
      <c r="C69" s="108" t="s">
        <v>1213</v>
      </c>
      <c r="D69" s="108" t="s">
        <v>669</v>
      </c>
      <c r="E69" s="109" t="s">
        <v>802</v>
      </c>
      <c r="F69" s="109" t="s">
        <v>803</v>
      </c>
      <c r="G69" s="110">
        <v>50</v>
      </c>
      <c r="H69" s="111" t="s">
        <v>1271</v>
      </c>
      <c r="I69" s="112" t="s">
        <v>1272</v>
      </c>
      <c r="J69" s="111" t="s">
        <v>314</v>
      </c>
      <c r="K69" s="112" t="s">
        <v>1273</v>
      </c>
      <c r="L69" s="111" t="s">
        <v>498</v>
      </c>
      <c r="M69" s="112" t="s">
        <v>1274</v>
      </c>
      <c r="N69" s="111" t="s">
        <v>208</v>
      </c>
      <c r="O69" s="112" t="s">
        <v>1275</v>
      </c>
      <c r="P69" s="111" t="s">
        <v>1276</v>
      </c>
      <c r="Q69" s="112" t="s">
        <v>1277</v>
      </c>
      <c r="R69" s="111" t="s">
        <v>316</v>
      </c>
      <c r="S69" s="112" t="s">
        <v>1278</v>
      </c>
      <c r="T69" s="113">
        <f>46449.43</f>
        <v>46449.43</v>
      </c>
      <c r="U69" s="114">
        <f>353517</f>
        <v>353517</v>
      </c>
      <c r="V69" s="114">
        <v>10434</v>
      </c>
      <c r="W69" s="114">
        <v>45789</v>
      </c>
      <c r="X69" s="114">
        <f>753810668500</f>
        <v>753810668500</v>
      </c>
      <c r="Y69" s="114">
        <v>22140338000</v>
      </c>
      <c r="Z69" s="115">
        <v>98056006000</v>
      </c>
      <c r="AA69" s="111" t="s">
        <v>60</v>
      </c>
      <c r="AB69" s="116">
        <f>5439</f>
        <v>5439</v>
      </c>
      <c r="AC69" s="116" t="str">
        <f t="shared" si="0"/>
        <v>－</v>
      </c>
      <c r="AD69" s="117">
        <f>122</f>
        <v>122</v>
      </c>
    </row>
    <row r="70" spans="1:30">
      <c r="A70" s="107" t="s">
        <v>46</v>
      </c>
      <c r="B70" s="108" t="s">
        <v>1212</v>
      </c>
      <c r="C70" s="108" t="s">
        <v>1213</v>
      </c>
      <c r="D70" s="108" t="s">
        <v>97</v>
      </c>
      <c r="E70" s="109" t="s">
        <v>804</v>
      </c>
      <c r="F70" s="109" t="s">
        <v>805</v>
      </c>
      <c r="G70" s="110">
        <v>50</v>
      </c>
      <c r="H70" s="111" t="s">
        <v>1279</v>
      </c>
      <c r="I70" s="112" t="s">
        <v>1280</v>
      </c>
      <c r="J70" s="111" t="s">
        <v>299</v>
      </c>
      <c r="K70" s="112" t="s">
        <v>1281</v>
      </c>
      <c r="L70" s="111" t="s">
        <v>528</v>
      </c>
      <c r="M70" s="112" t="s">
        <v>1282</v>
      </c>
      <c r="N70" s="111" t="s">
        <v>1283</v>
      </c>
      <c r="O70" s="112" t="s">
        <v>1284</v>
      </c>
      <c r="P70" s="111" t="s">
        <v>1285</v>
      </c>
      <c r="Q70" s="112" t="s">
        <v>1286</v>
      </c>
      <c r="R70" s="111" t="s">
        <v>541</v>
      </c>
      <c r="S70" s="112" t="s">
        <v>1287</v>
      </c>
      <c r="T70" s="113">
        <f>48904.26</f>
        <v>48904.26</v>
      </c>
      <c r="U70" s="114">
        <f>308306</f>
        <v>308306</v>
      </c>
      <c r="V70" s="114">
        <v>4506</v>
      </c>
      <c r="W70" s="114">
        <v>40489</v>
      </c>
      <c r="X70" s="114">
        <f>694256858000</f>
        <v>694256858000</v>
      </c>
      <c r="Y70" s="114">
        <v>10989573000</v>
      </c>
      <c r="Z70" s="115">
        <v>91996675000</v>
      </c>
      <c r="AA70" s="111" t="s">
        <v>60</v>
      </c>
      <c r="AB70" s="116">
        <f>3935</f>
        <v>3935</v>
      </c>
      <c r="AC70" s="116" t="str">
        <f t="shared" si="0"/>
        <v>－</v>
      </c>
      <c r="AD70" s="117">
        <f>119</f>
        <v>119</v>
      </c>
    </row>
    <row r="71" spans="1:30">
      <c r="A71" s="107" t="s">
        <v>46</v>
      </c>
      <c r="B71" s="108" t="s">
        <v>1212</v>
      </c>
      <c r="C71" s="108" t="s">
        <v>1213</v>
      </c>
      <c r="D71" s="108" t="s">
        <v>524</v>
      </c>
      <c r="E71" s="109" t="s">
        <v>811</v>
      </c>
      <c r="F71" s="109" t="s">
        <v>812</v>
      </c>
      <c r="G71" s="110">
        <v>50</v>
      </c>
      <c r="H71" s="111" t="s">
        <v>76</v>
      </c>
      <c r="I71" s="112" t="s">
        <v>1288</v>
      </c>
      <c r="J71" s="111" t="s">
        <v>571</v>
      </c>
      <c r="K71" s="112" t="s">
        <v>1289</v>
      </c>
      <c r="L71" s="111" t="s">
        <v>221</v>
      </c>
      <c r="M71" s="112" t="s">
        <v>1290</v>
      </c>
      <c r="N71" s="111" t="s">
        <v>352</v>
      </c>
      <c r="O71" s="112" t="s">
        <v>1291</v>
      </c>
      <c r="P71" s="111" t="s">
        <v>1037</v>
      </c>
      <c r="Q71" s="112" t="s">
        <v>1292</v>
      </c>
      <c r="R71" s="111" t="s">
        <v>539</v>
      </c>
      <c r="S71" s="112" t="s">
        <v>1293</v>
      </c>
      <c r="T71" s="113">
        <f>50838.55</f>
        <v>50838.55</v>
      </c>
      <c r="U71" s="114">
        <f>290240</f>
        <v>290240</v>
      </c>
      <c r="V71" s="114">
        <v>4272</v>
      </c>
      <c r="W71" s="114">
        <v>38120</v>
      </c>
      <c r="X71" s="114">
        <f>685516697000</f>
        <v>685516697000</v>
      </c>
      <c r="Y71" s="114">
        <v>10895589000</v>
      </c>
      <c r="Z71" s="115">
        <v>89794509000</v>
      </c>
      <c r="AA71" s="111" t="s">
        <v>60</v>
      </c>
      <c r="AB71" s="116">
        <f>2261</f>
        <v>2261</v>
      </c>
      <c r="AC71" s="116" t="str">
        <f t="shared" ref="AC71:AD134" si="4">"－"</f>
        <v>－</v>
      </c>
      <c r="AD71" s="117">
        <f>123</f>
        <v>123</v>
      </c>
    </row>
    <row r="72" spans="1:30">
      <c r="A72" s="107" t="s">
        <v>46</v>
      </c>
      <c r="B72" s="108" t="s">
        <v>1212</v>
      </c>
      <c r="C72" s="108" t="s">
        <v>1213</v>
      </c>
      <c r="D72" s="108" t="s">
        <v>109</v>
      </c>
      <c r="E72" s="109" t="s">
        <v>820</v>
      </c>
      <c r="F72" s="109" t="s">
        <v>821</v>
      </c>
      <c r="G72" s="110">
        <v>50</v>
      </c>
      <c r="H72" s="111" t="s">
        <v>1294</v>
      </c>
      <c r="I72" s="112" t="s">
        <v>1295</v>
      </c>
      <c r="J72" s="111" t="s">
        <v>571</v>
      </c>
      <c r="K72" s="112" t="s">
        <v>1296</v>
      </c>
      <c r="L72" s="111" t="s">
        <v>571</v>
      </c>
      <c r="M72" s="112" t="s">
        <v>1297</v>
      </c>
      <c r="N72" s="111" t="s">
        <v>352</v>
      </c>
      <c r="O72" s="112" t="s">
        <v>1298</v>
      </c>
      <c r="P72" s="111" t="s">
        <v>352</v>
      </c>
      <c r="Q72" s="112" t="s">
        <v>1299</v>
      </c>
      <c r="R72" s="111" t="s">
        <v>132</v>
      </c>
      <c r="S72" s="112" t="s">
        <v>1300</v>
      </c>
      <c r="T72" s="113">
        <f>50944.44</f>
        <v>50944.44</v>
      </c>
      <c r="U72" s="114">
        <f>296132</f>
        <v>296132</v>
      </c>
      <c r="V72" s="114">
        <v>3969</v>
      </c>
      <c r="W72" s="114">
        <v>39107</v>
      </c>
      <c r="X72" s="114">
        <f>694394715000</f>
        <v>694394715000</v>
      </c>
      <c r="Y72" s="114">
        <v>10682666000</v>
      </c>
      <c r="Z72" s="115">
        <v>91092902000</v>
      </c>
      <c r="AA72" s="111" t="s">
        <v>60</v>
      </c>
      <c r="AB72" s="116">
        <f>6286</f>
        <v>6286</v>
      </c>
      <c r="AC72" s="116" t="str">
        <f t="shared" si="4"/>
        <v>－</v>
      </c>
      <c r="AD72" s="117">
        <f>123</f>
        <v>123</v>
      </c>
    </row>
    <row r="73" spans="1:30">
      <c r="A73" s="107" t="s">
        <v>46</v>
      </c>
      <c r="B73" s="108" t="s">
        <v>1212</v>
      </c>
      <c r="C73" s="108" t="s">
        <v>1213</v>
      </c>
      <c r="D73" s="108" t="s">
        <v>544</v>
      </c>
      <c r="E73" s="109" t="s">
        <v>829</v>
      </c>
      <c r="F73" s="109" t="s">
        <v>830</v>
      </c>
      <c r="G73" s="110">
        <v>50</v>
      </c>
      <c r="H73" s="111" t="s">
        <v>881</v>
      </c>
      <c r="I73" s="112" t="s">
        <v>1301</v>
      </c>
      <c r="J73" s="111" t="s">
        <v>571</v>
      </c>
      <c r="K73" s="112" t="s">
        <v>1302</v>
      </c>
      <c r="L73" s="111" t="s">
        <v>172</v>
      </c>
      <c r="M73" s="112" t="s">
        <v>1303</v>
      </c>
      <c r="N73" s="111" t="s">
        <v>352</v>
      </c>
      <c r="O73" s="112" t="s">
        <v>1304</v>
      </c>
      <c r="P73" s="111" t="s">
        <v>352</v>
      </c>
      <c r="Q73" s="112" t="s">
        <v>1305</v>
      </c>
      <c r="R73" s="111" t="s">
        <v>132</v>
      </c>
      <c r="S73" s="112" t="s">
        <v>1306</v>
      </c>
      <c r="T73" s="113">
        <f>51154.52</f>
        <v>51154.52</v>
      </c>
      <c r="U73" s="114">
        <f>281274</f>
        <v>281274</v>
      </c>
      <c r="V73" s="114">
        <v>6396</v>
      </c>
      <c r="W73" s="114">
        <v>34522</v>
      </c>
      <c r="X73" s="114">
        <f>656976278000</f>
        <v>656976278000</v>
      </c>
      <c r="Y73" s="114">
        <v>17494961500</v>
      </c>
      <c r="Z73" s="115">
        <v>81330526000</v>
      </c>
      <c r="AA73" s="111"/>
      <c r="AB73" s="116">
        <f>4110</f>
        <v>4110</v>
      </c>
      <c r="AC73" s="116" t="str">
        <f t="shared" si="4"/>
        <v>－</v>
      </c>
      <c r="AD73" s="117">
        <f>104</f>
        <v>104</v>
      </c>
    </row>
    <row r="74" spans="1:30">
      <c r="A74" s="107" t="s">
        <v>46</v>
      </c>
      <c r="B74" s="108" t="s">
        <v>1212</v>
      </c>
      <c r="C74" s="108" t="s">
        <v>1213</v>
      </c>
      <c r="D74" s="108" t="s">
        <v>122</v>
      </c>
      <c r="E74" s="109" t="s">
        <v>835</v>
      </c>
      <c r="F74" s="109" t="s">
        <v>836</v>
      </c>
      <c r="G74" s="110">
        <v>50</v>
      </c>
      <c r="H74" s="111" t="s">
        <v>686</v>
      </c>
      <c r="I74" s="112" t="s">
        <v>1307</v>
      </c>
      <c r="J74" s="111" t="s">
        <v>571</v>
      </c>
      <c r="K74" s="112" t="s">
        <v>1308</v>
      </c>
      <c r="L74" s="111" t="s">
        <v>299</v>
      </c>
      <c r="M74" s="112" t="s">
        <v>1309</v>
      </c>
      <c r="N74" s="111" t="s">
        <v>177</v>
      </c>
      <c r="O74" s="112" t="s">
        <v>1310</v>
      </c>
      <c r="P74" s="111" t="s">
        <v>297</v>
      </c>
      <c r="Q74" s="112" t="s">
        <v>1311</v>
      </c>
      <c r="R74" s="111" t="s">
        <v>132</v>
      </c>
      <c r="S74" s="112" t="s">
        <v>1312</v>
      </c>
      <c r="T74" s="113">
        <f>52172.77</f>
        <v>52172.77</v>
      </c>
      <c r="U74" s="114">
        <f>292495</f>
        <v>292495</v>
      </c>
      <c r="V74" s="114">
        <v>6659</v>
      </c>
      <c r="W74" s="114">
        <v>33764</v>
      </c>
      <c r="X74" s="114">
        <f>742930077000</f>
        <v>742930077000</v>
      </c>
      <c r="Y74" s="114">
        <v>18314320500</v>
      </c>
      <c r="Z74" s="115">
        <v>87991725000</v>
      </c>
      <c r="AA74" s="111"/>
      <c r="AB74" s="116">
        <f>6606</f>
        <v>6606</v>
      </c>
      <c r="AC74" s="116" t="str">
        <f t="shared" si="4"/>
        <v>－</v>
      </c>
      <c r="AD74" s="117">
        <f>83</f>
        <v>83</v>
      </c>
    </row>
    <row r="75" spans="1:30">
      <c r="A75" s="107" t="s">
        <v>46</v>
      </c>
      <c r="B75" s="108" t="s">
        <v>1212</v>
      </c>
      <c r="C75" s="108" t="s">
        <v>1213</v>
      </c>
      <c r="D75" s="108" t="s">
        <v>557</v>
      </c>
      <c r="E75" s="109" t="s">
        <v>516</v>
      </c>
      <c r="F75" s="109" t="s">
        <v>839</v>
      </c>
      <c r="G75" s="110">
        <v>50</v>
      </c>
      <c r="H75" s="111" t="s">
        <v>531</v>
      </c>
      <c r="I75" s="112" t="s">
        <v>1313</v>
      </c>
      <c r="J75" s="111" t="s">
        <v>299</v>
      </c>
      <c r="K75" s="112" t="s">
        <v>1314</v>
      </c>
      <c r="L75" s="111" t="s">
        <v>571</v>
      </c>
      <c r="M75" s="112" t="s">
        <v>1315</v>
      </c>
      <c r="N75" s="111" t="s">
        <v>177</v>
      </c>
      <c r="O75" s="112" t="s">
        <v>1002</v>
      </c>
      <c r="P75" s="111" t="s">
        <v>897</v>
      </c>
      <c r="Q75" s="112" t="s">
        <v>1316</v>
      </c>
      <c r="R75" s="111" t="s">
        <v>132</v>
      </c>
      <c r="S75" s="112" t="s">
        <v>1317</v>
      </c>
      <c r="T75" s="113">
        <f>52776.86</f>
        <v>52776.86</v>
      </c>
      <c r="U75" s="114">
        <f>288540</f>
        <v>288540</v>
      </c>
      <c r="V75" s="114">
        <v>3037</v>
      </c>
      <c r="W75" s="114">
        <v>34249</v>
      </c>
      <c r="X75" s="114">
        <f>785691671000</f>
        <v>785691671000</v>
      </c>
      <c r="Y75" s="114">
        <v>8200590500</v>
      </c>
      <c r="Z75" s="115">
        <v>92832753500</v>
      </c>
      <c r="AA75" s="111"/>
      <c r="AB75" s="116">
        <f>7862</f>
        <v>7862</v>
      </c>
      <c r="AC75" s="116" t="str">
        <f t="shared" si="4"/>
        <v>－</v>
      </c>
      <c r="AD75" s="117">
        <f>67</f>
        <v>67</v>
      </c>
    </row>
    <row r="76" spans="1:30">
      <c r="A76" s="107" t="s">
        <v>46</v>
      </c>
      <c r="B76" s="108" t="s">
        <v>1212</v>
      </c>
      <c r="C76" s="108" t="s">
        <v>1213</v>
      </c>
      <c r="D76" s="108" t="s">
        <v>134</v>
      </c>
      <c r="E76" s="109" t="s">
        <v>516</v>
      </c>
      <c r="F76" s="109" t="s">
        <v>843</v>
      </c>
      <c r="G76" s="110">
        <v>50</v>
      </c>
      <c r="H76" s="111" t="s">
        <v>528</v>
      </c>
      <c r="I76" s="112" t="s">
        <v>1318</v>
      </c>
      <c r="J76" s="111" t="s">
        <v>528</v>
      </c>
      <c r="K76" s="112" t="s">
        <v>1319</v>
      </c>
      <c r="L76" s="111" t="s">
        <v>528</v>
      </c>
      <c r="M76" s="112" t="s">
        <v>1320</v>
      </c>
      <c r="N76" s="111" t="s">
        <v>177</v>
      </c>
      <c r="O76" s="112" t="s">
        <v>990</v>
      </c>
      <c r="P76" s="111" t="s">
        <v>554</v>
      </c>
      <c r="Q76" s="112" t="s">
        <v>1321</v>
      </c>
      <c r="R76" s="111" t="s">
        <v>132</v>
      </c>
      <c r="S76" s="112" t="s">
        <v>1322</v>
      </c>
      <c r="T76" s="113">
        <f>52439.43</f>
        <v>52439.43</v>
      </c>
      <c r="U76" s="114">
        <f>310235</f>
        <v>310235</v>
      </c>
      <c r="V76" s="114">
        <v>1030</v>
      </c>
      <c r="W76" s="114">
        <v>25939</v>
      </c>
      <c r="X76" s="114">
        <f>808873004500</f>
        <v>808873004500</v>
      </c>
      <c r="Y76" s="114">
        <v>2702060500</v>
      </c>
      <c r="Z76" s="115">
        <v>67675124500</v>
      </c>
      <c r="AA76" s="111"/>
      <c r="AB76" s="116">
        <f>7212</f>
        <v>7212</v>
      </c>
      <c r="AC76" s="116" t="str">
        <f t="shared" si="4"/>
        <v>－</v>
      </c>
      <c r="AD76" s="117">
        <f>46</f>
        <v>46</v>
      </c>
    </row>
    <row r="77" spans="1:30">
      <c r="A77" s="107" t="s">
        <v>46</v>
      </c>
      <c r="B77" s="108" t="s">
        <v>1212</v>
      </c>
      <c r="C77" s="108" t="s">
        <v>1213</v>
      </c>
      <c r="D77" s="108" t="s">
        <v>577</v>
      </c>
      <c r="E77" s="109" t="s">
        <v>516</v>
      </c>
      <c r="F77" s="109" t="s">
        <v>844</v>
      </c>
      <c r="G77" s="110">
        <v>50</v>
      </c>
      <c r="H77" s="111" t="s">
        <v>546</v>
      </c>
      <c r="I77" s="112" t="s">
        <v>1323</v>
      </c>
      <c r="J77" s="111" t="s">
        <v>132</v>
      </c>
      <c r="K77" s="112" t="s">
        <v>1324</v>
      </c>
      <c r="L77" s="111" t="s">
        <v>187</v>
      </c>
      <c r="M77" s="112" t="s">
        <v>1325</v>
      </c>
      <c r="N77" s="111" t="s">
        <v>177</v>
      </c>
      <c r="O77" s="112" t="s">
        <v>1326</v>
      </c>
      <c r="P77" s="111" t="s">
        <v>565</v>
      </c>
      <c r="Q77" s="112" t="s">
        <v>1327</v>
      </c>
      <c r="R77" s="111" t="s">
        <v>132</v>
      </c>
      <c r="S77" s="112" t="s">
        <v>1328</v>
      </c>
      <c r="T77" s="113">
        <f>52030.86</f>
        <v>52030.86</v>
      </c>
      <c r="U77" s="114">
        <f>153854</f>
        <v>153854</v>
      </c>
      <c r="V77" s="114">
        <v>308</v>
      </c>
      <c r="W77" s="114">
        <v>10036</v>
      </c>
      <c r="X77" s="114">
        <f>389713539000</f>
        <v>389713539000</v>
      </c>
      <c r="Y77" s="114">
        <v>792775500</v>
      </c>
      <c r="Z77" s="115">
        <v>25200385000</v>
      </c>
      <c r="AA77" s="111"/>
      <c r="AB77" s="116">
        <f>58412</f>
        <v>58412</v>
      </c>
      <c r="AC77" s="116" t="str">
        <f t="shared" si="4"/>
        <v>－</v>
      </c>
      <c r="AD77" s="117">
        <f>25</f>
        <v>25</v>
      </c>
    </row>
    <row r="78" spans="1:30">
      <c r="A78" s="107" t="s">
        <v>46</v>
      </c>
      <c r="B78" s="108" t="s">
        <v>1212</v>
      </c>
      <c r="C78" s="108" t="s">
        <v>1213</v>
      </c>
      <c r="D78" s="108" t="s">
        <v>146</v>
      </c>
      <c r="E78" s="109" t="s">
        <v>516</v>
      </c>
      <c r="F78" s="109" t="s">
        <v>845</v>
      </c>
      <c r="G78" s="110">
        <v>50</v>
      </c>
      <c r="H78" s="111" t="s">
        <v>679</v>
      </c>
      <c r="I78" s="112" t="s">
        <v>1329</v>
      </c>
      <c r="J78" s="111" t="s">
        <v>132</v>
      </c>
      <c r="K78" s="112" t="s">
        <v>1330</v>
      </c>
      <c r="L78" s="111" t="s">
        <v>1067</v>
      </c>
      <c r="M78" s="112" t="s">
        <v>1331</v>
      </c>
      <c r="N78" s="111" t="s">
        <v>225</v>
      </c>
      <c r="O78" s="112" t="s">
        <v>1332</v>
      </c>
      <c r="P78" s="111" t="s">
        <v>1067</v>
      </c>
      <c r="Q78" s="112" t="s">
        <v>1331</v>
      </c>
      <c r="R78" s="111" t="s">
        <v>132</v>
      </c>
      <c r="S78" s="112" t="s">
        <v>1333</v>
      </c>
      <c r="T78" s="113">
        <f>51644.43</f>
        <v>51644.43</v>
      </c>
      <c r="U78" s="114">
        <f>173</f>
        <v>173</v>
      </c>
      <c r="V78" s="114">
        <v>1</v>
      </c>
      <c r="W78" s="114">
        <v>18</v>
      </c>
      <c r="X78" s="114">
        <f>444243000</f>
        <v>444243000</v>
      </c>
      <c r="Y78" s="114">
        <v>2628000</v>
      </c>
      <c r="Z78" s="115">
        <v>46013500</v>
      </c>
      <c r="AA78" s="111"/>
      <c r="AB78" s="116">
        <f>64</f>
        <v>64</v>
      </c>
      <c r="AC78" s="116" t="str">
        <f t="shared" si="4"/>
        <v>－</v>
      </c>
      <c r="AD78" s="117">
        <f>19</f>
        <v>19</v>
      </c>
    </row>
    <row r="79" spans="1:30">
      <c r="A79" s="107" t="s">
        <v>46</v>
      </c>
      <c r="B79" s="108" t="s">
        <v>1212</v>
      </c>
      <c r="C79" s="108" t="s">
        <v>1213</v>
      </c>
      <c r="D79" s="108" t="s">
        <v>745</v>
      </c>
      <c r="E79" s="109" t="s">
        <v>516</v>
      </c>
      <c r="F79" s="109" t="s">
        <v>846</v>
      </c>
      <c r="G79" s="110">
        <v>50</v>
      </c>
      <c r="H79" s="111"/>
      <c r="I79" s="112" t="s">
        <v>260</v>
      </c>
      <c r="J79" s="111"/>
      <c r="K79" s="112" t="s">
        <v>260</v>
      </c>
      <c r="L79" s="111"/>
      <c r="M79" s="112"/>
      <c r="N79" s="111"/>
      <c r="O79" s="112" t="s">
        <v>260</v>
      </c>
      <c r="P79" s="111"/>
      <c r="Q79" s="112"/>
      <c r="R79" s="111"/>
      <c r="S79" s="112" t="s">
        <v>260</v>
      </c>
      <c r="T79" s="113">
        <f>51253.86</f>
        <v>51253.86</v>
      </c>
      <c r="U79" s="114" t="str">
        <f>"－"</f>
        <v>－</v>
      </c>
      <c r="V79" s="114"/>
      <c r="W79" s="114"/>
      <c r="X79" s="114" t="str">
        <f>"－"</f>
        <v>－</v>
      </c>
      <c r="Y79" s="114"/>
      <c r="Z79" s="115"/>
      <c r="AA79" s="111"/>
      <c r="AB79" s="116" t="str">
        <f>"－"</f>
        <v>－</v>
      </c>
      <c r="AC79" s="116" t="str">
        <f t="shared" si="4"/>
        <v>－</v>
      </c>
      <c r="AD79" s="117" t="str">
        <f>"－"</f>
        <v>－</v>
      </c>
    </row>
    <row r="80" spans="1:30">
      <c r="A80" s="107" t="s">
        <v>46</v>
      </c>
      <c r="B80" s="108" t="s">
        <v>1212</v>
      </c>
      <c r="C80" s="108" t="s">
        <v>1213</v>
      </c>
      <c r="D80" s="108" t="s">
        <v>158</v>
      </c>
      <c r="E80" s="109" t="s">
        <v>516</v>
      </c>
      <c r="F80" s="109" t="s">
        <v>847</v>
      </c>
      <c r="G80" s="110">
        <v>50</v>
      </c>
      <c r="H80" s="111" t="s">
        <v>887</v>
      </c>
      <c r="I80" s="112" t="s">
        <v>1334</v>
      </c>
      <c r="J80" s="111" t="s">
        <v>299</v>
      </c>
      <c r="K80" s="112" t="s">
        <v>1335</v>
      </c>
      <c r="L80" s="111" t="s">
        <v>1067</v>
      </c>
      <c r="M80" s="112" t="s">
        <v>1336</v>
      </c>
      <c r="N80" s="111" t="s">
        <v>497</v>
      </c>
      <c r="O80" s="112" t="s">
        <v>1337</v>
      </c>
      <c r="P80" s="111" t="s">
        <v>1067</v>
      </c>
      <c r="Q80" s="112" t="s">
        <v>1336</v>
      </c>
      <c r="R80" s="111" t="s">
        <v>187</v>
      </c>
      <c r="S80" s="112" t="s">
        <v>1338</v>
      </c>
      <c r="T80" s="113">
        <f>50882.14</f>
        <v>50882.14</v>
      </c>
      <c r="U80" s="114">
        <f>12</f>
        <v>12</v>
      </c>
      <c r="V80" s="114">
        <v>1</v>
      </c>
      <c r="W80" s="114"/>
      <c r="X80" s="114">
        <f>30838500</f>
        <v>30838500</v>
      </c>
      <c r="Y80" s="114">
        <v>2590000</v>
      </c>
      <c r="Z80" s="115"/>
      <c r="AA80" s="111"/>
      <c r="AB80" s="116">
        <f>2</f>
        <v>2</v>
      </c>
      <c r="AC80" s="116" t="str">
        <f t="shared" si="4"/>
        <v>－</v>
      </c>
      <c r="AD80" s="117">
        <f>6</f>
        <v>6</v>
      </c>
    </row>
    <row r="81" spans="1:30">
      <c r="A81" s="107" t="s">
        <v>46</v>
      </c>
      <c r="B81" s="108" t="s">
        <v>1212</v>
      </c>
      <c r="C81" s="108" t="s">
        <v>1213</v>
      </c>
      <c r="D81" s="108" t="s">
        <v>754</v>
      </c>
      <c r="E81" s="109" t="s">
        <v>516</v>
      </c>
      <c r="F81" s="109" t="s">
        <v>848</v>
      </c>
      <c r="G81" s="110">
        <v>50</v>
      </c>
      <c r="H81" s="111" t="s">
        <v>225</v>
      </c>
      <c r="I81" s="112" t="s">
        <v>1339</v>
      </c>
      <c r="J81" s="111" t="s">
        <v>225</v>
      </c>
      <c r="K81" s="112" t="s">
        <v>1339</v>
      </c>
      <c r="L81" s="111"/>
      <c r="M81" s="112"/>
      <c r="N81" s="111" t="s">
        <v>225</v>
      </c>
      <c r="O81" s="112" t="s">
        <v>1339</v>
      </c>
      <c r="P81" s="111"/>
      <c r="Q81" s="112"/>
      <c r="R81" s="111" t="s">
        <v>225</v>
      </c>
      <c r="S81" s="112" t="s">
        <v>1339</v>
      </c>
      <c r="T81" s="113">
        <f>50502.29</f>
        <v>50502.29</v>
      </c>
      <c r="U81" s="114">
        <f>1</f>
        <v>1</v>
      </c>
      <c r="V81" s="114"/>
      <c r="W81" s="114"/>
      <c r="X81" s="114">
        <f>2272500</f>
        <v>2272500</v>
      </c>
      <c r="Y81" s="114"/>
      <c r="Z81" s="115"/>
      <c r="AA81" s="111"/>
      <c r="AB81" s="116">
        <f>1</f>
        <v>1</v>
      </c>
      <c r="AC81" s="116" t="str">
        <f t="shared" si="4"/>
        <v>－</v>
      </c>
      <c r="AD81" s="117">
        <f>1</f>
        <v>1</v>
      </c>
    </row>
    <row r="82" spans="1:30">
      <c r="A82" s="107" t="s">
        <v>46</v>
      </c>
      <c r="B82" s="108" t="s">
        <v>1212</v>
      </c>
      <c r="C82" s="108" t="s">
        <v>1213</v>
      </c>
      <c r="D82" s="108" t="s">
        <v>169</v>
      </c>
      <c r="E82" s="109" t="s">
        <v>516</v>
      </c>
      <c r="F82" s="109" t="s">
        <v>849</v>
      </c>
      <c r="G82" s="110">
        <v>50</v>
      </c>
      <c r="H82" s="111" t="s">
        <v>552</v>
      </c>
      <c r="I82" s="112" t="s">
        <v>1340</v>
      </c>
      <c r="J82" s="111" t="s">
        <v>552</v>
      </c>
      <c r="K82" s="112" t="s">
        <v>1340</v>
      </c>
      <c r="L82" s="111"/>
      <c r="M82" s="112"/>
      <c r="N82" s="111" t="s">
        <v>552</v>
      </c>
      <c r="O82" s="112" t="s">
        <v>1340</v>
      </c>
      <c r="P82" s="111"/>
      <c r="Q82" s="112"/>
      <c r="R82" s="111" t="s">
        <v>552</v>
      </c>
      <c r="S82" s="112" t="s">
        <v>1340</v>
      </c>
      <c r="T82" s="113">
        <f>50175.29</f>
        <v>50175.29</v>
      </c>
      <c r="U82" s="114">
        <f>1</f>
        <v>1</v>
      </c>
      <c r="V82" s="114"/>
      <c r="W82" s="114"/>
      <c r="X82" s="114">
        <f>2645500</f>
        <v>2645500</v>
      </c>
      <c r="Y82" s="114"/>
      <c r="Z82" s="115"/>
      <c r="AA82" s="111"/>
      <c r="AB82" s="116">
        <f>1</f>
        <v>1</v>
      </c>
      <c r="AC82" s="116" t="str">
        <f t="shared" si="4"/>
        <v>－</v>
      </c>
      <c r="AD82" s="117">
        <f>1</f>
        <v>1</v>
      </c>
    </row>
    <row r="83" spans="1:30">
      <c r="A83" s="107" t="s">
        <v>46</v>
      </c>
      <c r="B83" s="108" t="s">
        <v>1212</v>
      </c>
      <c r="C83" s="108" t="s">
        <v>1213</v>
      </c>
      <c r="D83" s="108" t="s">
        <v>767</v>
      </c>
      <c r="E83" s="109" t="s">
        <v>516</v>
      </c>
      <c r="F83" s="109" t="s">
        <v>850</v>
      </c>
      <c r="G83" s="110">
        <v>50</v>
      </c>
      <c r="H83" s="111" t="s">
        <v>297</v>
      </c>
      <c r="I83" s="112" t="s">
        <v>1341</v>
      </c>
      <c r="J83" s="111" t="s">
        <v>571</v>
      </c>
      <c r="K83" s="112" t="s">
        <v>1342</v>
      </c>
      <c r="L83" s="111" t="s">
        <v>528</v>
      </c>
      <c r="M83" s="112" t="s">
        <v>1343</v>
      </c>
      <c r="N83" s="111" t="s">
        <v>225</v>
      </c>
      <c r="O83" s="112" t="s">
        <v>1344</v>
      </c>
      <c r="P83" s="111" t="s">
        <v>528</v>
      </c>
      <c r="Q83" s="112" t="s">
        <v>1343</v>
      </c>
      <c r="R83" s="111" t="s">
        <v>132</v>
      </c>
      <c r="S83" s="112" t="s">
        <v>1345</v>
      </c>
      <c r="T83" s="113">
        <f>49845.43</f>
        <v>49845.43</v>
      </c>
      <c r="U83" s="114">
        <f>1215</f>
        <v>1215</v>
      </c>
      <c r="V83" s="114">
        <v>4</v>
      </c>
      <c r="W83" s="114"/>
      <c r="X83" s="114">
        <f>2945677000</f>
        <v>2945677000</v>
      </c>
      <c r="Y83" s="114">
        <v>10426000</v>
      </c>
      <c r="Z83" s="115"/>
      <c r="AA83" s="111"/>
      <c r="AB83" s="116">
        <f>85</f>
        <v>85</v>
      </c>
      <c r="AC83" s="116" t="str">
        <f t="shared" si="4"/>
        <v>－</v>
      </c>
      <c r="AD83" s="117">
        <f>40</f>
        <v>40</v>
      </c>
    </row>
    <row r="84" spans="1:30">
      <c r="A84" s="107" t="s">
        <v>46</v>
      </c>
      <c r="B84" s="108" t="s">
        <v>1212</v>
      </c>
      <c r="C84" s="108" t="s">
        <v>1213</v>
      </c>
      <c r="D84" s="108" t="s">
        <v>182</v>
      </c>
      <c r="E84" s="109" t="s">
        <v>517</v>
      </c>
      <c r="F84" s="109" t="s">
        <v>1346</v>
      </c>
      <c r="G84" s="110">
        <v>50</v>
      </c>
      <c r="H84" s="111" t="s">
        <v>569</v>
      </c>
      <c r="I84" s="112" t="s">
        <v>1347</v>
      </c>
      <c r="J84" s="111" t="s">
        <v>571</v>
      </c>
      <c r="K84" s="112" t="s">
        <v>1348</v>
      </c>
      <c r="L84" s="111" t="s">
        <v>528</v>
      </c>
      <c r="M84" s="112" t="s">
        <v>1349</v>
      </c>
      <c r="N84" s="111" t="s">
        <v>225</v>
      </c>
      <c r="O84" s="112" t="s">
        <v>1350</v>
      </c>
      <c r="P84" s="111" t="s">
        <v>225</v>
      </c>
      <c r="Q84" s="112" t="s">
        <v>1351</v>
      </c>
      <c r="R84" s="111" t="s">
        <v>132</v>
      </c>
      <c r="S84" s="112" t="s">
        <v>1352</v>
      </c>
      <c r="T84" s="113">
        <f>49921.43</f>
        <v>49921.43</v>
      </c>
      <c r="U84" s="114">
        <f>1307</f>
        <v>1307</v>
      </c>
      <c r="V84" s="114">
        <v>16</v>
      </c>
      <c r="W84" s="114">
        <v>2</v>
      </c>
      <c r="X84" s="114">
        <f>3305524000</f>
        <v>3305524000</v>
      </c>
      <c r="Y84" s="114">
        <v>39239500</v>
      </c>
      <c r="Z84" s="115">
        <v>4373000</v>
      </c>
      <c r="AA84" s="111"/>
      <c r="AB84" s="116">
        <f>104</f>
        <v>104</v>
      </c>
      <c r="AC84" s="116" t="str">
        <f t="shared" si="4"/>
        <v>－</v>
      </c>
      <c r="AD84" s="117">
        <f>54</f>
        <v>54</v>
      </c>
    </row>
    <row r="85" spans="1:30">
      <c r="A85" s="107" t="s">
        <v>46</v>
      </c>
      <c r="B85" s="108" t="s">
        <v>1212</v>
      </c>
      <c r="C85" s="108" t="s">
        <v>1213</v>
      </c>
      <c r="D85" s="108" t="s">
        <v>938</v>
      </c>
      <c r="E85" s="109" t="s">
        <v>525</v>
      </c>
      <c r="F85" s="109" t="s">
        <v>1353</v>
      </c>
      <c r="G85" s="110">
        <v>50</v>
      </c>
      <c r="H85" s="111" t="s">
        <v>533</v>
      </c>
      <c r="I85" s="112" t="s">
        <v>1354</v>
      </c>
      <c r="J85" s="111" t="s">
        <v>115</v>
      </c>
      <c r="K85" s="112" t="s">
        <v>1355</v>
      </c>
      <c r="L85" s="111" t="s">
        <v>1067</v>
      </c>
      <c r="M85" s="112" t="s">
        <v>1356</v>
      </c>
      <c r="N85" s="111" t="s">
        <v>225</v>
      </c>
      <c r="O85" s="112" t="s">
        <v>1357</v>
      </c>
      <c r="P85" s="111" t="s">
        <v>225</v>
      </c>
      <c r="Q85" s="112" t="s">
        <v>1358</v>
      </c>
      <c r="R85" s="111" t="s">
        <v>132</v>
      </c>
      <c r="S85" s="112" t="s">
        <v>1352</v>
      </c>
      <c r="T85" s="113">
        <f>49107.38</f>
        <v>49107.38</v>
      </c>
      <c r="U85" s="114">
        <f>695</f>
        <v>695</v>
      </c>
      <c r="V85" s="114">
        <v>2</v>
      </c>
      <c r="W85" s="114">
        <v>3</v>
      </c>
      <c r="X85" s="114">
        <f>1714075500</f>
        <v>1714075500</v>
      </c>
      <c r="Y85" s="114">
        <v>4727000</v>
      </c>
      <c r="Z85" s="115">
        <v>6761000</v>
      </c>
      <c r="AA85" s="111"/>
      <c r="AB85" s="116">
        <f>58</f>
        <v>58</v>
      </c>
      <c r="AC85" s="116" t="str">
        <f t="shared" si="4"/>
        <v>－</v>
      </c>
      <c r="AD85" s="117">
        <f>35</f>
        <v>35</v>
      </c>
    </row>
    <row r="86" spans="1:30">
      <c r="A86" s="107" t="s">
        <v>46</v>
      </c>
      <c r="B86" s="108" t="s">
        <v>1212</v>
      </c>
      <c r="C86" s="108" t="s">
        <v>1213</v>
      </c>
      <c r="D86" s="108" t="s">
        <v>1359</v>
      </c>
      <c r="E86" s="109" t="s">
        <v>535</v>
      </c>
      <c r="F86" s="109" t="s">
        <v>1360</v>
      </c>
      <c r="G86" s="110">
        <v>50</v>
      </c>
      <c r="H86" s="111" t="s">
        <v>225</v>
      </c>
      <c r="I86" s="112" t="s">
        <v>1361</v>
      </c>
      <c r="J86" s="111" t="s">
        <v>132</v>
      </c>
      <c r="K86" s="112" t="s">
        <v>1362</v>
      </c>
      <c r="L86" s="111"/>
      <c r="M86" s="112"/>
      <c r="N86" s="111" t="s">
        <v>177</v>
      </c>
      <c r="O86" s="112" t="s">
        <v>1363</v>
      </c>
      <c r="P86" s="111"/>
      <c r="Q86" s="112"/>
      <c r="R86" s="111" t="s">
        <v>132</v>
      </c>
      <c r="S86" s="112" t="s">
        <v>1364</v>
      </c>
      <c r="T86" s="113">
        <f>47820.45</f>
        <v>47820.45</v>
      </c>
      <c r="U86" s="114">
        <f>459</f>
        <v>459</v>
      </c>
      <c r="V86" s="114"/>
      <c r="W86" s="114">
        <v>1</v>
      </c>
      <c r="X86" s="114">
        <f>1093064000</f>
        <v>1093064000</v>
      </c>
      <c r="Y86" s="114"/>
      <c r="Z86" s="115">
        <v>2413000</v>
      </c>
      <c r="AA86" s="111"/>
      <c r="AB86" s="116">
        <f>113</f>
        <v>113</v>
      </c>
      <c r="AC86" s="116" t="str">
        <f t="shared" si="4"/>
        <v>－</v>
      </c>
      <c r="AD86" s="117">
        <f>22</f>
        <v>22</v>
      </c>
    </row>
    <row r="87" spans="1:30">
      <c r="A87" s="107" t="s">
        <v>46</v>
      </c>
      <c r="B87" s="108" t="s">
        <v>1365</v>
      </c>
      <c r="C87" s="108" t="s">
        <v>1366</v>
      </c>
      <c r="D87" s="108" t="s">
        <v>592</v>
      </c>
      <c r="E87" s="109" t="s">
        <v>1367</v>
      </c>
      <c r="F87" s="109" t="s">
        <v>779</v>
      </c>
      <c r="G87" s="110">
        <v>74400</v>
      </c>
      <c r="H87" s="111" t="s">
        <v>52</v>
      </c>
      <c r="I87" s="112" t="s">
        <v>1368</v>
      </c>
      <c r="J87" s="111" t="s">
        <v>460</v>
      </c>
      <c r="K87" s="112" t="s">
        <v>1369</v>
      </c>
      <c r="L87" s="111" t="s">
        <v>1370</v>
      </c>
      <c r="M87" s="112" t="s">
        <v>1371</v>
      </c>
      <c r="N87" s="111" t="s">
        <v>52</v>
      </c>
      <c r="O87" s="112" t="s">
        <v>1368</v>
      </c>
      <c r="P87" s="111" t="s">
        <v>335</v>
      </c>
      <c r="Q87" s="112" t="s">
        <v>1372</v>
      </c>
      <c r="R87" s="111" t="s">
        <v>460</v>
      </c>
      <c r="S87" s="112" t="s">
        <v>1369</v>
      </c>
      <c r="T87" s="113">
        <f>45.93</f>
        <v>45.93</v>
      </c>
      <c r="U87" s="114">
        <f>344</f>
        <v>344</v>
      </c>
      <c r="V87" s="114">
        <v>342</v>
      </c>
      <c r="W87" s="114"/>
      <c r="X87" s="114">
        <f>1006301664</f>
        <v>1006301664</v>
      </c>
      <c r="Y87" s="114">
        <v>1003340544</v>
      </c>
      <c r="Z87" s="115"/>
      <c r="AA87" s="111" t="s">
        <v>60</v>
      </c>
      <c r="AB87" s="116">
        <f>700</f>
        <v>700</v>
      </c>
      <c r="AC87" s="116" t="str">
        <f t="shared" si="4"/>
        <v>－</v>
      </c>
      <c r="AD87" s="117">
        <f>2</f>
        <v>2</v>
      </c>
    </row>
    <row r="88" spans="1:30">
      <c r="A88" s="107" t="s">
        <v>46</v>
      </c>
      <c r="B88" s="108" t="s">
        <v>1365</v>
      </c>
      <c r="C88" s="108" t="s">
        <v>1366</v>
      </c>
      <c r="D88" s="108" t="s">
        <v>49</v>
      </c>
      <c r="E88" s="109" t="s">
        <v>1373</v>
      </c>
      <c r="F88" s="109" t="s">
        <v>781</v>
      </c>
      <c r="G88" s="110">
        <v>67200</v>
      </c>
      <c r="H88" s="111" t="s">
        <v>52</v>
      </c>
      <c r="I88" s="112" t="s">
        <v>1374</v>
      </c>
      <c r="J88" s="111" t="s">
        <v>52</v>
      </c>
      <c r="K88" s="112" t="s">
        <v>1375</v>
      </c>
      <c r="L88" s="111" t="s">
        <v>273</v>
      </c>
      <c r="M88" s="112" t="s">
        <v>1376</v>
      </c>
      <c r="N88" s="111" t="s">
        <v>52</v>
      </c>
      <c r="O88" s="112" t="s">
        <v>1374</v>
      </c>
      <c r="P88" s="111" t="s">
        <v>335</v>
      </c>
      <c r="Q88" s="112" t="s">
        <v>1377</v>
      </c>
      <c r="R88" s="111" t="s">
        <v>52</v>
      </c>
      <c r="S88" s="112" t="s">
        <v>1375</v>
      </c>
      <c r="T88" s="113">
        <f>19.58</f>
        <v>19.579999999999998</v>
      </c>
      <c r="U88" s="114">
        <f>83</f>
        <v>83</v>
      </c>
      <c r="V88" s="114">
        <v>80</v>
      </c>
      <c r="W88" s="114"/>
      <c r="X88" s="114">
        <f>103215840</f>
        <v>103215840</v>
      </c>
      <c r="Y88" s="114">
        <v>99993600</v>
      </c>
      <c r="Z88" s="115"/>
      <c r="AA88" s="111" t="s">
        <v>60</v>
      </c>
      <c r="AB88" s="116">
        <f>525</f>
        <v>525</v>
      </c>
      <c r="AC88" s="116" t="str">
        <f t="shared" si="4"/>
        <v>－</v>
      </c>
      <c r="AD88" s="117">
        <f>1</f>
        <v>1</v>
      </c>
    </row>
    <row r="89" spans="1:30">
      <c r="A89" s="107" t="s">
        <v>46</v>
      </c>
      <c r="B89" s="108" t="s">
        <v>1365</v>
      </c>
      <c r="C89" s="108" t="s">
        <v>1366</v>
      </c>
      <c r="D89" s="108" t="s">
        <v>612</v>
      </c>
      <c r="E89" s="109" t="s">
        <v>1378</v>
      </c>
      <c r="F89" s="109" t="s">
        <v>1379</v>
      </c>
      <c r="G89" s="110">
        <v>74400</v>
      </c>
      <c r="H89" s="111" t="s">
        <v>52</v>
      </c>
      <c r="I89" s="112" t="s">
        <v>1380</v>
      </c>
      <c r="J89" s="111" t="s">
        <v>1034</v>
      </c>
      <c r="K89" s="112" t="s">
        <v>1381</v>
      </c>
      <c r="L89" s="111" t="s">
        <v>411</v>
      </c>
      <c r="M89" s="112" t="s">
        <v>1382</v>
      </c>
      <c r="N89" s="111" t="s">
        <v>1383</v>
      </c>
      <c r="O89" s="112" t="s">
        <v>1384</v>
      </c>
      <c r="P89" s="111" t="s">
        <v>596</v>
      </c>
      <c r="Q89" s="112" t="s">
        <v>1385</v>
      </c>
      <c r="R89" s="111" t="s">
        <v>1039</v>
      </c>
      <c r="S89" s="112" t="s">
        <v>1386</v>
      </c>
      <c r="T89" s="113">
        <f>8.65</f>
        <v>8.65</v>
      </c>
      <c r="U89" s="114">
        <f>137</f>
        <v>137</v>
      </c>
      <c r="V89" s="114">
        <v>100</v>
      </c>
      <c r="W89" s="114"/>
      <c r="X89" s="114">
        <f>104014920</f>
        <v>104014920</v>
      </c>
      <c r="Y89" s="114">
        <v>80352000</v>
      </c>
      <c r="Z89" s="115"/>
      <c r="AA89" s="111" t="s">
        <v>60</v>
      </c>
      <c r="AB89" s="116">
        <f>372</f>
        <v>372</v>
      </c>
      <c r="AC89" s="116" t="str">
        <f t="shared" si="4"/>
        <v>－</v>
      </c>
      <c r="AD89" s="117">
        <f>6</f>
        <v>6</v>
      </c>
    </row>
    <row r="90" spans="1:30">
      <c r="A90" s="107" t="s">
        <v>46</v>
      </c>
      <c r="B90" s="108" t="s">
        <v>1365</v>
      </c>
      <c r="C90" s="108" t="s">
        <v>1366</v>
      </c>
      <c r="D90" s="108" t="s">
        <v>61</v>
      </c>
      <c r="E90" s="109" t="s">
        <v>1387</v>
      </c>
      <c r="F90" s="109" t="s">
        <v>1388</v>
      </c>
      <c r="G90" s="110">
        <v>72000</v>
      </c>
      <c r="H90" s="111"/>
      <c r="I90" s="112" t="s">
        <v>260</v>
      </c>
      <c r="J90" s="111"/>
      <c r="K90" s="112" t="s">
        <v>260</v>
      </c>
      <c r="L90" s="111" t="s">
        <v>1271</v>
      </c>
      <c r="M90" s="112" t="s">
        <v>1389</v>
      </c>
      <c r="N90" s="111"/>
      <c r="O90" s="112" t="s">
        <v>260</v>
      </c>
      <c r="P90" s="111" t="s">
        <v>866</v>
      </c>
      <c r="Q90" s="112" t="s">
        <v>1390</v>
      </c>
      <c r="R90" s="111"/>
      <c r="S90" s="112" t="s">
        <v>260</v>
      </c>
      <c r="T90" s="113">
        <f>7.22</f>
        <v>7.22</v>
      </c>
      <c r="U90" s="114">
        <f>130</f>
        <v>130</v>
      </c>
      <c r="V90" s="114">
        <v>130</v>
      </c>
      <c r="W90" s="114"/>
      <c r="X90" s="114">
        <f>63374400</f>
        <v>63374400</v>
      </c>
      <c r="Y90" s="114">
        <v>63374400</v>
      </c>
      <c r="Z90" s="115"/>
      <c r="AA90" s="111" t="s">
        <v>60</v>
      </c>
      <c r="AB90" s="116">
        <f>264</f>
        <v>264</v>
      </c>
      <c r="AC90" s="116" t="str">
        <f t="shared" si="4"/>
        <v>－</v>
      </c>
      <c r="AD90" s="117" t="str">
        <f>"－"</f>
        <v>－</v>
      </c>
    </row>
    <row r="91" spans="1:30">
      <c r="A91" s="107" t="s">
        <v>46</v>
      </c>
      <c r="B91" s="108" t="s">
        <v>1365</v>
      </c>
      <c r="C91" s="108" t="s">
        <v>1366</v>
      </c>
      <c r="D91" s="108" t="s">
        <v>633</v>
      </c>
      <c r="E91" s="109" t="s">
        <v>1391</v>
      </c>
      <c r="F91" s="109" t="s">
        <v>1392</v>
      </c>
      <c r="G91" s="110">
        <v>74400</v>
      </c>
      <c r="H91" s="111" t="s">
        <v>128</v>
      </c>
      <c r="I91" s="112" t="s">
        <v>1393</v>
      </c>
      <c r="J91" s="111" t="s">
        <v>128</v>
      </c>
      <c r="K91" s="112" t="s">
        <v>1394</v>
      </c>
      <c r="L91" s="111" t="s">
        <v>1271</v>
      </c>
      <c r="M91" s="112" t="s">
        <v>1395</v>
      </c>
      <c r="N91" s="111" t="s">
        <v>128</v>
      </c>
      <c r="O91" s="112" t="s">
        <v>1393</v>
      </c>
      <c r="P91" s="111" t="s">
        <v>618</v>
      </c>
      <c r="Q91" s="112" t="s">
        <v>1396</v>
      </c>
      <c r="R91" s="111" t="s">
        <v>128</v>
      </c>
      <c r="S91" s="112" t="s">
        <v>1394</v>
      </c>
      <c r="T91" s="113">
        <f>7.35</f>
        <v>7.35</v>
      </c>
      <c r="U91" s="114">
        <f>24</f>
        <v>24</v>
      </c>
      <c r="V91" s="114">
        <v>18</v>
      </c>
      <c r="W91" s="114"/>
      <c r="X91" s="114">
        <f>14403096</f>
        <v>14403096</v>
      </c>
      <c r="Y91" s="114">
        <v>11100480</v>
      </c>
      <c r="Z91" s="115"/>
      <c r="AA91" s="111" t="s">
        <v>60</v>
      </c>
      <c r="AB91" s="116">
        <f>157</f>
        <v>157</v>
      </c>
      <c r="AC91" s="116" t="str">
        <f t="shared" si="4"/>
        <v>－</v>
      </c>
      <c r="AD91" s="117">
        <f>1</f>
        <v>1</v>
      </c>
    </row>
    <row r="92" spans="1:30">
      <c r="A92" s="107" t="s">
        <v>46</v>
      </c>
      <c r="B92" s="108" t="s">
        <v>1365</v>
      </c>
      <c r="C92" s="108" t="s">
        <v>1366</v>
      </c>
      <c r="D92" s="108" t="s">
        <v>72</v>
      </c>
      <c r="E92" s="109" t="s">
        <v>1397</v>
      </c>
      <c r="F92" s="109" t="s">
        <v>1398</v>
      </c>
      <c r="G92" s="110">
        <v>72000</v>
      </c>
      <c r="H92" s="111" t="s">
        <v>631</v>
      </c>
      <c r="I92" s="112" t="s">
        <v>1399</v>
      </c>
      <c r="J92" s="111" t="s">
        <v>474</v>
      </c>
      <c r="K92" s="112" t="s">
        <v>1400</v>
      </c>
      <c r="L92" s="111" t="s">
        <v>1271</v>
      </c>
      <c r="M92" s="112" t="s">
        <v>1401</v>
      </c>
      <c r="N92" s="111" t="s">
        <v>474</v>
      </c>
      <c r="O92" s="112" t="s">
        <v>1402</v>
      </c>
      <c r="P92" s="111" t="s">
        <v>1216</v>
      </c>
      <c r="Q92" s="112" t="s">
        <v>1396</v>
      </c>
      <c r="R92" s="111" t="s">
        <v>474</v>
      </c>
      <c r="S92" s="112" t="s">
        <v>1403</v>
      </c>
      <c r="T92" s="113">
        <f>8.11</f>
        <v>8.11</v>
      </c>
      <c r="U92" s="114">
        <f>69</f>
        <v>69</v>
      </c>
      <c r="V92" s="114">
        <v>16</v>
      </c>
      <c r="W92" s="114"/>
      <c r="X92" s="114">
        <f>41196240</f>
        <v>41196240</v>
      </c>
      <c r="Y92" s="114">
        <v>9619200</v>
      </c>
      <c r="Z92" s="115"/>
      <c r="AA92" s="111" t="s">
        <v>60</v>
      </c>
      <c r="AB92" s="116">
        <f>193</f>
        <v>193</v>
      </c>
      <c r="AC92" s="116" t="str">
        <f t="shared" si="4"/>
        <v>－</v>
      </c>
      <c r="AD92" s="117">
        <f>4</f>
        <v>4</v>
      </c>
    </row>
    <row r="93" spans="1:30">
      <c r="A93" s="107" t="s">
        <v>46</v>
      </c>
      <c r="B93" s="108" t="s">
        <v>1365</v>
      </c>
      <c r="C93" s="108" t="s">
        <v>1366</v>
      </c>
      <c r="D93" s="108" t="s">
        <v>651</v>
      </c>
      <c r="E93" s="109" t="s">
        <v>1404</v>
      </c>
      <c r="F93" s="109" t="s">
        <v>794</v>
      </c>
      <c r="G93" s="110">
        <v>74400</v>
      </c>
      <c r="H93" s="111" t="s">
        <v>462</v>
      </c>
      <c r="I93" s="112" t="s">
        <v>1405</v>
      </c>
      <c r="J93" s="111" t="s">
        <v>480</v>
      </c>
      <c r="K93" s="112" t="s">
        <v>1406</v>
      </c>
      <c r="L93" s="111" t="s">
        <v>1407</v>
      </c>
      <c r="M93" s="112" t="s">
        <v>1408</v>
      </c>
      <c r="N93" s="111" t="s">
        <v>1409</v>
      </c>
      <c r="O93" s="112" t="s">
        <v>1410</v>
      </c>
      <c r="P93" s="111" t="s">
        <v>1216</v>
      </c>
      <c r="Q93" s="112" t="s">
        <v>1396</v>
      </c>
      <c r="R93" s="111" t="s">
        <v>1409</v>
      </c>
      <c r="S93" s="112" t="s">
        <v>1410</v>
      </c>
      <c r="T93" s="113">
        <f>10.26</f>
        <v>10.26</v>
      </c>
      <c r="U93" s="114">
        <f>652</f>
        <v>652</v>
      </c>
      <c r="V93" s="114">
        <v>539</v>
      </c>
      <c r="W93" s="114"/>
      <c r="X93" s="114">
        <f>522017184</f>
        <v>522017184</v>
      </c>
      <c r="Y93" s="114">
        <v>426773280</v>
      </c>
      <c r="Z93" s="115"/>
      <c r="AA93" s="111" t="s">
        <v>60</v>
      </c>
      <c r="AB93" s="116">
        <f>351</f>
        <v>351</v>
      </c>
      <c r="AC93" s="116" t="str">
        <f t="shared" si="4"/>
        <v>－</v>
      </c>
      <c r="AD93" s="117">
        <f>18</f>
        <v>18</v>
      </c>
    </row>
    <row r="94" spans="1:30">
      <c r="A94" s="107" t="s">
        <v>46</v>
      </c>
      <c r="B94" s="108" t="s">
        <v>1365</v>
      </c>
      <c r="C94" s="108" t="s">
        <v>1366</v>
      </c>
      <c r="D94" s="108" t="s">
        <v>86</v>
      </c>
      <c r="E94" s="109" t="s">
        <v>1411</v>
      </c>
      <c r="F94" s="109" t="s">
        <v>1412</v>
      </c>
      <c r="G94" s="110">
        <v>74400</v>
      </c>
      <c r="H94" s="111" t="s">
        <v>797</v>
      </c>
      <c r="I94" s="112" t="s">
        <v>1406</v>
      </c>
      <c r="J94" s="111" t="s">
        <v>1413</v>
      </c>
      <c r="K94" s="112" t="s">
        <v>1414</v>
      </c>
      <c r="L94" s="111" t="s">
        <v>480</v>
      </c>
      <c r="M94" s="112" t="s">
        <v>1415</v>
      </c>
      <c r="N94" s="111" t="s">
        <v>217</v>
      </c>
      <c r="O94" s="112" t="s">
        <v>1381</v>
      </c>
      <c r="P94" s="111" t="s">
        <v>1216</v>
      </c>
      <c r="Q94" s="112" t="s">
        <v>1396</v>
      </c>
      <c r="R94" s="111" t="s">
        <v>217</v>
      </c>
      <c r="S94" s="112" t="s">
        <v>1381</v>
      </c>
      <c r="T94" s="113">
        <f>11.43</f>
        <v>11.43</v>
      </c>
      <c r="U94" s="114">
        <f>505</f>
        <v>505</v>
      </c>
      <c r="V94" s="114">
        <v>429</v>
      </c>
      <c r="W94" s="114"/>
      <c r="X94" s="114">
        <f>437794896</f>
        <v>437794896</v>
      </c>
      <c r="Y94" s="114">
        <v>365448336</v>
      </c>
      <c r="Z94" s="115"/>
      <c r="AA94" s="111" t="s">
        <v>60</v>
      </c>
      <c r="AB94" s="116">
        <f>495</f>
        <v>495</v>
      </c>
      <c r="AC94" s="116" t="str">
        <f t="shared" si="4"/>
        <v>－</v>
      </c>
      <c r="AD94" s="117">
        <f>10</f>
        <v>10</v>
      </c>
    </row>
    <row r="95" spans="1:30">
      <c r="A95" s="107" t="s">
        <v>46</v>
      </c>
      <c r="B95" s="108" t="s">
        <v>1365</v>
      </c>
      <c r="C95" s="108" t="s">
        <v>1366</v>
      </c>
      <c r="D95" s="108" t="s">
        <v>669</v>
      </c>
      <c r="E95" s="109" t="s">
        <v>1416</v>
      </c>
      <c r="F95" s="109" t="s">
        <v>1417</v>
      </c>
      <c r="G95" s="110">
        <v>72000</v>
      </c>
      <c r="H95" s="111" t="s">
        <v>70</v>
      </c>
      <c r="I95" s="112" t="s">
        <v>1418</v>
      </c>
      <c r="J95" s="111" t="s">
        <v>105</v>
      </c>
      <c r="K95" s="112" t="s">
        <v>1419</v>
      </c>
      <c r="L95" s="111" t="s">
        <v>1407</v>
      </c>
      <c r="M95" s="112" t="s">
        <v>1408</v>
      </c>
      <c r="N95" s="111" t="s">
        <v>1420</v>
      </c>
      <c r="O95" s="112" t="s">
        <v>1403</v>
      </c>
      <c r="P95" s="111" t="s">
        <v>1216</v>
      </c>
      <c r="Q95" s="112" t="s">
        <v>1396</v>
      </c>
      <c r="R95" s="111" t="s">
        <v>1420</v>
      </c>
      <c r="S95" s="112" t="s">
        <v>1403</v>
      </c>
      <c r="T95" s="113">
        <f>9.64</f>
        <v>9.64</v>
      </c>
      <c r="U95" s="114">
        <f>436</f>
        <v>436</v>
      </c>
      <c r="V95" s="114">
        <v>384</v>
      </c>
      <c r="W95" s="114"/>
      <c r="X95" s="114">
        <f>346750560</f>
        <v>346750560</v>
      </c>
      <c r="Y95" s="114">
        <v>307173600</v>
      </c>
      <c r="Z95" s="115"/>
      <c r="AA95" s="111" t="s">
        <v>60</v>
      </c>
      <c r="AB95" s="116">
        <f>397</f>
        <v>397</v>
      </c>
      <c r="AC95" s="116" t="str">
        <f t="shared" si="4"/>
        <v>－</v>
      </c>
      <c r="AD95" s="117">
        <f>8</f>
        <v>8</v>
      </c>
    </row>
    <row r="96" spans="1:30">
      <c r="A96" s="107" t="s">
        <v>46</v>
      </c>
      <c r="B96" s="108" t="s">
        <v>1365</v>
      </c>
      <c r="C96" s="108" t="s">
        <v>1366</v>
      </c>
      <c r="D96" s="108" t="s">
        <v>97</v>
      </c>
      <c r="E96" s="109" t="s">
        <v>1421</v>
      </c>
      <c r="F96" s="109" t="s">
        <v>805</v>
      </c>
      <c r="G96" s="110">
        <v>74400</v>
      </c>
      <c r="H96" s="111" t="s">
        <v>531</v>
      </c>
      <c r="I96" s="112" t="s">
        <v>1422</v>
      </c>
      <c r="J96" s="111" t="s">
        <v>531</v>
      </c>
      <c r="K96" s="112" t="s">
        <v>1422</v>
      </c>
      <c r="L96" s="111" t="s">
        <v>95</v>
      </c>
      <c r="M96" s="112" t="s">
        <v>1423</v>
      </c>
      <c r="N96" s="111" t="s">
        <v>531</v>
      </c>
      <c r="O96" s="112" t="s">
        <v>1422</v>
      </c>
      <c r="P96" s="111" t="s">
        <v>1216</v>
      </c>
      <c r="Q96" s="112" t="s">
        <v>1396</v>
      </c>
      <c r="R96" s="111" t="s">
        <v>531</v>
      </c>
      <c r="S96" s="112" t="s">
        <v>1422</v>
      </c>
      <c r="T96" s="113">
        <f>8.9</f>
        <v>8.9</v>
      </c>
      <c r="U96" s="114">
        <f>481</f>
        <v>481</v>
      </c>
      <c r="V96" s="114">
        <v>480</v>
      </c>
      <c r="W96" s="114"/>
      <c r="X96" s="114">
        <f>371959080</f>
        <v>371959080</v>
      </c>
      <c r="Y96" s="114">
        <v>371300640</v>
      </c>
      <c r="Z96" s="115"/>
      <c r="AA96" s="111" t="s">
        <v>60</v>
      </c>
      <c r="AB96" s="116">
        <f>205</f>
        <v>205</v>
      </c>
      <c r="AC96" s="116" t="str">
        <f t="shared" si="4"/>
        <v>－</v>
      </c>
      <c r="AD96" s="117">
        <f>1</f>
        <v>1</v>
      </c>
    </row>
    <row r="97" spans="1:30">
      <c r="A97" s="107" t="s">
        <v>46</v>
      </c>
      <c r="B97" s="108" t="s">
        <v>1365</v>
      </c>
      <c r="C97" s="108" t="s">
        <v>1366</v>
      </c>
      <c r="D97" s="108" t="s">
        <v>524</v>
      </c>
      <c r="E97" s="109" t="s">
        <v>1424</v>
      </c>
      <c r="F97" s="109" t="s">
        <v>1425</v>
      </c>
      <c r="G97" s="110">
        <v>72000</v>
      </c>
      <c r="H97" s="111" t="s">
        <v>211</v>
      </c>
      <c r="I97" s="112" t="s">
        <v>1426</v>
      </c>
      <c r="J97" s="111" t="s">
        <v>887</v>
      </c>
      <c r="K97" s="112" t="s">
        <v>1427</v>
      </c>
      <c r="L97" s="111" t="s">
        <v>822</v>
      </c>
      <c r="M97" s="112" t="s">
        <v>1428</v>
      </c>
      <c r="N97" s="111" t="s">
        <v>211</v>
      </c>
      <c r="O97" s="112" t="s">
        <v>1426</v>
      </c>
      <c r="P97" s="111" t="s">
        <v>1216</v>
      </c>
      <c r="Q97" s="112" t="s">
        <v>1396</v>
      </c>
      <c r="R97" s="111" t="s">
        <v>172</v>
      </c>
      <c r="S97" s="112" t="s">
        <v>1429</v>
      </c>
      <c r="T97" s="113">
        <f>10.7</f>
        <v>10.7</v>
      </c>
      <c r="U97" s="114">
        <f>391</f>
        <v>391</v>
      </c>
      <c r="V97" s="114">
        <v>353</v>
      </c>
      <c r="W97" s="114"/>
      <c r="X97" s="114">
        <f>342655920</f>
        <v>342655920</v>
      </c>
      <c r="Y97" s="114">
        <v>304725600</v>
      </c>
      <c r="Z97" s="115"/>
      <c r="AA97" s="111" t="s">
        <v>60</v>
      </c>
      <c r="AB97" s="116">
        <f>190</f>
        <v>190</v>
      </c>
      <c r="AC97" s="116" t="str">
        <f t="shared" si="4"/>
        <v>－</v>
      </c>
      <c r="AD97" s="117">
        <f>8</f>
        <v>8</v>
      </c>
    </row>
    <row r="98" spans="1:30">
      <c r="A98" s="107" t="s">
        <v>46</v>
      </c>
      <c r="B98" s="108" t="s">
        <v>1365</v>
      </c>
      <c r="C98" s="108" t="s">
        <v>1366</v>
      </c>
      <c r="D98" s="108" t="s">
        <v>109</v>
      </c>
      <c r="E98" s="109" t="s">
        <v>1430</v>
      </c>
      <c r="F98" s="109" t="s">
        <v>821</v>
      </c>
      <c r="G98" s="110">
        <v>74400</v>
      </c>
      <c r="H98" s="111" t="s">
        <v>480</v>
      </c>
      <c r="I98" s="112" t="s">
        <v>1431</v>
      </c>
      <c r="J98" s="111" t="s">
        <v>571</v>
      </c>
      <c r="K98" s="112" t="s">
        <v>1432</v>
      </c>
      <c r="L98" s="111" t="s">
        <v>729</v>
      </c>
      <c r="M98" s="112" t="s">
        <v>1433</v>
      </c>
      <c r="N98" s="111" t="s">
        <v>480</v>
      </c>
      <c r="O98" s="112" t="s">
        <v>1431</v>
      </c>
      <c r="P98" s="111" t="s">
        <v>1216</v>
      </c>
      <c r="Q98" s="112" t="s">
        <v>1396</v>
      </c>
      <c r="R98" s="111" t="s">
        <v>1200</v>
      </c>
      <c r="S98" s="112" t="s">
        <v>1434</v>
      </c>
      <c r="T98" s="113">
        <f>13.87</f>
        <v>13.87</v>
      </c>
      <c r="U98" s="114">
        <f>875</f>
        <v>875</v>
      </c>
      <c r="V98" s="114">
        <v>733</v>
      </c>
      <c r="W98" s="114"/>
      <c r="X98" s="114">
        <f>1138692000</f>
        <v>1138692000</v>
      </c>
      <c r="Y98" s="114">
        <v>986971056</v>
      </c>
      <c r="Z98" s="115"/>
      <c r="AA98" s="111" t="s">
        <v>60</v>
      </c>
      <c r="AB98" s="116">
        <f>464</f>
        <v>464</v>
      </c>
      <c r="AC98" s="116" t="str">
        <f t="shared" si="4"/>
        <v>－</v>
      </c>
      <c r="AD98" s="117">
        <f>10</f>
        <v>10</v>
      </c>
    </row>
    <row r="99" spans="1:30">
      <c r="A99" s="107" t="s">
        <v>46</v>
      </c>
      <c r="B99" s="108" t="s">
        <v>1365</v>
      </c>
      <c r="C99" s="108" t="s">
        <v>1366</v>
      </c>
      <c r="D99" s="108" t="s">
        <v>544</v>
      </c>
      <c r="E99" s="109" t="s">
        <v>784</v>
      </c>
      <c r="F99" s="109" t="s">
        <v>1435</v>
      </c>
      <c r="G99" s="110">
        <v>74400</v>
      </c>
      <c r="H99" s="111" t="s">
        <v>415</v>
      </c>
      <c r="I99" s="112" t="s">
        <v>1436</v>
      </c>
      <c r="J99" s="111" t="s">
        <v>488</v>
      </c>
      <c r="K99" s="112" t="s">
        <v>1437</v>
      </c>
      <c r="L99" s="111" t="s">
        <v>221</v>
      </c>
      <c r="M99" s="112" t="s">
        <v>1438</v>
      </c>
      <c r="N99" s="111" t="s">
        <v>415</v>
      </c>
      <c r="O99" s="112" t="s">
        <v>1436</v>
      </c>
      <c r="P99" s="111" t="s">
        <v>1216</v>
      </c>
      <c r="Q99" s="112" t="s">
        <v>1396</v>
      </c>
      <c r="R99" s="111" t="s">
        <v>565</v>
      </c>
      <c r="S99" s="112" t="s">
        <v>1437</v>
      </c>
      <c r="T99" s="113">
        <f>16.27</f>
        <v>16.27</v>
      </c>
      <c r="U99" s="114">
        <f>959</f>
        <v>959</v>
      </c>
      <c r="V99" s="114">
        <v>938</v>
      </c>
      <c r="W99" s="114"/>
      <c r="X99" s="114">
        <f>1289006784</f>
        <v>1289006784</v>
      </c>
      <c r="Y99" s="114">
        <v>1257386784</v>
      </c>
      <c r="Z99" s="115"/>
      <c r="AA99" s="111"/>
      <c r="AB99" s="116">
        <f>434</f>
        <v>434</v>
      </c>
      <c r="AC99" s="116" t="str">
        <f t="shared" si="4"/>
        <v>－</v>
      </c>
      <c r="AD99" s="117">
        <f>3</f>
        <v>3</v>
      </c>
    </row>
    <row r="100" spans="1:30">
      <c r="A100" s="107" t="s">
        <v>46</v>
      </c>
      <c r="B100" s="108" t="s">
        <v>1365</v>
      </c>
      <c r="C100" s="108" t="s">
        <v>1366</v>
      </c>
      <c r="D100" s="108" t="s">
        <v>122</v>
      </c>
      <c r="E100" s="109" t="s">
        <v>1439</v>
      </c>
      <c r="F100" s="109" t="s">
        <v>1078</v>
      </c>
      <c r="G100" s="110">
        <v>67200</v>
      </c>
      <c r="H100" s="111" t="s">
        <v>415</v>
      </c>
      <c r="I100" s="112" t="s">
        <v>1436</v>
      </c>
      <c r="J100" s="111" t="s">
        <v>228</v>
      </c>
      <c r="K100" s="112" t="s">
        <v>1437</v>
      </c>
      <c r="L100" s="111" t="s">
        <v>561</v>
      </c>
      <c r="M100" s="112" t="s">
        <v>1440</v>
      </c>
      <c r="N100" s="111" t="s">
        <v>415</v>
      </c>
      <c r="O100" s="112" t="s">
        <v>1436</v>
      </c>
      <c r="P100" s="111" t="s">
        <v>1216</v>
      </c>
      <c r="Q100" s="112" t="s">
        <v>1396</v>
      </c>
      <c r="R100" s="111" t="s">
        <v>228</v>
      </c>
      <c r="S100" s="112" t="s">
        <v>1437</v>
      </c>
      <c r="T100" s="113">
        <f>15.99</f>
        <v>15.99</v>
      </c>
      <c r="U100" s="114">
        <f>911</f>
        <v>911</v>
      </c>
      <c r="V100" s="114">
        <v>896</v>
      </c>
      <c r="W100" s="114"/>
      <c r="X100" s="114">
        <f>1088844960</f>
        <v>1088844960</v>
      </c>
      <c r="Y100" s="114">
        <v>1070364960</v>
      </c>
      <c r="Z100" s="115"/>
      <c r="AA100" s="111"/>
      <c r="AB100" s="116">
        <f>414</f>
        <v>414</v>
      </c>
      <c r="AC100" s="116" t="str">
        <f t="shared" si="4"/>
        <v>－</v>
      </c>
      <c r="AD100" s="117">
        <f>2</f>
        <v>2</v>
      </c>
    </row>
    <row r="101" spans="1:30">
      <c r="A101" s="107" t="s">
        <v>46</v>
      </c>
      <c r="B101" s="108" t="s">
        <v>1365</v>
      </c>
      <c r="C101" s="108" t="s">
        <v>1366</v>
      </c>
      <c r="D101" s="108" t="s">
        <v>557</v>
      </c>
      <c r="E101" s="109" t="s">
        <v>791</v>
      </c>
      <c r="F101" s="109" t="s">
        <v>1441</v>
      </c>
      <c r="G101" s="110">
        <v>74400</v>
      </c>
      <c r="H101" s="111" t="s">
        <v>1442</v>
      </c>
      <c r="I101" s="112" t="s">
        <v>1426</v>
      </c>
      <c r="J101" s="111" t="s">
        <v>1443</v>
      </c>
      <c r="K101" s="112" t="s">
        <v>1444</v>
      </c>
      <c r="L101" s="111" t="s">
        <v>729</v>
      </c>
      <c r="M101" s="112" t="s">
        <v>1433</v>
      </c>
      <c r="N101" s="111" t="s">
        <v>1442</v>
      </c>
      <c r="O101" s="112" t="s">
        <v>1426</v>
      </c>
      <c r="P101" s="111" t="s">
        <v>1216</v>
      </c>
      <c r="Q101" s="112" t="s">
        <v>1396</v>
      </c>
      <c r="R101" s="111" t="s">
        <v>1443</v>
      </c>
      <c r="S101" s="112" t="s">
        <v>1444</v>
      </c>
      <c r="T101" s="113">
        <f>11.39</f>
        <v>11.39</v>
      </c>
      <c r="U101" s="114">
        <f>1795</f>
        <v>1795</v>
      </c>
      <c r="V101" s="114">
        <v>1451</v>
      </c>
      <c r="W101" s="114"/>
      <c r="X101" s="114">
        <f>1987822920</f>
        <v>1987822920</v>
      </c>
      <c r="Y101" s="114">
        <v>1575360480</v>
      </c>
      <c r="Z101" s="115"/>
      <c r="AA101" s="111"/>
      <c r="AB101" s="116">
        <f>1176</f>
        <v>1176</v>
      </c>
      <c r="AC101" s="116" t="str">
        <f t="shared" si="4"/>
        <v>－</v>
      </c>
      <c r="AD101" s="117">
        <f>11</f>
        <v>11</v>
      </c>
    </row>
    <row r="102" spans="1:30">
      <c r="A102" s="107" t="s">
        <v>46</v>
      </c>
      <c r="B102" s="108" t="s">
        <v>1365</v>
      </c>
      <c r="C102" s="108" t="s">
        <v>1366</v>
      </c>
      <c r="D102" s="108" t="s">
        <v>134</v>
      </c>
      <c r="E102" s="109" t="s">
        <v>793</v>
      </c>
      <c r="F102" s="109" t="s">
        <v>843</v>
      </c>
      <c r="G102" s="110">
        <v>72000</v>
      </c>
      <c r="H102" s="111"/>
      <c r="I102" s="112" t="s">
        <v>260</v>
      </c>
      <c r="J102" s="111"/>
      <c r="K102" s="112" t="s">
        <v>260</v>
      </c>
      <c r="L102" s="111" t="s">
        <v>1445</v>
      </c>
      <c r="M102" s="112" t="s">
        <v>1446</v>
      </c>
      <c r="N102" s="111"/>
      <c r="O102" s="112" t="s">
        <v>260</v>
      </c>
      <c r="P102" s="111" t="s">
        <v>314</v>
      </c>
      <c r="Q102" s="112" t="s">
        <v>1447</v>
      </c>
      <c r="R102" s="111"/>
      <c r="S102" s="112" t="s">
        <v>260</v>
      </c>
      <c r="T102" s="113">
        <f>9.65</f>
        <v>9.65</v>
      </c>
      <c r="U102" s="114">
        <f>150</f>
        <v>150</v>
      </c>
      <c r="V102" s="114">
        <v>150</v>
      </c>
      <c r="W102" s="114"/>
      <c r="X102" s="114">
        <f>141300000</f>
        <v>141300000</v>
      </c>
      <c r="Y102" s="114">
        <v>141300000</v>
      </c>
      <c r="Z102" s="115"/>
      <c r="AA102" s="111"/>
      <c r="AB102" s="116">
        <f>100</f>
        <v>100</v>
      </c>
      <c r="AC102" s="116" t="str">
        <f t="shared" si="4"/>
        <v>－</v>
      </c>
      <c r="AD102" s="117" t="str">
        <f t="shared" si="4"/>
        <v>－</v>
      </c>
    </row>
    <row r="103" spans="1:30">
      <c r="A103" s="107" t="s">
        <v>46</v>
      </c>
      <c r="B103" s="108" t="s">
        <v>1365</v>
      </c>
      <c r="C103" s="108" t="s">
        <v>1366</v>
      </c>
      <c r="D103" s="108" t="s">
        <v>577</v>
      </c>
      <c r="E103" s="109" t="s">
        <v>800</v>
      </c>
      <c r="F103" s="109" t="s">
        <v>1448</v>
      </c>
      <c r="G103" s="110">
        <v>74400</v>
      </c>
      <c r="H103" s="111"/>
      <c r="I103" s="112" t="s">
        <v>260</v>
      </c>
      <c r="J103" s="111"/>
      <c r="K103" s="112" t="s">
        <v>260</v>
      </c>
      <c r="L103" s="111" t="s">
        <v>1445</v>
      </c>
      <c r="M103" s="112" t="s">
        <v>1446</v>
      </c>
      <c r="N103" s="111"/>
      <c r="O103" s="112" t="s">
        <v>260</v>
      </c>
      <c r="P103" s="111" t="s">
        <v>314</v>
      </c>
      <c r="Q103" s="112" t="s">
        <v>1447</v>
      </c>
      <c r="R103" s="111"/>
      <c r="S103" s="112" t="s">
        <v>260</v>
      </c>
      <c r="T103" s="113">
        <f>9.57</f>
        <v>9.57</v>
      </c>
      <c r="U103" s="114">
        <f>150</f>
        <v>150</v>
      </c>
      <c r="V103" s="114">
        <v>150</v>
      </c>
      <c r="W103" s="114"/>
      <c r="X103" s="114">
        <f>146010000</f>
        <v>146010000</v>
      </c>
      <c r="Y103" s="114">
        <v>146010000</v>
      </c>
      <c r="Z103" s="115"/>
      <c r="AA103" s="111"/>
      <c r="AB103" s="116">
        <f>100</f>
        <v>100</v>
      </c>
      <c r="AC103" s="116" t="str">
        <f t="shared" si="4"/>
        <v>－</v>
      </c>
      <c r="AD103" s="117" t="str">
        <f t="shared" si="4"/>
        <v>－</v>
      </c>
    </row>
    <row r="104" spans="1:30">
      <c r="A104" s="107" t="s">
        <v>46</v>
      </c>
      <c r="B104" s="108" t="s">
        <v>1365</v>
      </c>
      <c r="C104" s="108" t="s">
        <v>1366</v>
      </c>
      <c r="D104" s="108" t="s">
        <v>146</v>
      </c>
      <c r="E104" s="109" t="s">
        <v>783</v>
      </c>
      <c r="F104" s="109" t="s">
        <v>1449</v>
      </c>
      <c r="G104" s="110">
        <v>72000</v>
      </c>
      <c r="H104" s="111"/>
      <c r="I104" s="112" t="s">
        <v>260</v>
      </c>
      <c r="J104" s="111"/>
      <c r="K104" s="112" t="s">
        <v>260</v>
      </c>
      <c r="L104" s="111" t="s">
        <v>1445</v>
      </c>
      <c r="M104" s="112" t="s">
        <v>1446</v>
      </c>
      <c r="N104" s="111"/>
      <c r="O104" s="112" t="s">
        <v>260</v>
      </c>
      <c r="P104" s="111" t="s">
        <v>314</v>
      </c>
      <c r="Q104" s="112" t="s">
        <v>1447</v>
      </c>
      <c r="R104" s="111"/>
      <c r="S104" s="112" t="s">
        <v>260</v>
      </c>
      <c r="T104" s="113">
        <f>9.91</f>
        <v>9.91</v>
      </c>
      <c r="U104" s="114">
        <f>150</f>
        <v>150</v>
      </c>
      <c r="V104" s="114">
        <v>150</v>
      </c>
      <c r="W104" s="114"/>
      <c r="X104" s="114">
        <f>141300000</f>
        <v>141300000</v>
      </c>
      <c r="Y104" s="114">
        <v>141300000</v>
      </c>
      <c r="Z104" s="115"/>
      <c r="AA104" s="111"/>
      <c r="AB104" s="116">
        <f>100</f>
        <v>100</v>
      </c>
      <c r="AC104" s="116" t="str">
        <f t="shared" si="4"/>
        <v>－</v>
      </c>
      <c r="AD104" s="117" t="str">
        <f t="shared" si="4"/>
        <v>－</v>
      </c>
    </row>
    <row r="105" spans="1:30">
      <c r="A105" s="107" t="s">
        <v>46</v>
      </c>
      <c r="B105" s="108" t="s">
        <v>1365</v>
      </c>
      <c r="C105" s="108" t="s">
        <v>1366</v>
      </c>
      <c r="D105" s="108" t="s">
        <v>745</v>
      </c>
      <c r="E105" s="109" t="s">
        <v>785</v>
      </c>
      <c r="F105" s="109" t="s">
        <v>846</v>
      </c>
      <c r="G105" s="110">
        <v>74400</v>
      </c>
      <c r="H105" s="111"/>
      <c r="I105" s="112" t="s">
        <v>260</v>
      </c>
      <c r="J105" s="111"/>
      <c r="K105" s="112" t="s">
        <v>260</v>
      </c>
      <c r="L105" s="111" t="s">
        <v>1445</v>
      </c>
      <c r="M105" s="112" t="s">
        <v>1446</v>
      </c>
      <c r="N105" s="111"/>
      <c r="O105" s="112" t="s">
        <v>260</v>
      </c>
      <c r="P105" s="111" t="s">
        <v>314</v>
      </c>
      <c r="Q105" s="112" t="s">
        <v>1447</v>
      </c>
      <c r="R105" s="111"/>
      <c r="S105" s="112" t="s">
        <v>260</v>
      </c>
      <c r="T105" s="113">
        <f>10.91</f>
        <v>10.91</v>
      </c>
      <c r="U105" s="114">
        <f>150</f>
        <v>150</v>
      </c>
      <c r="V105" s="114">
        <v>150</v>
      </c>
      <c r="W105" s="114"/>
      <c r="X105" s="114">
        <f>146010000</f>
        <v>146010000</v>
      </c>
      <c r="Y105" s="114">
        <v>146010000</v>
      </c>
      <c r="Z105" s="115"/>
      <c r="AA105" s="111"/>
      <c r="AB105" s="116">
        <f>100</f>
        <v>100</v>
      </c>
      <c r="AC105" s="116" t="str">
        <f t="shared" si="4"/>
        <v>－</v>
      </c>
      <c r="AD105" s="117" t="str">
        <f t="shared" si="4"/>
        <v>－</v>
      </c>
    </row>
    <row r="106" spans="1:30">
      <c r="A106" s="107" t="s">
        <v>46</v>
      </c>
      <c r="B106" s="108" t="s">
        <v>1365</v>
      </c>
      <c r="C106" s="108" t="s">
        <v>1366</v>
      </c>
      <c r="D106" s="108" t="s">
        <v>158</v>
      </c>
      <c r="E106" s="109" t="s">
        <v>787</v>
      </c>
      <c r="F106" s="109" t="s">
        <v>1450</v>
      </c>
      <c r="G106" s="110">
        <v>74400</v>
      </c>
      <c r="H106" s="111"/>
      <c r="I106" s="112" t="s">
        <v>260</v>
      </c>
      <c r="J106" s="111"/>
      <c r="K106" s="112" t="s">
        <v>260</v>
      </c>
      <c r="L106" s="111" t="s">
        <v>1445</v>
      </c>
      <c r="M106" s="112" t="s">
        <v>1446</v>
      </c>
      <c r="N106" s="111"/>
      <c r="O106" s="112" t="s">
        <v>260</v>
      </c>
      <c r="P106" s="111" t="s">
        <v>314</v>
      </c>
      <c r="Q106" s="112" t="s">
        <v>1447</v>
      </c>
      <c r="R106" s="111"/>
      <c r="S106" s="112" t="s">
        <v>260</v>
      </c>
      <c r="T106" s="113">
        <f>12.23</f>
        <v>12.23</v>
      </c>
      <c r="U106" s="114">
        <f>150</f>
        <v>150</v>
      </c>
      <c r="V106" s="114">
        <v>150</v>
      </c>
      <c r="W106" s="114"/>
      <c r="X106" s="114">
        <f>146010000</f>
        <v>146010000</v>
      </c>
      <c r="Y106" s="114">
        <v>146010000</v>
      </c>
      <c r="Z106" s="115"/>
      <c r="AA106" s="111"/>
      <c r="AB106" s="116">
        <f>100</f>
        <v>100</v>
      </c>
      <c r="AC106" s="116" t="str">
        <f t="shared" si="4"/>
        <v>－</v>
      </c>
      <c r="AD106" s="117" t="str">
        <f t="shared" si="4"/>
        <v>－</v>
      </c>
    </row>
    <row r="107" spans="1:30">
      <c r="A107" s="107" t="s">
        <v>46</v>
      </c>
      <c r="B107" s="108" t="s">
        <v>1365</v>
      </c>
      <c r="C107" s="108" t="s">
        <v>1366</v>
      </c>
      <c r="D107" s="108" t="s">
        <v>754</v>
      </c>
      <c r="E107" s="109" t="s">
        <v>792</v>
      </c>
      <c r="F107" s="109" t="s">
        <v>1451</v>
      </c>
      <c r="G107" s="110">
        <v>72000</v>
      </c>
      <c r="H107" s="111"/>
      <c r="I107" s="112" t="s">
        <v>260</v>
      </c>
      <c r="J107" s="111"/>
      <c r="K107" s="112" t="s">
        <v>260</v>
      </c>
      <c r="L107" s="111" t="s">
        <v>1445</v>
      </c>
      <c r="M107" s="112" t="s">
        <v>1446</v>
      </c>
      <c r="N107" s="111"/>
      <c r="O107" s="112" t="s">
        <v>260</v>
      </c>
      <c r="P107" s="111" t="s">
        <v>314</v>
      </c>
      <c r="Q107" s="112" t="s">
        <v>1447</v>
      </c>
      <c r="R107" s="111"/>
      <c r="S107" s="112" t="s">
        <v>260</v>
      </c>
      <c r="T107" s="113">
        <f>10.56</f>
        <v>10.56</v>
      </c>
      <c r="U107" s="114">
        <f>150</f>
        <v>150</v>
      </c>
      <c r="V107" s="114">
        <v>150</v>
      </c>
      <c r="W107" s="114"/>
      <c r="X107" s="114">
        <f>141300000</f>
        <v>141300000</v>
      </c>
      <c r="Y107" s="114">
        <v>141300000</v>
      </c>
      <c r="Z107" s="115"/>
      <c r="AA107" s="111"/>
      <c r="AB107" s="116">
        <f>100</f>
        <v>100</v>
      </c>
      <c r="AC107" s="116" t="str">
        <f t="shared" si="4"/>
        <v>－</v>
      </c>
      <c r="AD107" s="117" t="str">
        <f t="shared" si="4"/>
        <v>－</v>
      </c>
    </row>
    <row r="108" spans="1:30">
      <c r="A108" s="107" t="s">
        <v>46</v>
      </c>
      <c r="B108" s="108" t="s">
        <v>1365</v>
      </c>
      <c r="C108" s="108" t="s">
        <v>1366</v>
      </c>
      <c r="D108" s="108" t="s">
        <v>169</v>
      </c>
      <c r="E108" s="109" t="s">
        <v>829</v>
      </c>
      <c r="F108" s="109" t="s">
        <v>1452</v>
      </c>
      <c r="G108" s="110">
        <v>74400</v>
      </c>
      <c r="H108" s="111"/>
      <c r="I108" s="112" t="s">
        <v>260</v>
      </c>
      <c r="J108" s="111"/>
      <c r="K108" s="112" t="s">
        <v>260</v>
      </c>
      <c r="L108" s="111" t="s">
        <v>1445</v>
      </c>
      <c r="M108" s="112" t="s">
        <v>1446</v>
      </c>
      <c r="N108" s="111"/>
      <c r="O108" s="112" t="s">
        <v>260</v>
      </c>
      <c r="P108" s="111" t="s">
        <v>1453</v>
      </c>
      <c r="Q108" s="112" t="s">
        <v>1454</v>
      </c>
      <c r="R108" s="111"/>
      <c r="S108" s="112" t="s">
        <v>260</v>
      </c>
      <c r="T108" s="113">
        <f>10.63</f>
        <v>10.63</v>
      </c>
      <c r="U108" s="114">
        <f>100</f>
        <v>100</v>
      </c>
      <c r="V108" s="114">
        <v>100</v>
      </c>
      <c r="W108" s="114"/>
      <c r="X108" s="114">
        <f>103044000</f>
        <v>103044000</v>
      </c>
      <c r="Y108" s="114">
        <v>103044000</v>
      </c>
      <c r="Z108" s="115"/>
      <c r="AA108" s="111"/>
      <c r="AB108" s="116">
        <f>100</f>
        <v>100</v>
      </c>
      <c r="AC108" s="116" t="str">
        <f t="shared" si="4"/>
        <v>－</v>
      </c>
      <c r="AD108" s="117" t="str">
        <f t="shared" si="4"/>
        <v>－</v>
      </c>
    </row>
    <row r="109" spans="1:30">
      <c r="A109" s="107" t="s">
        <v>46</v>
      </c>
      <c r="B109" s="108" t="s">
        <v>1365</v>
      </c>
      <c r="C109" s="108" t="s">
        <v>1366</v>
      </c>
      <c r="D109" s="108" t="s">
        <v>767</v>
      </c>
      <c r="E109" s="109" t="s">
        <v>801</v>
      </c>
      <c r="F109" s="109" t="s">
        <v>1455</v>
      </c>
      <c r="G109" s="110">
        <v>72000</v>
      </c>
      <c r="H109" s="111"/>
      <c r="I109" s="112" t="s">
        <v>260</v>
      </c>
      <c r="J109" s="111"/>
      <c r="K109" s="112" t="s">
        <v>260</v>
      </c>
      <c r="L109" s="111" t="s">
        <v>1445</v>
      </c>
      <c r="M109" s="112" t="s">
        <v>1446</v>
      </c>
      <c r="N109" s="111"/>
      <c r="O109" s="112" t="s">
        <v>260</v>
      </c>
      <c r="P109" s="111" t="s">
        <v>1453</v>
      </c>
      <c r="Q109" s="112" t="s">
        <v>1454</v>
      </c>
      <c r="R109" s="111"/>
      <c r="S109" s="112" t="s">
        <v>260</v>
      </c>
      <c r="T109" s="113">
        <f>11.17</f>
        <v>11.17</v>
      </c>
      <c r="U109" s="114">
        <f>100</f>
        <v>100</v>
      </c>
      <c r="V109" s="114">
        <v>100</v>
      </c>
      <c r="W109" s="114"/>
      <c r="X109" s="114">
        <f>99720000</f>
        <v>99720000</v>
      </c>
      <c r="Y109" s="114">
        <v>99720000</v>
      </c>
      <c r="Z109" s="115"/>
      <c r="AA109" s="111"/>
      <c r="AB109" s="116">
        <f>100</f>
        <v>100</v>
      </c>
      <c r="AC109" s="116" t="str">
        <f t="shared" si="4"/>
        <v>－</v>
      </c>
      <c r="AD109" s="117" t="str">
        <f t="shared" si="4"/>
        <v>－</v>
      </c>
    </row>
    <row r="110" spans="1:30">
      <c r="A110" s="107" t="s">
        <v>46</v>
      </c>
      <c r="B110" s="108" t="s">
        <v>1365</v>
      </c>
      <c r="C110" s="108" t="s">
        <v>1366</v>
      </c>
      <c r="D110" s="108" t="s">
        <v>182</v>
      </c>
      <c r="E110" s="109" t="s">
        <v>803</v>
      </c>
      <c r="F110" s="109" t="s">
        <v>1346</v>
      </c>
      <c r="G110" s="110">
        <v>74400</v>
      </c>
      <c r="H110" s="111" t="s">
        <v>488</v>
      </c>
      <c r="I110" s="112" t="s">
        <v>1456</v>
      </c>
      <c r="J110" s="111" t="s">
        <v>488</v>
      </c>
      <c r="K110" s="112" t="s">
        <v>1456</v>
      </c>
      <c r="L110" s="111" t="s">
        <v>1445</v>
      </c>
      <c r="M110" s="112" t="s">
        <v>1446</v>
      </c>
      <c r="N110" s="111" t="s">
        <v>488</v>
      </c>
      <c r="O110" s="112" t="s">
        <v>1456</v>
      </c>
      <c r="P110" s="111" t="s">
        <v>1453</v>
      </c>
      <c r="Q110" s="112" t="s">
        <v>1454</v>
      </c>
      <c r="R110" s="111" t="s">
        <v>488</v>
      </c>
      <c r="S110" s="112" t="s">
        <v>1456</v>
      </c>
      <c r="T110" s="113">
        <f>13.24</f>
        <v>13.24</v>
      </c>
      <c r="U110" s="114">
        <f>101</f>
        <v>101</v>
      </c>
      <c r="V110" s="114">
        <v>100</v>
      </c>
      <c r="W110" s="114"/>
      <c r="X110" s="114">
        <f>104100480</f>
        <v>104100480</v>
      </c>
      <c r="Y110" s="114">
        <v>103044000</v>
      </c>
      <c r="Z110" s="115"/>
      <c r="AA110" s="111"/>
      <c r="AB110" s="116">
        <f>101</f>
        <v>101</v>
      </c>
      <c r="AC110" s="116" t="str">
        <f t="shared" si="4"/>
        <v>－</v>
      </c>
      <c r="AD110" s="117">
        <f>1</f>
        <v>1</v>
      </c>
    </row>
    <row r="111" spans="1:30">
      <c r="A111" s="107" t="s">
        <v>46</v>
      </c>
      <c r="B111" s="108" t="s">
        <v>1365</v>
      </c>
      <c r="C111" s="108" t="s">
        <v>1366</v>
      </c>
      <c r="D111" s="108" t="s">
        <v>938</v>
      </c>
      <c r="E111" s="109" t="s">
        <v>525</v>
      </c>
      <c r="F111" s="109" t="s">
        <v>1457</v>
      </c>
      <c r="G111" s="110">
        <v>74400</v>
      </c>
      <c r="H111" s="111" t="s">
        <v>497</v>
      </c>
      <c r="I111" s="112" t="s">
        <v>1458</v>
      </c>
      <c r="J111" s="111" t="s">
        <v>488</v>
      </c>
      <c r="K111" s="112" t="s">
        <v>1459</v>
      </c>
      <c r="L111" s="111"/>
      <c r="M111" s="112"/>
      <c r="N111" s="111" t="s">
        <v>497</v>
      </c>
      <c r="O111" s="112" t="s">
        <v>1458</v>
      </c>
      <c r="P111" s="111"/>
      <c r="Q111" s="112"/>
      <c r="R111" s="111" t="s">
        <v>488</v>
      </c>
      <c r="S111" s="112" t="s">
        <v>1459</v>
      </c>
      <c r="T111" s="113">
        <f>14.73</f>
        <v>14.73</v>
      </c>
      <c r="U111" s="114">
        <f>2</f>
        <v>2</v>
      </c>
      <c r="V111" s="114"/>
      <c r="W111" s="114"/>
      <c r="X111" s="114">
        <f>2343600</f>
        <v>2343600</v>
      </c>
      <c r="Y111" s="114"/>
      <c r="Z111" s="115"/>
      <c r="AA111" s="111"/>
      <c r="AB111" s="116">
        <f>2</f>
        <v>2</v>
      </c>
      <c r="AC111" s="116" t="str">
        <f t="shared" si="4"/>
        <v>－</v>
      </c>
      <c r="AD111" s="117">
        <f>2</f>
        <v>2</v>
      </c>
    </row>
    <row r="112" spans="1:30">
      <c r="A112" s="107" t="s">
        <v>46</v>
      </c>
      <c r="B112" s="108" t="s">
        <v>1365</v>
      </c>
      <c r="C112" s="108" t="s">
        <v>1366</v>
      </c>
      <c r="D112" s="108" t="s">
        <v>1359</v>
      </c>
      <c r="E112" s="109" t="s">
        <v>812</v>
      </c>
      <c r="F112" s="109" t="s">
        <v>1460</v>
      </c>
      <c r="G112" s="110">
        <v>67200</v>
      </c>
      <c r="H112" s="111" t="s">
        <v>488</v>
      </c>
      <c r="I112" s="112" t="s">
        <v>1461</v>
      </c>
      <c r="J112" s="111" t="s">
        <v>488</v>
      </c>
      <c r="K112" s="112" t="s">
        <v>1461</v>
      </c>
      <c r="L112" s="111"/>
      <c r="M112" s="112"/>
      <c r="N112" s="111" t="s">
        <v>488</v>
      </c>
      <c r="O112" s="112" t="s">
        <v>1461</v>
      </c>
      <c r="P112" s="111"/>
      <c r="Q112" s="112"/>
      <c r="R112" s="111" t="s">
        <v>488</v>
      </c>
      <c r="S112" s="112" t="s">
        <v>1461</v>
      </c>
      <c r="T112" s="113">
        <f>16.14</f>
        <v>16.14</v>
      </c>
      <c r="U112" s="114">
        <f>1</f>
        <v>1</v>
      </c>
      <c r="V112" s="114"/>
      <c r="W112" s="114"/>
      <c r="X112" s="114">
        <f>1075200</f>
        <v>1075200</v>
      </c>
      <c r="Y112" s="114"/>
      <c r="Z112" s="115"/>
      <c r="AA112" s="111"/>
      <c r="AB112" s="116">
        <f>1</f>
        <v>1</v>
      </c>
      <c r="AC112" s="116" t="str">
        <f t="shared" si="4"/>
        <v>－</v>
      </c>
      <c r="AD112" s="117">
        <f>1</f>
        <v>1</v>
      </c>
    </row>
    <row r="113" spans="1:30">
      <c r="A113" s="107" t="s">
        <v>46</v>
      </c>
      <c r="B113" s="108" t="s">
        <v>1462</v>
      </c>
      <c r="C113" s="108" t="s">
        <v>1463</v>
      </c>
      <c r="D113" s="108" t="s">
        <v>592</v>
      </c>
      <c r="E113" s="109" t="s">
        <v>1367</v>
      </c>
      <c r="F113" s="109" t="s">
        <v>779</v>
      </c>
      <c r="G113" s="110">
        <v>74400</v>
      </c>
      <c r="H113" s="111" t="s">
        <v>460</v>
      </c>
      <c r="I113" s="112" t="s">
        <v>1464</v>
      </c>
      <c r="J113" s="111" t="s">
        <v>1370</v>
      </c>
      <c r="K113" s="112" t="s">
        <v>1465</v>
      </c>
      <c r="L113" s="111" t="s">
        <v>600</v>
      </c>
      <c r="M113" s="112" t="s">
        <v>1466</v>
      </c>
      <c r="N113" s="111" t="s">
        <v>460</v>
      </c>
      <c r="O113" s="112" t="s">
        <v>1464</v>
      </c>
      <c r="P113" s="111" t="s">
        <v>335</v>
      </c>
      <c r="Q113" s="112" t="s">
        <v>1467</v>
      </c>
      <c r="R113" s="111" t="s">
        <v>1370</v>
      </c>
      <c r="S113" s="112" t="s">
        <v>1465</v>
      </c>
      <c r="T113" s="113">
        <f>41.84</f>
        <v>41.84</v>
      </c>
      <c r="U113" s="114">
        <f>132</f>
        <v>132</v>
      </c>
      <c r="V113" s="114">
        <v>130</v>
      </c>
      <c r="W113" s="114"/>
      <c r="X113" s="114">
        <f>204605952</f>
        <v>204605952</v>
      </c>
      <c r="Y113" s="114">
        <v>198194160</v>
      </c>
      <c r="Z113" s="115"/>
      <c r="AA113" s="111" t="s">
        <v>60</v>
      </c>
      <c r="AB113" s="116">
        <f>147</f>
        <v>147</v>
      </c>
      <c r="AC113" s="116" t="str">
        <f t="shared" si="4"/>
        <v>－</v>
      </c>
      <c r="AD113" s="117">
        <f>2</f>
        <v>2</v>
      </c>
    </row>
    <row r="114" spans="1:30">
      <c r="A114" s="107" t="s">
        <v>46</v>
      </c>
      <c r="B114" s="108" t="s">
        <v>1462</v>
      </c>
      <c r="C114" s="108" t="s">
        <v>1463</v>
      </c>
      <c r="D114" s="108" t="s">
        <v>49</v>
      </c>
      <c r="E114" s="109" t="s">
        <v>1373</v>
      </c>
      <c r="F114" s="109" t="s">
        <v>781</v>
      </c>
      <c r="G114" s="110">
        <v>67200</v>
      </c>
      <c r="H114" s="111" t="s">
        <v>52</v>
      </c>
      <c r="I114" s="112" t="s">
        <v>1468</v>
      </c>
      <c r="J114" s="111" t="s">
        <v>52</v>
      </c>
      <c r="K114" s="112" t="s">
        <v>1469</v>
      </c>
      <c r="L114" s="111"/>
      <c r="M114" s="112"/>
      <c r="N114" s="111" t="s">
        <v>52</v>
      </c>
      <c r="O114" s="112" t="s">
        <v>1468</v>
      </c>
      <c r="P114" s="111"/>
      <c r="Q114" s="112"/>
      <c r="R114" s="111" t="s">
        <v>52</v>
      </c>
      <c r="S114" s="112" t="s">
        <v>1469</v>
      </c>
      <c r="T114" s="113">
        <f>16.5</f>
        <v>16.5</v>
      </c>
      <c r="U114" s="114">
        <f>19</f>
        <v>19</v>
      </c>
      <c r="V114" s="114"/>
      <c r="W114" s="114"/>
      <c r="X114" s="114">
        <f>18150720</f>
        <v>18150720</v>
      </c>
      <c r="Y114" s="114"/>
      <c r="Z114" s="115"/>
      <c r="AA114" s="111" t="s">
        <v>60</v>
      </c>
      <c r="AB114" s="116">
        <f>144</f>
        <v>144</v>
      </c>
      <c r="AC114" s="116" t="str">
        <f t="shared" si="4"/>
        <v>－</v>
      </c>
      <c r="AD114" s="117">
        <f>1</f>
        <v>1</v>
      </c>
    </row>
    <row r="115" spans="1:30">
      <c r="A115" s="107" t="s">
        <v>46</v>
      </c>
      <c r="B115" s="108" t="s">
        <v>1462</v>
      </c>
      <c r="C115" s="108" t="s">
        <v>1463</v>
      </c>
      <c r="D115" s="108" t="s">
        <v>612</v>
      </c>
      <c r="E115" s="109" t="s">
        <v>1378</v>
      </c>
      <c r="F115" s="109" t="s">
        <v>1379</v>
      </c>
      <c r="G115" s="110">
        <v>74400</v>
      </c>
      <c r="H115" s="111" t="s">
        <v>602</v>
      </c>
      <c r="I115" s="112" t="s">
        <v>1470</v>
      </c>
      <c r="J115" s="111" t="s">
        <v>602</v>
      </c>
      <c r="K115" s="112" t="s">
        <v>1470</v>
      </c>
      <c r="L115" s="111"/>
      <c r="M115" s="112"/>
      <c r="N115" s="111" t="s">
        <v>276</v>
      </c>
      <c r="O115" s="112" t="s">
        <v>1384</v>
      </c>
      <c r="P115" s="111"/>
      <c r="Q115" s="112"/>
      <c r="R115" s="111" t="s">
        <v>276</v>
      </c>
      <c r="S115" s="112" t="s">
        <v>1384</v>
      </c>
      <c r="T115" s="113">
        <f>7.8</f>
        <v>7.8</v>
      </c>
      <c r="U115" s="114">
        <f>5</f>
        <v>5</v>
      </c>
      <c r="V115" s="114"/>
      <c r="W115" s="114"/>
      <c r="X115" s="114">
        <f>3176880</f>
        <v>3176880</v>
      </c>
      <c r="Y115" s="114"/>
      <c r="Z115" s="115"/>
      <c r="AA115" s="111" t="s">
        <v>60</v>
      </c>
      <c r="AB115" s="116">
        <f>15</f>
        <v>15</v>
      </c>
      <c r="AC115" s="116" t="str">
        <f t="shared" si="4"/>
        <v>－</v>
      </c>
      <c r="AD115" s="117">
        <f>2</f>
        <v>2</v>
      </c>
    </row>
    <row r="116" spans="1:30">
      <c r="A116" s="107" t="s">
        <v>46</v>
      </c>
      <c r="B116" s="108" t="s">
        <v>1462</v>
      </c>
      <c r="C116" s="108" t="s">
        <v>1463</v>
      </c>
      <c r="D116" s="108" t="s">
        <v>61</v>
      </c>
      <c r="E116" s="109" t="s">
        <v>1387</v>
      </c>
      <c r="F116" s="109" t="s">
        <v>1388</v>
      </c>
      <c r="G116" s="110">
        <v>72000</v>
      </c>
      <c r="H116" s="111"/>
      <c r="I116" s="112" t="s">
        <v>260</v>
      </c>
      <c r="J116" s="111"/>
      <c r="K116" s="112" t="s">
        <v>260</v>
      </c>
      <c r="L116" s="111" t="s">
        <v>1233</v>
      </c>
      <c r="M116" s="112" t="s">
        <v>1396</v>
      </c>
      <c r="N116" s="111"/>
      <c r="O116" s="112" t="s">
        <v>260</v>
      </c>
      <c r="P116" s="111" t="s">
        <v>1039</v>
      </c>
      <c r="Q116" s="112" t="s">
        <v>1471</v>
      </c>
      <c r="R116" s="111"/>
      <c r="S116" s="112" t="s">
        <v>260</v>
      </c>
      <c r="T116" s="113">
        <f>6.36</f>
        <v>6.36</v>
      </c>
      <c r="U116" s="114">
        <f>28</f>
        <v>28</v>
      </c>
      <c r="V116" s="114">
        <v>28</v>
      </c>
      <c r="W116" s="114"/>
      <c r="X116" s="114">
        <f>15768000</f>
        <v>15768000</v>
      </c>
      <c r="Y116" s="114">
        <v>15768000</v>
      </c>
      <c r="Z116" s="115"/>
      <c r="AA116" s="111" t="s">
        <v>60</v>
      </c>
      <c r="AB116" s="116">
        <f>28</f>
        <v>28</v>
      </c>
      <c r="AC116" s="116" t="str">
        <f t="shared" si="4"/>
        <v>－</v>
      </c>
      <c r="AD116" s="117" t="str">
        <f>"－"</f>
        <v>－</v>
      </c>
    </row>
    <row r="117" spans="1:30">
      <c r="A117" s="107" t="s">
        <v>46</v>
      </c>
      <c r="B117" s="108" t="s">
        <v>1462</v>
      </c>
      <c r="C117" s="108" t="s">
        <v>1463</v>
      </c>
      <c r="D117" s="108" t="s">
        <v>633</v>
      </c>
      <c r="E117" s="109" t="s">
        <v>1391</v>
      </c>
      <c r="F117" s="109" t="s">
        <v>1392</v>
      </c>
      <c r="G117" s="110">
        <v>74400</v>
      </c>
      <c r="H117" s="111" t="s">
        <v>128</v>
      </c>
      <c r="I117" s="112" t="s">
        <v>1472</v>
      </c>
      <c r="J117" s="111" t="s">
        <v>1473</v>
      </c>
      <c r="K117" s="112" t="s">
        <v>1474</v>
      </c>
      <c r="L117" s="111" t="s">
        <v>1233</v>
      </c>
      <c r="M117" s="112" t="s">
        <v>1396</v>
      </c>
      <c r="N117" s="111" t="s">
        <v>128</v>
      </c>
      <c r="O117" s="112" t="s">
        <v>1472</v>
      </c>
      <c r="P117" s="111" t="s">
        <v>1039</v>
      </c>
      <c r="Q117" s="112" t="s">
        <v>1471</v>
      </c>
      <c r="R117" s="111" t="s">
        <v>1473</v>
      </c>
      <c r="S117" s="112" t="s">
        <v>1474</v>
      </c>
      <c r="T117" s="113">
        <f>6.37</f>
        <v>6.37</v>
      </c>
      <c r="U117" s="114">
        <f>43</f>
        <v>43</v>
      </c>
      <c r="V117" s="114">
        <v>28</v>
      </c>
      <c r="W117" s="114"/>
      <c r="X117" s="114">
        <f>24522240</f>
        <v>24522240</v>
      </c>
      <c r="Y117" s="114">
        <v>16293600</v>
      </c>
      <c r="Z117" s="115"/>
      <c r="AA117" s="111" t="s">
        <v>60</v>
      </c>
      <c r="AB117" s="116">
        <f>43</f>
        <v>43</v>
      </c>
      <c r="AC117" s="116" t="str">
        <f t="shared" si="4"/>
        <v>－</v>
      </c>
      <c r="AD117" s="117">
        <f>2</f>
        <v>2</v>
      </c>
    </row>
    <row r="118" spans="1:30">
      <c r="A118" s="107" t="s">
        <v>46</v>
      </c>
      <c r="B118" s="108" t="s">
        <v>1462</v>
      </c>
      <c r="C118" s="108" t="s">
        <v>1463</v>
      </c>
      <c r="D118" s="108" t="s">
        <v>72</v>
      </c>
      <c r="E118" s="109" t="s">
        <v>1397</v>
      </c>
      <c r="F118" s="109" t="s">
        <v>1398</v>
      </c>
      <c r="G118" s="110">
        <v>72000</v>
      </c>
      <c r="H118" s="111" t="s">
        <v>128</v>
      </c>
      <c r="I118" s="112" t="s">
        <v>1474</v>
      </c>
      <c r="J118" s="111" t="s">
        <v>1475</v>
      </c>
      <c r="K118" s="112" t="s">
        <v>1476</v>
      </c>
      <c r="L118" s="111" t="s">
        <v>1233</v>
      </c>
      <c r="M118" s="112" t="s">
        <v>1396</v>
      </c>
      <c r="N118" s="111" t="s">
        <v>128</v>
      </c>
      <c r="O118" s="112" t="s">
        <v>1474</v>
      </c>
      <c r="P118" s="111" t="s">
        <v>1039</v>
      </c>
      <c r="Q118" s="112" t="s">
        <v>1471</v>
      </c>
      <c r="R118" s="111" t="s">
        <v>1475</v>
      </c>
      <c r="S118" s="112" t="s">
        <v>1476</v>
      </c>
      <c r="T118" s="113">
        <f>7.43</f>
        <v>7.43</v>
      </c>
      <c r="U118" s="114">
        <f>88</f>
        <v>88</v>
      </c>
      <c r="V118" s="114">
        <v>28</v>
      </c>
      <c r="W118" s="114"/>
      <c r="X118" s="114">
        <f>50220000</f>
        <v>50220000</v>
      </c>
      <c r="Y118" s="114">
        <v>15768000</v>
      </c>
      <c r="Z118" s="115"/>
      <c r="AA118" s="111" t="s">
        <v>60</v>
      </c>
      <c r="AB118" s="116">
        <f>88</f>
        <v>88</v>
      </c>
      <c r="AC118" s="116" t="str">
        <f t="shared" si="4"/>
        <v>－</v>
      </c>
      <c r="AD118" s="117">
        <f>4</f>
        <v>4</v>
      </c>
    </row>
    <row r="119" spans="1:30">
      <c r="A119" s="107" t="s">
        <v>46</v>
      </c>
      <c r="B119" s="108" t="s">
        <v>1462</v>
      </c>
      <c r="C119" s="108" t="s">
        <v>1463</v>
      </c>
      <c r="D119" s="108" t="s">
        <v>651</v>
      </c>
      <c r="E119" s="109" t="s">
        <v>1404</v>
      </c>
      <c r="F119" s="109" t="s">
        <v>794</v>
      </c>
      <c r="G119" s="110">
        <v>74400</v>
      </c>
      <c r="H119" s="111" t="s">
        <v>137</v>
      </c>
      <c r="I119" s="112" t="s">
        <v>1477</v>
      </c>
      <c r="J119" s="111" t="s">
        <v>1407</v>
      </c>
      <c r="K119" s="112" t="s">
        <v>1478</v>
      </c>
      <c r="L119" s="111" t="s">
        <v>78</v>
      </c>
      <c r="M119" s="112" t="s">
        <v>1479</v>
      </c>
      <c r="N119" s="111" t="s">
        <v>84</v>
      </c>
      <c r="O119" s="112" t="s">
        <v>1480</v>
      </c>
      <c r="P119" s="111" t="s">
        <v>1039</v>
      </c>
      <c r="Q119" s="112" t="s">
        <v>1471</v>
      </c>
      <c r="R119" s="111" t="s">
        <v>1409</v>
      </c>
      <c r="S119" s="112" t="s">
        <v>1481</v>
      </c>
      <c r="T119" s="113">
        <f>9.35</f>
        <v>9.35</v>
      </c>
      <c r="U119" s="114">
        <f>340</f>
        <v>340</v>
      </c>
      <c r="V119" s="114">
        <v>251</v>
      </c>
      <c r="W119" s="114"/>
      <c r="X119" s="114">
        <f>281380800</f>
        <v>281380800</v>
      </c>
      <c r="Y119" s="114">
        <v>210637560</v>
      </c>
      <c r="Z119" s="115"/>
      <c r="AA119" s="111" t="s">
        <v>60</v>
      </c>
      <c r="AB119" s="116">
        <f>299</f>
        <v>299</v>
      </c>
      <c r="AC119" s="116" t="str">
        <f t="shared" si="4"/>
        <v>－</v>
      </c>
      <c r="AD119" s="117">
        <f>9</f>
        <v>9</v>
      </c>
    </row>
    <row r="120" spans="1:30">
      <c r="A120" s="107" t="s">
        <v>46</v>
      </c>
      <c r="B120" s="108" t="s">
        <v>1462</v>
      </c>
      <c r="C120" s="108" t="s">
        <v>1463</v>
      </c>
      <c r="D120" s="108" t="s">
        <v>86</v>
      </c>
      <c r="E120" s="109" t="s">
        <v>1411</v>
      </c>
      <c r="F120" s="109" t="s">
        <v>1412</v>
      </c>
      <c r="G120" s="110">
        <v>74400</v>
      </c>
      <c r="H120" s="111" t="s">
        <v>137</v>
      </c>
      <c r="I120" s="112" t="s">
        <v>1482</v>
      </c>
      <c r="J120" s="111" t="s">
        <v>314</v>
      </c>
      <c r="K120" s="112" t="s">
        <v>1483</v>
      </c>
      <c r="L120" s="111" t="s">
        <v>78</v>
      </c>
      <c r="M120" s="112" t="s">
        <v>1479</v>
      </c>
      <c r="N120" s="111" t="s">
        <v>474</v>
      </c>
      <c r="O120" s="112" t="s">
        <v>1418</v>
      </c>
      <c r="P120" s="111" t="s">
        <v>1039</v>
      </c>
      <c r="Q120" s="112" t="s">
        <v>1471</v>
      </c>
      <c r="R120" s="111" t="s">
        <v>1409</v>
      </c>
      <c r="S120" s="112" t="s">
        <v>1484</v>
      </c>
      <c r="T120" s="113">
        <f>10.26</f>
        <v>10.26</v>
      </c>
      <c r="U120" s="114">
        <f>286</f>
        <v>286</v>
      </c>
      <c r="V120" s="114">
        <v>246</v>
      </c>
      <c r="W120" s="114"/>
      <c r="X120" s="114">
        <f>239661000</f>
        <v>239661000</v>
      </c>
      <c r="Y120" s="114">
        <v>206381880</v>
      </c>
      <c r="Z120" s="115"/>
      <c r="AA120" s="111" t="s">
        <v>60</v>
      </c>
      <c r="AB120" s="116">
        <f>275</f>
        <v>275</v>
      </c>
      <c r="AC120" s="116" t="str">
        <f t="shared" si="4"/>
        <v>－</v>
      </c>
      <c r="AD120" s="117">
        <f>6</f>
        <v>6</v>
      </c>
    </row>
    <row r="121" spans="1:30">
      <c r="A121" s="107" t="s">
        <v>46</v>
      </c>
      <c r="B121" s="108" t="s">
        <v>1462</v>
      </c>
      <c r="C121" s="108" t="s">
        <v>1463</v>
      </c>
      <c r="D121" s="108" t="s">
        <v>669</v>
      </c>
      <c r="E121" s="109" t="s">
        <v>1416</v>
      </c>
      <c r="F121" s="109" t="s">
        <v>1417</v>
      </c>
      <c r="G121" s="110">
        <v>72000</v>
      </c>
      <c r="H121" s="111" t="s">
        <v>280</v>
      </c>
      <c r="I121" s="112" t="s">
        <v>1476</v>
      </c>
      <c r="J121" s="111" t="s">
        <v>1294</v>
      </c>
      <c r="K121" s="112" t="s">
        <v>1485</v>
      </c>
      <c r="L121" s="111" t="s">
        <v>78</v>
      </c>
      <c r="M121" s="112" t="s">
        <v>1479</v>
      </c>
      <c r="N121" s="111" t="s">
        <v>280</v>
      </c>
      <c r="O121" s="112" t="s">
        <v>1476</v>
      </c>
      <c r="P121" s="111" t="s">
        <v>1039</v>
      </c>
      <c r="Q121" s="112" t="s">
        <v>1471</v>
      </c>
      <c r="R121" s="111" t="s">
        <v>1294</v>
      </c>
      <c r="S121" s="112" t="s">
        <v>1485</v>
      </c>
      <c r="T121" s="113">
        <f>8.86</f>
        <v>8.86</v>
      </c>
      <c r="U121" s="114">
        <f>327</f>
        <v>327</v>
      </c>
      <c r="V121" s="114">
        <v>296</v>
      </c>
      <c r="W121" s="114"/>
      <c r="X121" s="114">
        <f>253272240</f>
        <v>253272240</v>
      </c>
      <c r="Y121" s="114">
        <v>231404400</v>
      </c>
      <c r="Z121" s="115"/>
      <c r="AA121" s="111" t="s">
        <v>60</v>
      </c>
      <c r="AB121" s="116">
        <f>312</f>
        <v>312</v>
      </c>
      <c r="AC121" s="116" t="str">
        <f t="shared" si="4"/>
        <v>－</v>
      </c>
      <c r="AD121" s="117">
        <f>8</f>
        <v>8</v>
      </c>
    </row>
    <row r="122" spans="1:30">
      <c r="A122" s="107" t="s">
        <v>46</v>
      </c>
      <c r="B122" s="108" t="s">
        <v>1462</v>
      </c>
      <c r="C122" s="108" t="s">
        <v>1463</v>
      </c>
      <c r="D122" s="108" t="s">
        <v>97</v>
      </c>
      <c r="E122" s="109" t="s">
        <v>1421</v>
      </c>
      <c r="F122" s="109" t="s">
        <v>805</v>
      </c>
      <c r="G122" s="110">
        <v>74400</v>
      </c>
      <c r="H122" s="111" t="s">
        <v>137</v>
      </c>
      <c r="I122" s="112" t="s">
        <v>1486</v>
      </c>
      <c r="J122" s="111" t="s">
        <v>92</v>
      </c>
      <c r="K122" s="112" t="s">
        <v>1487</v>
      </c>
      <c r="L122" s="111" t="s">
        <v>1233</v>
      </c>
      <c r="M122" s="112" t="s">
        <v>1396</v>
      </c>
      <c r="N122" s="111" t="s">
        <v>137</v>
      </c>
      <c r="O122" s="112" t="s">
        <v>1486</v>
      </c>
      <c r="P122" s="111" t="s">
        <v>1039</v>
      </c>
      <c r="Q122" s="112" t="s">
        <v>1471</v>
      </c>
      <c r="R122" s="111" t="s">
        <v>1488</v>
      </c>
      <c r="S122" s="112" t="s">
        <v>1489</v>
      </c>
      <c r="T122" s="113">
        <f>8.4</f>
        <v>8.4</v>
      </c>
      <c r="U122" s="114">
        <f>100</f>
        <v>100</v>
      </c>
      <c r="V122" s="114">
        <v>28</v>
      </c>
      <c r="W122" s="114"/>
      <c r="X122" s="114">
        <f>62593464</f>
        <v>62593464</v>
      </c>
      <c r="Y122" s="114">
        <v>16293600</v>
      </c>
      <c r="Z122" s="115"/>
      <c r="AA122" s="111" t="s">
        <v>60</v>
      </c>
      <c r="AB122" s="116">
        <f>100</f>
        <v>100</v>
      </c>
      <c r="AC122" s="116" t="str">
        <f t="shared" si="4"/>
        <v>－</v>
      </c>
      <c r="AD122" s="117">
        <f>4</f>
        <v>4</v>
      </c>
    </row>
    <row r="123" spans="1:30">
      <c r="A123" s="107" t="s">
        <v>46</v>
      </c>
      <c r="B123" s="108" t="s">
        <v>1462</v>
      </c>
      <c r="C123" s="108" t="s">
        <v>1463</v>
      </c>
      <c r="D123" s="108" t="s">
        <v>524</v>
      </c>
      <c r="E123" s="109" t="s">
        <v>1424</v>
      </c>
      <c r="F123" s="109" t="s">
        <v>1425</v>
      </c>
      <c r="G123" s="110">
        <v>72000</v>
      </c>
      <c r="H123" s="111" t="s">
        <v>1279</v>
      </c>
      <c r="I123" s="112" t="s">
        <v>1490</v>
      </c>
      <c r="J123" s="111" t="s">
        <v>1193</v>
      </c>
      <c r="K123" s="112" t="s">
        <v>1491</v>
      </c>
      <c r="L123" s="111" t="s">
        <v>1445</v>
      </c>
      <c r="M123" s="112" t="s">
        <v>1492</v>
      </c>
      <c r="N123" s="111" t="s">
        <v>1279</v>
      </c>
      <c r="O123" s="112" t="s">
        <v>1490</v>
      </c>
      <c r="P123" s="111" t="s">
        <v>1039</v>
      </c>
      <c r="Q123" s="112" t="s">
        <v>1471</v>
      </c>
      <c r="R123" s="111" t="s">
        <v>265</v>
      </c>
      <c r="S123" s="112" t="s">
        <v>1491</v>
      </c>
      <c r="T123" s="113">
        <f>10.05</f>
        <v>10.050000000000001</v>
      </c>
      <c r="U123" s="114">
        <f>201</f>
        <v>201</v>
      </c>
      <c r="V123" s="114">
        <v>48</v>
      </c>
      <c r="W123" s="114"/>
      <c r="X123" s="114">
        <f>171360000</f>
        <v>171360000</v>
      </c>
      <c r="Y123" s="114">
        <v>47304000</v>
      </c>
      <c r="Z123" s="115"/>
      <c r="AA123" s="111" t="s">
        <v>60</v>
      </c>
      <c r="AB123" s="116">
        <f>201</f>
        <v>201</v>
      </c>
      <c r="AC123" s="116" t="str">
        <f t="shared" si="4"/>
        <v>－</v>
      </c>
      <c r="AD123" s="117">
        <f>7</f>
        <v>7</v>
      </c>
    </row>
    <row r="124" spans="1:30">
      <c r="A124" s="107" t="s">
        <v>46</v>
      </c>
      <c r="B124" s="108" t="s">
        <v>1462</v>
      </c>
      <c r="C124" s="108" t="s">
        <v>1463</v>
      </c>
      <c r="D124" s="108" t="s">
        <v>109</v>
      </c>
      <c r="E124" s="109" t="s">
        <v>1430</v>
      </c>
      <c r="F124" s="109" t="s">
        <v>821</v>
      </c>
      <c r="G124" s="110">
        <v>74400</v>
      </c>
      <c r="H124" s="111" t="s">
        <v>102</v>
      </c>
      <c r="I124" s="112" t="s">
        <v>1493</v>
      </c>
      <c r="J124" s="111" t="s">
        <v>698</v>
      </c>
      <c r="K124" s="112" t="s">
        <v>1494</v>
      </c>
      <c r="L124" s="111" t="s">
        <v>1445</v>
      </c>
      <c r="M124" s="112" t="s">
        <v>1495</v>
      </c>
      <c r="N124" s="111" t="s">
        <v>102</v>
      </c>
      <c r="O124" s="112" t="s">
        <v>1493</v>
      </c>
      <c r="P124" s="111" t="s">
        <v>1039</v>
      </c>
      <c r="Q124" s="112" t="s">
        <v>1471</v>
      </c>
      <c r="R124" s="111" t="s">
        <v>698</v>
      </c>
      <c r="S124" s="112" t="s">
        <v>1494</v>
      </c>
      <c r="T124" s="113">
        <f>13.13</f>
        <v>13.13</v>
      </c>
      <c r="U124" s="114">
        <f>410</f>
        <v>410</v>
      </c>
      <c r="V124" s="114">
        <v>344</v>
      </c>
      <c r="W124" s="114"/>
      <c r="X124" s="114">
        <f>593615280</f>
        <v>593615280</v>
      </c>
      <c r="Y124" s="114">
        <v>518411760</v>
      </c>
      <c r="Z124" s="115"/>
      <c r="AA124" s="111" t="s">
        <v>60</v>
      </c>
      <c r="AB124" s="116">
        <f>170</f>
        <v>170</v>
      </c>
      <c r="AC124" s="116" t="str">
        <f t="shared" si="4"/>
        <v>－</v>
      </c>
      <c r="AD124" s="117">
        <f>5</f>
        <v>5</v>
      </c>
    </row>
    <row r="125" spans="1:30">
      <c r="A125" s="107" t="s">
        <v>46</v>
      </c>
      <c r="B125" s="108" t="s">
        <v>1462</v>
      </c>
      <c r="C125" s="108" t="s">
        <v>1463</v>
      </c>
      <c r="D125" s="108" t="s">
        <v>544</v>
      </c>
      <c r="E125" s="109" t="s">
        <v>784</v>
      </c>
      <c r="F125" s="109" t="s">
        <v>1435</v>
      </c>
      <c r="G125" s="110">
        <v>74400</v>
      </c>
      <c r="H125" s="111" t="s">
        <v>415</v>
      </c>
      <c r="I125" s="112" t="s">
        <v>1436</v>
      </c>
      <c r="J125" s="111" t="s">
        <v>528</v>
      </c>
      <c r="K125" s="112" t="s">
        <v>1496</v>
      </c>
      <c r="L125" s="111" t="s">
        <v>539</v>
      </c>
      <c r="M125" s="112" t="s">
        <v>1433</v>
      </c>
      <c r="N125" s="111" t="s">
        <v>415</v>
      </c>
      <c r="O125" s="112" t="s">
        <v>1436</v>
      </c>
      <c r="P125" s="111" t="s">
        <v>1039</v>
      </c>
      <c r="Q125" s="112" t="s">
        <v>1471</v>
      </c>
      <c r="R125" s="111" t="s">
        <v>1200</v>
      </c>
      <c r="S125" s="112" t="s">
        <v>1497</v>
      </c>
      <c r="T125" s="113">
        <f>14.92</f>
        <v>14.92</v>
      </c>
      <c r="U125" s="114">
        <f>515</f>
        <v>515</v>
      </c>
      <c r="V125" s="114">
        <v>472</v>
      </c>
      <c r="W125" s="114"/>
      <c r="X125" s="114">
        <f>835264992</f>
        <v>835264992</v>
      </c>
      <c r="Y125" s="114">
        <v>760681968</v>
      </c>
      <c r="Z125" s="115"/>
      <c r="AA125" s="111"/>
      <c r="AB125" s="116">
        <f>250</f>
        <v>250</v>
      </c>
      <c r="AC125" s="116" t="str">
        <f t="shared" si="4"/>
        <v>－</v>
      </c>
      <c r="AD125" s="117">
        <f>6</f>
        <v>6</v>
      </c>
    </row>
    <row r="126" spans="1:30">
      <c r="A126" s="107" t="s">
        <v>46</v>
      </c>
      <c r="B126" s="108" t="s">
        <v>1462</v>
      </c>
      <c r="C126" s="108" t="s">
        <v>1463</v>
      </c>
      <c r="D126" s="108" t="s">
        <v>122</v>
      </c>
      <c r="E126" s="109" t="s">
        <v>1439</v>
      </c>
      <c r="F126" s="109" t="s">
        <v>1078</v>
      </c>
      <c r="G126" s="110">
        <v>67200</v>
      </c>
      <c r="H126" s="111" t="s">
        <v>415</v>
      </c>
      <c r="I126" s="112" t="s">
        <v>1436</v>
      </c>
      <c r="J126" s="111" t="s">
        <v>698</v>
      </c>
      <c r="K126" s="112" t="s">
        <v>1494</v>
      </c>
      <c r="L126" s="111" t="s">
        <v>172</v>
      </c>
      <c r="M126" s="112" t="s">
        <v>1498</v>
      </c>
      <c r="N126" s="111" t="s">
        <v>415</v>
      </c>
      <c r="O126" s="112" t="s">
        <v>1436</v>
      </c>
      <c r="P126" s="111" t="s">
        <v>1039</v>
      </c>
      <c r="Q126" s="112" t="s">
        <v>1471</v>
      </c>
      <c r="R126" s="111" t="s">
        <v>698</v>
      </c>
      <c r="S126" s="112" t="s">
        <v>1494</v>
      </c>
      <c r="T126" s="113">
        <f>14.64</f>
        <v>14.64</v>
      </c>
      <c r="U126" s="114">
        <f>364</f>
        <v>364</v>
      </c>
      <c r="V126" s="114">
        <v>353</v>
      </c>
      <c r="W126" s="114"/>
      <c r="X126" s="114">
        <f>495429984</f>
        <v>495429984</v>
      </c>
      <c r="Y126" s="114">
        <v>483636384</v>
      </c>
      <c r="Z126" s="115"/>
      <c r="AA126" s="111"/>
      <c r="AB126" s="116">
        <f>154</f>
        <v>154</v>
      </c>
      <c r="AC126" s="116" t="str">
        <f t="shared" si="4"/>
        <v>－</v>
      </c>
      <c r="AD126" s="117">
        <f>2</f>
        <v>2</v>
      </c>
    </row>
    <row r="127" spans="1:30">
      <c r="A127" s="107" t="s">
        <v>46</v>
      </c>
      <c r="B127" s="108" t="s">
        <v>1462</v>
      </c>
      <c r="C127" s="108" t="s">
        <v>1463</v>
      </c>
      <c r="D127" s="108" t="s">
        <v>557</v>
      </c>
      <c r="E127" s="109" t="s">
        <v>791</v>
      </c>
      <c r="F127" s="109" t="s">
        <v>1441</v>
      </c>
      <c r="G127" s="110">
        <v>74400</v>
      </c>
      <c r="H127" s="111" t="s">
        <v>1200</v>
      </c>
      <c r="I127" s="112" t="s">
        <v>1461</v>
      </c>
      <c r="J127" s="111" t="s">
        <v>565</v>
      </c>
      <c r="K127" s="112" t="s">
        <v>1444</v>
      </c>
      <c r="L127" s="111" t="s">
        <v>1445</v>
      </c>
      <c r="M127" s="112" t="s">
        <v>1492</v>
      </c>
      <c r="N127" s="111" t="s">
        <v>1200</v>
      </c>
      <c r="O127" s="112" t="s">
        <v>1461</v>
      </c>
      <c r="P127" s="111" t="s">
        <v>1039</v>
      </c>
      <c r="Q127" s="112" t="s">
        <v>1471</v>
      </c>
      <c r="R127" s="111" t="s">
        <v>565</v>
      </c>
      <c r="S127" s="112" t="s">
        <v>1444</v>
      </c>
      <c r="T127" s="113">
        <f>9.89</f>
        <v>9.89</v>
      </c>
      <c r="U127" s="114">
        <f>58</f>
        <v>58</v>
      </c>
      <c r="V127" s="114">
        <v>38</v>
      </c>
      <c r="W127" s="114"/>
      <c r="X127" s="114">
        <f>59817600</f>
        <v>59817600</v>
      </c>
      <c r="Y127" s="114">
        <v>34521600</v>
      </c>
      <c r="Z127" s="115"/>
      <c r="AA127" s="111"/>
      <c r="AB127" s="116">
        <f>58</f>
        <v>58</v>
      </c>
      <c r="AC127" s="116" t="str">
        <f t="shared" si="4"/>
        <v>－</v>
      </c>
      <c r="AD127" s="117">
        <f>2</f>
        <v>2</v>
      </c>
    </row>
    <row r="128" spans="1:30">
      <c r="A128" s="107" t="s">
        <v>46</v>
      </c>
      <c r="B128" s="108" t="s">
        <v>1462</v>
      </c>
      <c r="C128" s="108" t="s">
        <v>1463</v>
      </c>
      <c r="D128" s="108" t="s">
        <v>134</v>
      </c>
      <c r="E128" s="109" t="s">
        <v>793</v>
      </c>
      <c r="F128" s="109" t="s">
        <v>843</v>
      </c>
      <c r="G128" s="110">
        <v>72000</v>
      </c>
      <c r="H128" s="111"/>
      <c r="I128" s="112" t="s">
        <v>260</v>
      </c>
      <c r="J128" s="111"/>
      <c r="K128" s="112" t="s">
        <v>260</v>
      </c>
      <c r="L128" s="111"/>
      <c r="M128" s="112"/>
      <c r="N128" s="111"/>
      <c r="O128" s="112" t="s">
        <v>260</v>
      </c>
      <c r="P128" s="111"/>
      <c r="Q128" s="112"/>
      <c r="R128" s="111"/>
      <c r="S128" s="112" t="s">
        <v>260</v>
      </c>
      <c r="T128" s="113">
        <f>8.01</f>
        <v>8.01</v>
      </c>
      <c r="U128" s="114" t="str">
        <f t="shared" ref="U128:U138" si="5">"－"</f>
        <v>－</v>
      </c>
      <c r="V128" s="114"/>
      <c r="W128" s="114"/>
      <c r="X128" s="114" t="str">
        <f t="shared" ref="X128:X138" si="6">"－"</f>
        <v>－</v>
      </c>
      <c r="Y128" s="114"/>
      <c r="Z128" s="115"/>
      <c r="AA128" s="111"/>
      <c r="AB128" s="116" t="str">
        <f t="shared" ref="AB128:AD143" si="7">"－"</f>
        <v>－</v>
      </c>
      <c r="AC128" s="116" t="str">
        <f t="shared" si="4"/>
        <v>－</v>
      </c>
      <c r="AD128" s="117" t="str">
        <f t="shared" si="4"/>
        <v>－</v>
      </c>
    </row>
    <row r="129" spans="1:30">
      <c r="A129" s="107" t="s">
        <v>46</v>
      </c>
      <c r="B129" s="108" t="s">
        <v>1462</v>
      </c>
      <c r="C129" s="108" t="s">
        <v>1463</v>
      </c>
      <c r="D129" s="108" t="s">
        <v>577</v>
      </c>
      <c r="E129" s="109" t="s">
        <v>800</v>
      </c>
      <c r="F129" s="109" t="s">
        <v>1448</v>
      </c>
      <c r="G129" s="110">
        <v>74400</v>
      </c>
      <c r="H129" s="111"/>
      <c r="I129" s="112" t="s">
        <v>260</v>
      </c>
      <c r="J129" s="111"/>
      <c r="K129" s="112" t="s">
        <v>260</v>
      </c>
      <c r="L129" s="111"/>
      <c r="M129" s="112"/>
      <c r="N129" s="111"/>
      <c r="O129" s="112" t="s">
        <v>260</v>
      </c>
      <c r="P129" s="111"/>
      <c r="Q129" s="112"/>
      <c r="R129" s="111"/>
      <c r="S129" s="112" t="s">
        <v>260</v>
      </c>
      <c r="T129" s="113">
        <f>8.49</f>
        <v>8.49</v>
      </c>
      <c r="U129" s="114" t="str">
        <f t="shared" si="5"/>
        <v>－</v>
      </c>
      <c r="V129" s="114"/>
      <c r="W129" s="114"/>
      <c r="X129" s="114" t="str">
        <f t="shared" si="6"/>
        <v>－</v>
      </c>
      <c r="Y129" s="114"/>
      <c r="Z129" s="115"/>
      <c r="AA129" s="111"/>
      <c r="AB129" s="116" t="str">
        <f t="shared" si="7"/>
        <v>－</v>
      </c>
      <c r="AC129" s="116" t="str">
        <f t="shared" si="4"/>
        <v>－</v>
      </c>
      <c r="AD129" s="117" t="str">
        <f t="shared" si="4"/>
        <v>－</v>
      </c>
    </row>
    <row r="130" spans="1:30">
      <c r="A130" s="107" t="s">
        <v>46</v>
      </c>
      <c r="B130" s="108" t="s">
        <v>1462</v>
      </c>
      <c r="C130" s="108" t="s">
        <v>1463</v>
      </c>
      <c r="D130" s="108" t="s">
        <v>146</v>
      </c>
      <c r="E130" s="109" t="s">
        <v>783</v>
      </c>
      <c r="F130" s="109" t="s">
        <v>1449</v>
      </c>
      <c r="G130" s="110">
        <v>72000</v>
      </c>
      <c r="H130" s="111"/>
      <c r="I130" s="112" t="s">
        <v>260</v>
      </c>
      <c r="J130" s="111"/>
      <c r="K130" s="112" t="s">
        <v>260</v>
      </c>
      <c r="L130" s="111"/>
      <c r="M130" s="112"/>
      <c r="N130" s="111"/>
      <c r="O130" s="112" t="s">
        <v>260</v>
      </c>
      <c r="P130" s="111"/>
      <c r="Q130" s="112"/>
      <c r="R130" s="111"/>
      <c r="S130" s="112" t="s">
        <v>260</v>
      </c>
      <c r="T130" s="113">
        <f>8.98</f>
        <v>8.98</v>
      </c>
      <c r="U130" s="114" t="str">
        <f t="shared" si="5"/>
        <v>－</v>
      </c>
      <c r="V130" s="114"/>
      <c r="W130" s="114"/>
      <c r="X130" s="114" t="str">
        <f t="shared" si="6"/>
        <v>－</v>
      </c>
      <c r="Y130" s="114"/>
      <c r="Z130" s="115"/>
      <c r="AA130" s="111"/>
      <c r="AB130" s="116" t="str">
        <f t="shared" si="7"/>
        <v>－</v>
      </c>
      <c r="AC130" s="116" t="str">
        <f t="shared" si="4"/>
        <v>－</v>
      </c>
      <c r="AD130" s="117" t="str">
        <f t="shared" si="4"/>
        <v>－</v>
      </c>
    </row>
    <row r="131" spans="1:30">
      <c r="A131" s="107" t="s">
        <v>46</v>
      </c>
      <c r="B131" s="108" t="s">
        <v>1462</v>
      </c>
      <c r="C131" s="108" t="s">
        <v>1463</v>
      </c>
      <c r="D131" s="108" t="s">
        <v>745</v>
      </c>
      <c r="E131" s="109" t="s">
        <v>785</v>
      </c>
      <c r="F131" s="109" t="s">
        <v>846</v>
      </c>
      <c r="G131" s="110">
        <v>74400</v>
      </c>
      <c r="H131" s="111"/>
      <c r="I131" s="112" t="s">
        <v>260</v>
      </c>
      <c r="J131" s="111"/>
      <c r="K131" s="112" t="s">
        <v>260</v>
      </c>
      <c r="L131" s="111"/>
      <c r="M131" s="112"/>
      <c r="N131" s="111"/>
      <c r="O131" s="112" t="s">
        <v>260</v>
      </c>
      <c r="P131" s="111"/>
      <c r="Q131" s="112"/>
      <c r="R131" s="111"/>
      <c r="S131" s="112" t="s">
        <v>260</v>
      </c>
      <c r="T131" s="113">
        <f>9.83</f>
        <v>9.83</v>
      </c>
      <c r="U131" s="114" t="str">
        <f t="shared" si="5"/>
        <v>－</v>
      </c>
      <c r="V131" s="114"/>
      <c r="W131" s="114"/>
      <c r="X131" s="114" t="str">
        <f t="shared" si="6"/>
        <v>－</v>
      </c>
      <c r="Y131" s="114"/>
      <c r="Z131" s="115"/>
      <c r="AA131" s="111"/>
      <c r="AB131" s="116" t="str">
        <f t="shared" si="7"/>
        <v>－</v>
      </c>
      <c r="AC131" s="116" t="str">
        <f t="shared" si="4"/>
        <v>－</v>
      </c>
      <c r="AD131" s="117" t="str">
        <f t="shared" si="4"/>
        <v>－</v>
      </c>
    </row>
    <row r="132" spans="1:30">
      <c r="A132" s="107" t="s">
        <v>46</v>
      </c>
      <c r="B132" s="108" t="s">
        <v>1462</v>
      </c>
      <c r="C132" s="108" t="s">
        <v>1463</v>
      </c>
      <c r="D132" s="108" t="s">
        <v>158</v>
      </c>
      <c r="E132" s="109" t="s">
        <v>787</v>
      </c>
      <c r="F132" s="109" t="s">
        <v>1450</v>
      </c>
      <c r="G132" s="110">
        <v>74400</v>
      </c>
      <c r="H132" s="111"/>
      <c r="I132" s="112" t="s">
        <v>260</v>
      </c>
      <c r="J132" s="111"/>
      <c r="K132" s="112" t="s">
        <v>260</v>
      </c>
      <c r="L132" s="111"/>
      <c r="M132" s="112"/>
      <c r="N132" s="111"/>
      <c r="O132" s="112" t="s">
        <v>260</v>
      </c>
      <c r="P132" s="111"/>
      <c r="Q132" s="112"/>
      <c r="R132" s="111"/>
      <c r="S132" s="112" t="s">
        <v>260</v>
      </c>
      <c r="T132" s="113">
        <f>10.68</f>
        <v>10.68</v>
      </c>
      <c r="U132" s="114" t="str">
        <f t="shared" si="5"/>
        <v>－</v>
      </c>
      <c r="V132" s="114"/>
      <c r="W132" s="114"/>
      <c r="X132" s="114" t="str">
        <f t="shared" si="6"/>
        <v>－</v>
      </c>
      <c r="Y132" s="114"/>
      <c r="Z132" s="115"/>
      <c r="AA132" s="111"/>
      <c r="AB132" s="116" t="str">
        <f t="shared" si="7"/>
        <v>－</v>
      </c>
      <c r="AC132" s="116" t="str">
        <f t="shared" si="4"/>
        <v>－</v>
      </c>
      <c r="AD132" s="117" t="str">
        <f t="shared" si="4"/>
        <v>－</v>
      </c>
    </row>
    <row r="133" spans="1:30">
      <c r="A133" s="107" t="s">
        <v>46</v>
      </c>
      <c r="B133" s="108" t="s">
        <v>1462</v>
      </c>
      <c r="C133" s="108" t="s">
        <v>1463</v>
      </c>
      <c r="D133" s="108" t="s">
        <v>754</v>
      </c>
      <c r="E133" s="109" t="s">
        <v>792</v>
      </c>
      <c r="F133" s="109" t="s">
        <v>1451</v>
      </c>
      <c r="G133" s="110">
        <v>72000</v>
      </c>
      <c r="H133" s="111"/>
      <c r="I133" s="112" t="s">
        <v>260</v>
      </c>
      <c r="J133" s="111"/>
      <c r="K133" s="112" t="s">
        <v>260</v>
      </c>
      <c r="L133" s="111"/>
      <c r="M133" s="112"/>
      <c r="N133" s="111"/>
      <c r="O133" s="112" t="s">
        <v>260</v>
      </c>
      <c r="P133" s="111"/>
      <c r="Q133" s="112"/>
      <c r="R133" s="111"/>
      <c r="S133" s="112" t="s">
        <v>260</v>
      </c>
      <c r="T133" s="113">
        <f>9.72</f>
        <v>9.7200000000000006</v>
      </c>
      <c r="U133" s="114" t="str">
        <f t="shared" si="5"/>
        <v>－</v>
      </c>
      <c r="V133" s="114"/>
      <c r="W133" s="114"/>
      <c r="X133" s="114" t="str">
        <f t="shared" si="6"/>
        <v>－</v>
      </c>
      <c r="Y133" s="114"/>
      <c r="Z133" s="115"/>
      <c r="AA133" s="111"/>
      <c r="AB133" s="116" t="str">
        <f t="shared" si="7"/>
        <v>－</v>
      </c>
      <c r="AC133" s="116" t="str">
        <f t="shared" si="4"/>
        <v>－</v>
      </c>
      <c r="AD133" s="117" t="str">
        <f t="shared" si="4"/>
        <v>－</v>
      </c>
    </row>
    <row r="134" spans="1:30">
      <c r="A134" s="107" t="s">
        <v>46</v>
      </c>
      <c r="B134" s="108" t="s">
        <v>1462</v>
      </c>
      <c r="C134" s="108" t="s">
        <v>1463</v>
      </c>
      <c r="D134" s="108" t="s">
        <v>169</v>
      </c>
      <c r="E134" s="109" t="s">
        <v>829</v>
      </c>
      <c r="F134" s="109" t="s">
        <v>1452</v>
      </c>
      <c r="G134" s="110">
        <v>74400</v>
      </c>
      <c r="H134" s="111"/>
      <c r="I134" s="112" t="s">
        <v>260</v>
      </c>
      <c r="J134" s="111"/>
      <c r="K134" s="112" t="s">
        <v>260</v>
      </c>
      <c r="L134" s="111"/>
      <c r="M134" s="112"/>
      <c r="N134" s="111"/>
      <c r="O134" s="112" t="s">
        <v>260</v>
      </c>
      <c r="P134" s="111"/>
      <c r="Q134" s="112"/>
      <c r="R134" s="111"/>
      <c r="S134" s="112" t="s">
        <v>260</v>
      </c>
      <c r="T134" s="113">
        <f>9.72</f>
        <v>9.7200000000000006</v>
      </c>
      <c r="U134" s="114" t="str">
        <f t="shared" si="5"/>
        <v>－</v>
      </c>
      <c r="V134" s="114"/>
      <c r="W134" s="114"/>
      <c r="X134" s="114" t="str">
        <f t="shared" si="6"/>
        <v>－</v>
      </c>
      <c r="Y134" s="114"/>
      <c r="Z134" s="115"/>
      <c r="AA134" s="111"/>
      <c r="AB134" s="116" t="str">
        <f t="shared" si="7"/>
        <v>－</v>
      </c>
      <c r="AC134" s="116" t="str">
        <f t="shared" si="4"/>
        <v>－</v>
      </c>
      <c r="AD134" s="117" t="str">
        <f t="shared" si="4"/>
        <v>－</v>
      </c>
    </row>
    <row r="135" spans="1:30">
      <c r="A135" s="107" t="s">
        <v>46</v>
      </c>
      <c r="B135" s="108" t="s">
        <v>1462</v>
      </c>
      <c r="C135" s="108" t="s">
        <v>1463</v>
      </c>
      <c r="D135" s="108" t="s">
        <v>767</v>
      </c>
      <c r="E135" s="109" t="s">
        <v>801</v>
      </c>
      <c r="F135" s="109" t="s">
        <v>1455</v>
      </c>
      <c r="G135" s="110">
        <v>72000</v>
      </c>
      <c r="H135" s="111"/>
      <c r="I135" s="112" t="s">
        <v>260</v>
      </c>
      <c r="J135" s="111"/>
      <c r="K135" s="112" t="s">
        <v>260</v>
      </c>
      <c r="L135" s="111"/>
      <c r="M135" s="112"/>
      <c r="N135" s="111"/>
      <c r="O135" s="112" t="s">
        <v>260</v>
      </c>
      <c r="P135" s="111"/>
      <c r="Q135" s="112"/>
      <c r="R135" s="111"/>
      <c r="S135" s="112" t="s">
        <v>260</v>
      </c>
      <c r="T135" s="113">
        <f>10.12</f>
        <v>10.119999999999999</v>
      </c>
      <c r="U135" s="114" t="str">
        <f t="shared" si="5"/>
        <v>－</v>
      </c>
      <c r="V135" s="114"/>
      <c r="W135" s="114"/>
      <c r="X135" s="114" t="str">
        <f t="shared" si="6"/>
        <v>－</v>
      </c>
      <c r="Y135" s="114"/>
      <c r="Z135" s="115"/>
      <c r="AA135" s="111"/>
      <c r="AB135" s="116" t="str">
        <f t="shared" si="7"/>
        <v>－</v>
      </c>
      <c r="AC135" s="116" t="str">
        <f t="shared" si="7"/>
        <v>－</v>
      </c>
      <c r="AD135" s="117" t="str">
        <f t="shared" si="7"/>
        <v>－</v>
      </c>
    </row>
    <row r="136" spans="1:30">
      <c r="A136" s="107" t="s">
        <v>46</v>
      </c>
      <c r="B136" s="108" t="s">
        <v>1462</v>
      </c>
      <c r="C136" s="108" t="s">
        <v>1463</v>
      </c>
      <c r="D136" s="108" t="s">
        <v>182</v>
      </c>
      <c r="E136" s="109" t="s">
        <v>803</v>
      </c>
      <c r="F136" s="109" t="s">
        <v>1346</v>
      </c>
      <c r="G136" s="110">
        <v>74400</v>
      </c>
      <c r="H136" s="111"/>
      <c r="I136" s="112" t="s">
        <v>260</v>
      </c>
      <c r="J136" s="111"/>
      <c r="K136" s="112" t="s">
        <v>260</v>
      </c>
      <c r="L136" s="111"/>
      <c r="M136" s="112"/>
      <c r="N136" s="111"/>
      <c r="O136" s="112" t="s">
        <v>260</v>
      </c>
      <c r="P136" s="111"/>
      <c r="Q136" s="112"/>
      <c r="R136" s="111"/>
      <c r="S136" s="112" t="s">
        <v>260</v>
      </c>
      <c r="T136" s="113">
        <f>12.29</f>
        <v>12.29</v>
      </c>
      <c r="U136" s="114" t="str">
        <f t="shared" si="5"/>
        <v>－</v>
      </c>
      <c r="V136" s="114"/>
      <c r="W136" s="114"/>
      <c r="X136" s="114" t="str">
        <f t="shared" si="6"/>
        <v>－</v>
      </c>
      <c r="Y136" s="114"/>
      <c r="Z136" s="115"/>
      <c r="AA136" s="111"/>
      <c r="AB136" s="116" t="str">
        <f t="shared" si="7"/>
        <v>－</v>
      </c>
      <c r="AC136" s="116" t="str">
        <f t="shared" si="7"/>
        <v>－</v>
      </c>
      <c r="AD136" s="117" t="str">
        <f t="shared" si="7"/>
        <v>－</v>
      </c>
    </row>
    <row r="137" spans="1:30">
      <c r="A137" s="107" t="s">
        <v>46</v>
      </c>
      <c r="B137" s="108" t="s">
        <v>1462</v>
      </c>
      <c r="C137" s="108" t="s">
        <v>1463</v>
      </c>
      <c r="D137" s="108" t="s">
        <v>938</v>
      </c>
      <c r="E137" s="109" t="s">
        <v>525</v>
      </c>
      <c r="F137" s="109" t="s">
        <v>1457</v>
      </c>
      <c r="G137" s="110">
        <v>74400</v>
      </c>
      <c r="H137" s="111"/>
      <c r="I137" s="112" t="s">
        <v>260</v>
      </c>
      <c r="J137" s="111"/>
      <c r="K137" s="112" t="s">
        <v>260</v>
      </c>
      <c r="L137" s="111"/>
      <c r="M137" s="112"/>
      <c r="N137" s="111"/>
      <c r="O137" s="112" t="s">
        <v>260</v>
      </c>
      <c r="P137" s="111"/>
      <c r="Q137" s="112"/>
      <c r="R137" s="111"/>
      <c r="S137" s="112" t="s">
        <v>260</v>
      </c>
      <c r="T137" s="113">
        <f>13.14</f>
        <v>13.14</v>
      </c>
      <c r="U137" s="114" t="str">
        <f t="shared" si="5"/>
        <v>－</v>
      </c>
      <c r="V137" s="114"/>
      <c r="W137" s="114"/>
      <c r="X137" s="114" t="str">
        <f t="shared" si="6"/>
        <v>－</v>
      </c>
      <c r="Y137" s="114"/>
      <c r="Z137" s="115"/>
      <c r="AA137" s="111"/>
      <c r="AB137" s="116" t="str">
        <f t="shared" si="7"/>
        <v>－</v>
      </c>
      <c r="AC137" s="116" t="str">
        <f t="shared" si="7"/>
        <v>－</v>
      </c>
      <c r="AD137" s="117" t="str">
        <f t="shared" si="7"/>
        <v>－</v>
      </c>
    </row>
    <row r="138" spans="1:30">
      <c r="A138" s="107" t="s">
        <v>46</v>
      </c>
      <c r="B138" s="108" t="s">
        <v>1462</v>
      </c>
      <c r="C138" s="108" t="s">
        <v>1463</v>
      </c>
      <c r="D138" s="108" t="s">
        <v>1359</v>
      </c>
      <c r="E138" s="109" t="s">
        <v>812</v>
      </c>
      <c r="F138" s="109" t="s">
        <v>1460</v>
      </c>
      <c r="G138" s="110">
        <v>67200</v>
      </c>
      <c r="H138" s="111"/>
      <c r="I138" s="112" t="s">
        <v>260</v>
      </c>
      <c r="J138" s="111"/>
      <c r="K138" s="112" t="s">
        <v>260</v>
      </c>
      <c r="L138" s="111"/>
      <c r="M138" s="112"/>
      <c r="N138" s="111"/>
      <c r="O138" s="112" t="s">
        <v>260</v>
      </c>
      <c r="P138" s="111"/>
      <c r="Q138" s="112"/>
      <c r="R138" s="111"/>
      <c r="S138" s="112" t="s">
        <v>260</v>
      </c>
      <c r="T138" s="113">
        <f>14.12</f>
        <v>14.12</v>
      </c>
      <c r="U138" s="114" t="str">
        <f t="shared" si="5"/>
        <v>－</v>
      </c>
      <c r="V138" s="114"/>
      <c r="W138" s="114"/>
      <c r="X138" s="114" t="str">
        <f t="shared" si="6"/>
        <v>－</v>
      </c>
      <c r="Y138" s="114"/>
      <c r="Z138" s="115"/>
      <c r="AA138" s="111"/>
      <c r="AB138" s="116" t="str">
        <f t="shared" si="7"/>
        <v>－</v>
      </c>
      <c r="AC138" s="116" t="str">
        <f t="shared" si="7"/>
        <v>－</v>
      </c>
      <c r="AD138" s="117" t="str">
        <f t="shared" si="7"/>
        <v>－</v>
      </c>
    </row>
    <row r="139" spans="1:30">
      <c r="A139" s="107" t="s">
        <v>46</v>
      </c>
      <c r="B139" s="108" t="s">
        <v>1499</v>
      </c>
      <c r="C139" s="108" t="s">
        <v>1500</v>
      </c>
      <c r="D139" s="108" t="s">
        <v>592</v>
      </c>
      <c r="E139" s="109" t="s">
        <v>1367</v>
      </c>
      <c r="F139" s="109" t="s">
        <v>1501</v>
      </c>
      <c r="G139" s="110">
        <v>22800</v>
      </c>
      <c r="H139" s="111"/>
      <c r="I139" s="112" t="s">
        <v>260</v>
      </c>
      <c r="J139" s="111"/>
      <c r="K139" s="112" t="s">
        <v>260</v>
      </c>
      <c r="L139" s="111" t="s">
        <v>600</v>
      </c>
      <c r="M139" s="112" t="s">
        <v>1502</v>
      </c>
      <c r="N139" s="111"/>
      <c r="O139" s="112" t="s">
        <v>260</v>
      </c>
      <c r="P139" s="111" t="s">
        <v>600</v>
      </c>
      <c r="Q139" s="112" t="s">
        <v>1502</v>
      </c>
      <c r="R139" s="111"/>
      <c r="S139" s="112" t="s">
        <v>260</v>
      </c>
      <c r="T139" s="113">
        <f>53.9</f>
        <v>53.9</v>
      </c>
      <c r="U139" s="114">
        <f>50</f>
        <v>50</v>
      </c>
      <c r="V139" s="114">
        <v>50</v>
      </c>
      <c r="W139" s="114"/>
      <c r="X139" s="114">
        <f>40447200</f>
        <v>40447200</v>
      </c>
      <c r="Y139" s="114">
        <v>40447200</v>
      </c>
      <c r="Z139" s="115"/>
      <c r="AA139" s="111" t="s">
        <v>60</v>
      </c>
      <c r="AB139" s="116">
        <f>94</f>
        <v>94</v>
      </c>
      <c r="AC139" s="116" t="str">
        <f t="shared" si="7"/>
        <v>－</v>
      </c>
      <c r="AD139" s="117" t="str">
        <f t="shared" si="7"/>
        <v>－</v>
      </c>
    </row>
    <row r="140" spans="1:30">
      <c r="A140" s="107" t="s">
        <v>46</v>
      </c>
      <c r="B140" s="108" t="s">
        <v>1499</v>
      </c>
      <c r="C140" s="108" t="s">
        <v>1500</v>
      </c>
      <c r="D140" s="108" t="s">
        <v>49</v>
      </c>
      <c r="E140" s="109" t="s">
        <v>1503</v>
      </c>
      <c r="F140" s="109" t="s">
        <v>996</v>
      </c>
      <c r="G140" s="110">
        <v>21600</v>
      </c>
      <c r="H140" s="111" t="s">
        <v>52</v>
      </c>
      <c r="I140" s="112" t="s">
        <v>1504</v>
      </c>
      <c r="J140" s="111" t="s">
        <v>608</v>
      </c>
      <c r="K140" s="112" t="s">
        <v>1505</v>
      </c>
      <c r="L140" s="111"/>
      <c r="M140" s="112"/>
      <c r="N140" s="111" t="s">
        <v>52</v>
      </c>
      <c r="O140" s="112" t="s">
        <v>1504</v>
      </c>
      <c r="P140" s="111"/>
      <c r="Q140" s="112"/>
      <c r="R140" s="111" t="s">
        <v>608</v>
      </c>
      <c r="S140" s="112" t="s">
        <v>1505</v>
      </c>
      <c r="T140" s="113">
        <f>21.98</f>
        <v>21.98</v>
      </c>
      <c r="U140" s="114">
        <f>4</f>
        <v>4</v>
      </c>
      <c r="V140" s="114"/>
      <c r="W140" s="114"/>
      <c r="X140" s="114">
        <f>1846584</f>
        <v>1846584</v>
      </c>
      <c r="Y140" s="114"/>
      <c r="Z140" s="115"/>
      <c r="AA140" s="111" t="s">
        <v>60</v>
      </c>
      <c r="AB140" s="116">
        <f>94</f>
        <v>94</v>
      </c>
      <c r="AC140" s="116" t="str">
        <f t="shared" si="7"/>
        <v>－</v>
      </c>
      <c r="AD140" s="117">
        <f>2</f>
        <v>2</v>
      </c>
    </row>
    <row r="141" spans="1:30">
      <c r="A141" s="107" t="s">
        <v>46</v>
      </c>
      <c r="B141" s="108" t="s">
        <v>1499</v>
      </c>
      <c r="C141" s="108" t="s">
        <v>1500</v>
      </c>
      <c r="D141" s="108" t="s">
        <v>612</v>
      </c>
      <c r="E141" s="109" t="s">
        <v>1506</v>
      </c>
      <c r="F141" s="109" t="s">
        <v>1379</v>
      </c>
      <c r="G141" s="110">
        <v>27600</v>
      </c>
      <c r="H141" s="111" t="s">
        <v>276</v>
      </c>
      <c r="I141" s="112" t="s">
        <v>1507</v>
      </c>
      <c r="J141" s="111" t="s">
        <v>276</v>
      </c>
      <c r="K141" s="112" t="s">
        <v>1507</v>
      </c>
      <c r="L141" s="111" t="s">
        <v>608</v>
      </c>
      <c r="M141" s="112" t="s">
        <v>1508</v>
      </c>
      <c r="N141" s="111" t="s">
        <v>276</v>
      </c>
      <c r="O141" s="112" t="s">
        <v>1509</v>
      </c>
      <c r="P141" s="111" t="s">
        <v>1006</v>
      </c>
      <c r="Q141" s="112" t="s">
        <v>1510</v>
      </c>
      <c r="R141" s="111" t="s">
        <v>276</v>
      </c>
      <c r="S141" s="112" t="s">
        <v>1509</v>
      </c>
      <c r="T141" s="113">
        <f>9.25</f>
        <v>9.25</v>
      </c>
      <c r="U141" s="114">
        <f>157</f>
        <v>157</v>
      </c>
      <c r="V141" s="114">
        <v>150</v>
      </c>
      <c r="W141" s="114"/>
      <c r="X141" s="114">
        <f>52751880</f>
        <v>52751880</v>
      </c>
      <c r="Y141" s="114">
        <v>50991000</v>
      </c>
      <c r="Z141" s="115"/>
      <c r="AA141" s="111" t="s">
        <v>60</v>
      </c>
      <c r="AB141" s="116">
        <f>170</f>
        <v>170</v>
      </c>
      <c r="AC141" s="116" t="str">
        <f t="shared" si="7"/>
        <v>－</v>
      </c>
      <c r="AD141" s="117">
        <f>1</f>
        <v>1</v>
      </c>
    </row>
    <row r="142" spans="1:30">
      <c r="A142" s="107" t="s">
        <v>46</v>
      </c>
      <c r="B142" s="108" t="s">
        <v>1499</v>
      </c>
      <c r="C142" s="108" t="s">
        <v>1500</v>
      </c>
      <c r="D142" s="108" t="s">
        <v>61</v>
      </c>
      <c r="E142" s="109" t="s">
        <v>1387</v>
      </c>
      <c r="F142" s="109" t="s">
        <v>1388</v>
      </c>
      <c r="G142" s="110">
        <v>25200</v>
      </c>
      <c r="H142" s="111" t="s">
        <v>1044</v>
      </c>
      <c r="I142" s="112" t="s">
        <v>1511</v>
      </c>
      <c r="J142" s="111" t="s">
        <v>1044</v>
      </c>
      <c r="K142" s="112" t="s">
        <v>1511</v>
      </c>
      <c r="L142" s="111" t="s">
        <v>638</v>
      </c>
      <c r="M142" s="112" t="s">
        <v>1512</v>
      </c>
      <c r="N142" s="111" t="s">
        <v>1513</v>
      </c>
      <c r="O142" s="112" t="s">
        <v>1394</v>
      </c>
      <c r="P142" s="111" t="s">
        <v>1271</v>
      </c>
      <c r="Q142" s="112" t="s">
        <v>1514</v>
      </c>
      <c r="R142" s="111" t="s">
        <v>1513</v>
      </c>
      <c r="S142" s="112" t="s">
        <v>1394</v>
      </c>
      <c r="T142" s="113">
        <f>7.71</f>
        <v>7.71</v>
      </c>
      <c r="U142" s="114">
        <f>157</f>
        <v>157</v>
      </c>
      <c r="V142" s="114">
        <v>150</v>
      </c>
      <c r="W142" s="114"/>
      <c r="X142" s="114">
        <f>36401400</f>
        <v>36401400</v>
      </c>
      <c r="Y142" s="114">
        <v>35028000</v>
      </c>
      <c r="Z142" s="115"/>
      <c r="AA142" s="111" t="s">
        <v>60</v>
      </c>
      <c r="AB142" s="116">
        <f>155</f>
        <v>155</v>
      </c>
      <c r="AC142" s="116" t="str">
        <f t="shared" si="7"/>
        <v>－</v>
      </c>
      <c r="AD142" s="117">
        <f>2</f>
        <v>2</v>
      </c>
    </row>
    <row r="143" spans="1:30">
      <c r="A143" s="107" t="s">
        <v>46</v>
      </c>
      <c r="B143" s="108" t="s">
        <v>1499</v>
      </c>
      <c r="C143" s="108" t="s">
        <v>1500</v>
      </c>
      <c r="D143" s="108" t="s">
        <v>633</v>
      </c>
      <c r="E143" s="109" t="s">
        <v>1515</v>
      </c>
      <c r="F143" s="109" t="s">
        <v>1392</v>
      </c>
      <c r="G143" s="110">
        <v>21600</v>
      </c>
      <c r="H143" s="111" t="s">
        <v>345</v>
      </c>
      <c r="I143" s="112" t="s">
        <v>1516</v>
      </c>
      <c r="J143" s="111" t="s">
        <v>345</v>
      </c>
      <c r="K143" s="112" t="s">
        <v>1516</v>
      </c>
      <c r="L143" s="111" t="s">
        <v>638</v>
      </c>
      <c r="M143" s="112" t="s">
        <v>1512</v>
      </c>
      <c r="N143" s="111" t="s">
        <v>345</v>
      </c>
      <c r="O143" s="112" t="s">
        <v>1516</v>
      </c>
      <c r="P143" s="111" t="s">
        <v>1039</v>
      </c>
      <c r="Q143" s="112" t="s">
        <v>1517</v>
      </c>
      <c r="R143" s="111" t="s">
        <v>345</v>
      </c>
      <c r="S143" s="112" t="s">
        <v>1516</v>
      </c>
      <c r="T143" s="113">
        <f>8.11</f>
        <v>8.11</v>
      </c>
      <c r="U143" s="114">
        <f>103</f>
        <v>103</v>
      </c>
      <c r="V143" s="114">
        <v>100</v>
      </c>
      <c r="W143" s="114"/>
      <c r="X143" s="114">
        <f>22466160</f>
        <v>22466160</v>
      </c>
      <c r="Y143" s="114">
        <v>22032000</v>
      </c>
      <c r="Z143" s="115"/>
      <c r="AA143" s="111" t="s">
        <v>60</v>
      </c>
      <c r="AB143" s="116">
        <f>103</f>
        <v>103</v>
      </c>
      <c r="AC143" s="116" t="str">
        <f t="shared" si="7"/>
        <v>－</v>
      </c>
      <c r="AD143" s="117">
        <f>1</f>
        <v>1</v>
      </c>
    </row>
    <row r="144" spans="1:30">
      <c r="A144" s="107" t="s">
        <v>46</v>
      </c>
      <c r="B144" s="108" t="s">
        <v>1499</v>
      </c>
      <c r="C144" s="108" t="s">
        <v>1500</v>
      </c>
      <c r="D144" s="108" t="s">
        <v>72</v>
      </c>
      <c r="E144" s="109" t="s">
        <v>1397</v>
      </c>
      <c r="F144" s="109" t="s">
        <v>1398</v>
      </c>
      <c r="G144" s="110">
        <v>26400</v>
      </c>
      <c r="H144" s="111" t="s">
        <v>70</v>
      </c>
      <c r="I144" s="112" t="s">
        <v>1518</v>
      </c>
      <c r="J144" s="111" t="s">
        <v>70</v>
      </c>
      <c r="K144" s="112" t="s">
        <v>1518</v>
      </c>
      <c r="L144" s="111" t="s">
        <v>638</v>
      </c>
      <c r="M144" s="112" t="s">
        <v>1512</v>
      </c>
      <c r="N144" s="111" t="s">
        <v>70</v>
      </c>
      <c r="O144" s="112" t="s">
        <v>1518</v>
      </c>
      <c r="P144" s="111" t="s">
        <v>1039</v>
      </c>
      <c r="Q144" s="112" t="s">
        <v>1517</v>
      </c>
      <c r="R144" s="111" t="s">
        <v>137</v>
      </c>
      <c r="S144" s="112" t="s">
        <v>1518</v>
      </c>
      <c r="T144" s="113">
        <f>9.26</f>
        <v>9.26</v>
      </c>
      <c r="U144" s="114">
        <f>150</f>
        <v>150</v>
      </c>
      <c r="V144" s="114">
        <v>100</v>
      </c>
      <c r="W144" s="114"/>
      <c r="X144" s="114">
        <f>39322800</f>
        <v>39322800</v>
      </c>
      <c r="Y144" s="114">
        <v>26928000</v>
      </c>
      <c r="Z144" s="115"/>
      <c r="AA144" s="111" t="s">
        <v>60</v>
      </c>
      <c r="AB144" s="116">
        <f>150</f>
        <v>150</v>
      </c>
      <c r="AC144" s="116" t="str">
        <f t="shared" ref="AC144:AD207" si="8">"－"</f>
        <v>－</v>
      </c>
      <c r="AD144" s="117">
        <f>2</f>
        <v>2</v>
      </c>
    </row>
    <row r="145" spans="1:30">
      <c r="A145" s="107" t="s">
        <v>46</v>
      </c>
      <c r="B145" s="108" t="s">
        <v>1499</v>
      </c>
      <c r="C145" s="108" t="s">
        <v>1500</v>
      </c>
      <c r="D145" s="108" t="s">
        <v>651</v>
      </c>
      <c r="E145" s="109" t="s">
        <v>1519</v>
      </c>
      <c r="F145" s="109" t="s">
        <v>1520</v>
      </c>
      <c r="G145" s="110">
        <v>25200</v>
      </c>
      <c r="H145" s="111" t="s">
        <v>480</v>
      </c>
      <c r="I145" s="112" t="s">
        <v>1521</v>
      </c>
      <c r="J145" s="111" t="s">
        <v>1522</v>
      </c>
      <c r="K145" s="112" t="s">
        <v>1523</v>
      </c>
      <c r="L145" s="111" t="s">
        <v>872</v>
      </c>
      <c r="M145" s="112" t="s">
        <v>1524</v>
      </c>
      <c r="N145" s="111" t="s">
        <v>84</v>
      </c>
      <c r="O145" s="112" t="s">
        <v>1525</v>
      </c>
      <c r="P145" s="111" t="s">
        <v>1039</v>
      </c>
      <c r="Q145" s="112" t="s">
        <v>1517</v>
      </c>
      <c r="R145" s="111" t="s">
        <v>84</v>
      </c>
      <c r="S145" s="112" t="s">
        <v>1525</v>
      </c>
      <c r="T145" s="113">
        <f>12.89</f>
        <v>12.89</v>
      </c>
      <c r="U145" s="114">
        <f>229</f>
        <v>229</v>
      </c>
      <c r="V145" s="114">
        <v>180</v>
      </c>
      <c r="W145" s="114"/>
      <c r="X145" s="114">
        <f>75220992</f>
        <v>75220992</v>
      </c>
      <c r="Y145" s="114">
        <v>56750400</v>
      </c>
      <c r="Z145" s="115"/>
      <c r="AA145" s="111" t="s">
        <v>60</v>
      </c>
      <c r="AB145" s="116">
        <f>155</f>
        <v>155</v>
      </c>
      <c r="AC145" s="116" t="str">
        <f t="shared" si="8"/>
        <v>－</v>
      </c>
      <c r="AD145" s="117">
        <f>7</f>
        <v>7</v>
      </c>
    </row>
    <row r="146" spans="1:30">
      <c r="A146" s="107" t="s">
        <v>46</v>
      </c>
      <c r="B146" s="108" t="s">
        <v>1499</v>
      </c>
      <c r="C146" s="108" t="s">
        <v>1500</v>
      </c>
      <c r="D146" s="108" t="s">
        <v>86</v>
      </c>
      <c r="E146" s="109" t="s">
        <v>1526</v>
      </c>
      <c r="F146" s="109" t="s">
        <v>1412</v>
      </c>
      <c r="G146" s="110">
        <v>25200</v>
      </c>
      <c r="H146" s="111" t="s">
        <v>137</v>
      </c>
      <c r="I146" s="112" t="s">
        <v>1527</v>
      </c>
      <c r="J146" s="111" t="s">
        <v>881</v>
      </c>
      <c r="K146" s="112" t="s">
        <v>1528</v>
      </c>
      <c r="L146" s="111" t="s">
        <v>498</v>
      </c>
      <c r="M146" s="112" t="s">
        <v>1529</v>
      </c>
      <c r="N146" s="111" t="s">
        <v>137</v>
      </c>
      <c r="O146" s="112" t="s">
        <v>1527</v>
      </c>
      <c r="P146" s="111" t="s">
        <v>1039</v>
      </c>
      <c r="Q146" s="112" t="s">
        <v>1517</v>
      </c>
      <c r="R146" s="111" t="s">
        <v>881</v>
      </c>
      <c r="S146" s="112" t="s">
        <v>1528</v>
      </c>
      <c r="T146" s="113">
        <f>14.98</f>
        <v>14.98</v>
      </c>
      <c r="U146" s="114">
        <f>571</f>
        <v>571</v>
      </c>
      <c r="V146" s="114">
        <v>500</v>
      </c>
      <c r="W146" s="114"/>
      <c r="X146" s="114">
        <f>230797476</f>
        <v>230797476</v>
      </c>
      <c r="Y146" s="114">
        <v>200894400</v>
      </c>
      <c r="Z146" s="115"/>
      <c r="AA146" s="111" t="s">
        <v>60</v>
      </c>
      <c r="AB146" s="116">
        <f>496</f>
        <v>496</v>
      </c>
      <c r="AC146" s="116" t="str">
        <f t="shared" si="8"/>
        <v>－</v>
      </c>
      <c r="AD146" s="117">
        <f>8</f>
        <v>8</v>
      </c>
    </row>
    <row r="147" spans="1:30">
      <c r="A147" s="107" t="s">
        <v>46</v>
      </c>
      <c r="B147" s="108" t="s">
        <v>1499</v>
      </c>
      <c r="C147" s="108" t="s">
        <v>1500</v>
      </c>
      <c r="D147" s="108" t="s">
        <v>669</v>
      </c>
      <c r="E147" s="109" t="s">
        <v>1416</v>
      </c>
      <c r="F147" s="109" t="s">
        <v>1417</v>
      </c>
      <c r="G147" s="110">
        <v>24000</v>
      </c>
      <c r="H147" s="111" t="s">
        <v>480</v>
      </c>
      <c r="I147" s="112" t="s">
        <v>1530</v>
      </c>
      <c r="J147" s="111" t="s">
        <v>1531</v>
      </c>
      <c r="K147" s="112" t="s">
        <v>1436</v>
      </c>
      <c r="L147" s="111" t="s">
        <v>285</v>
      </c>
      <c r="M147" s="112" t="s">
        <v>1532</v>
      </c>
      <c r="N147" s="111" t="s">
        <v>1149</v>
      </c>
      <c r="O147" s="112" t="s">
        <v>1533</v>
      </c>
      <c r="P147" s="111" t="s">
        <v>1039</v>
      </c>
      <c r="Q147" s="112" t="s">
        <v>1517</v>
      </c>
      <c r="R147" s="111" t="s">
        <v>1149</v>
      </c>
      <c r="S147" s="112" t="s">
        <v>1533</v>
      </c>
      <c r="T147" s="113">
        <f>12.01</f>
        <v>12.01</v>
      </c>
      <c r="U147" s="114">
        <f>533</f>
        <v>533</v>
      </c>
      <c r="V147" s="114">
        <v>430</v>
      </c>
      <c r="W147" s="114"/>
      <c r="X147" s="114">
        <f>187903200</f>
        <v>187903200</v>
      </c>
      <c r="Y147" s="114">
        <v>154308000</v>
      </c>
      <c r="Z147" s="115"/>
      <c r="AA147" s="111" t="s">
        <v>60</v>
      </c>
      <c r="AB147" s="116">
        <f>418</f>
        <v>418</v>
      </c>
      <c r="AC147" s="116" t="str">
        <f t="shared" si="8"/>
        <v>－</v>
      </c>
      <c r="AD147" s="117">
        <f>11</f>
        <v>11</v>
      </c>
    </row>
    <row r="148" spans="1:30">
      <c r="A148" s="107" t="s">
        <v>46</v>
      </c>
      <c r="B148" s="108" t="s">
        <v>1499</v>
      </c>
      <c r="C148" s="108" t="s">
        <v>1500</v>
      </c>
      <c r="D148" s="108" t="s">
        <v>97</v>
      </c>
      <c r="E148" s="109" t="s">
        <v>1421</v>
      </c>
      <c r="F148" s="109" t="s">
        <v>1534</v>
      </c>
      <c r="G148" s="110">
        <v>24000</v>
      </c>
      <c r="H148" s="111" t="s">
        <v>1475</v>
      </c>
      <c r="I148" s="112" t="s">
        <v>1535</v>
      </c>
      <c r="J148" s="111" t="s">
        <v>676</v>
      </c>
      <c r="K148" s="112" t="s">
        <v>1536</v>
      </c>
      <c r="L148" s="111" t="s">
        <v>638</v>
      </c>
      <c r="M148" s="112" t="s">
        <v>1512</v>
      </c>
      <c r="N148" s="111" t="s">
        <v>1420</v>
      </c>
      <c r="O148" s="112" t="s">
        <v>1537</v>
      </c>
      <c r="P148" s="111" t="s">
        <v>1039</v>
      </c>
      <c r="Q148" s="112" t="s">
        <v>1517</v>
      </c>
      <c r="R148" s="111" t="s">
        <v>531</v>
      </c>
      <c r="S148" s="112" t="s">
        <v>1538</v>
      </c>
      <c r="T148" s="113">
        <f>9.87</f>
        <v>9.8699999999999992</v>
      </c>
      <c r="U148" s="114">
        <f>112</f>
        <v>112</v>
      </c>
      <c r="V148" s="114">
        <v>100</v>
      </c>
      <c r="W148" s="114"/>
      <c r="X148" s="114">
        <f>27224640</f>
        <v>27224640</v>
      </c>
      <c r="Y148" s="114">
        <v>24480000</v>
      </c>
      <c r="Z148" s="115"/>
      <c r="AA148" s="111" t="s">
        <v>60</v>
      </c>
      <c r="AB148" s="116">
        <f>108</f>
        <v>108</v>
      </c>
      <c r="AC148" s="116" t="str">
        <f t="shared" si="8"/>
        <v>－</v>
      </c>
      <c r="AD148" s="117">
        <f>7</f>
        <v>7</v>
      </c>
    </row>
    <row r="149" spans="1:30">
      <c r="A149" s="107" t="s">
        <v>46</v>
      </c>
      <c r="B149" s="108" t="s">
        <v>1499</v>
      </c>
      <c r="C149" s="108" t="s">
        <v>1500</v>
      </c>
      <c r="D149" s="108" t="s">
        <v>524</v>
      </c>
      <c r="E149" s="109" t="s">
        <v>1424</v>
      </c>
      <c r="F149" s="109" t="s">
        <v>1425</v>
      </c>
      <c r="G149" s="110">
        <v>24000</v>
      </c>
      <c r="H149" s="111" t="s">
        <v>1522</v>
      </c>
      <c r="I149" s="112" t="s">
        <v>1539</v>
      </c>
      <c r="J149" s="111" t="s">
        <v>1445</v>
      </c>
      <c r="K149" s="112" t="s">
        <v>1437</v>
      </c>
      <c r="L149" s="111" t="s">
        <v>638</v>
      </c>
      <c r="M149" s="112" t="s">
        <v>1512</v>
      </c>
      <c r="N149" s="111" t="s">
        <v>1522</v>
      </c>
      <c r="O149" s="112" t="s">
        <v>1539</v>
      </c>
      <c r="P149" s="111" t="s">
        <v>1039</v>
      </c>
      <c r="Q149" s="112" t="s">
        <v>1517</v>
      </c>
      <c r="R149" s="111" t="s">
        <v>299</v>
      </c>
      <c r="S149" s="112" t="s">
        <v>1427</v>
      </c>
      <c r="T149" s="113">
        <f>11.55</f>
        <v>11.55</v>
      </c>
      <c r="U149" s="114">
        <f>112</f>
        <v>112</v>
      </c>
      <c r="V149" s="114">
        <v>100</v>
      </c>
      <c r="W149" s="114"/>
      <c r="X149" s="114">
        <f>28932480</f>
        <v>28932480</v>
      </c>
      <c r="Y149" s="114">
        <v>24480000</v>
      </c>
      <c r="Z149" s="115"/>
      <c r="AA149" s="111" t="s">
        <v>60</v>
      </c>
      <c r="AB149" s="116">
        <f>112</f>
        <v>112</v>
      </c>
      <c r="AC149" s="116" t="str">
        <f t="shared" si="8"/>
        <v>－</v>
      </c>
      <c r="AD149" s="117">
        <f>6</f>
        <v>6</v>
      </c>
    </row>
    <row r="150" spans="1:30">
      <c r="A150" s="107" t="s">
        <v>46</v>
      </c>
      <c r="B150" s="108" t="s">
        <v>1499</v>
      </c>
      <c r="C150" s="108" t="s">
        <v>1500</v>
      </c>
      <c r="D150" s="108" t="s">
        <v>109</v>
      </c>
      <c r="E150" s="109" t="s">
        <v>1430</v>
      </c>
      <c r="F150" s="109" t="s">
        <v>1540</v>
      </c>
      <c r="G150" s="110">
        <v>25200</v>
      </c>
      <c r="H150" s="111" t="s">
        <v>70</v>
      </c>
      <c r="I150" s="112" t="s">
        <v>1541</v>
      </c>
      <c r="J150" s="111" t="s">
        <v>827</v>
      </c>
      <c r="K150" s="112" t="s">
        <v>1542</v>
      </c>
      <c r="L150" s="111" t="s">
        <v>172</v>
      </c>
      <c r="M150" s="112" t="s">
        <v>1543</v>
      </c>
      <c r="N150" s="111" t="s">
        <v>70</v>
      </c>
      <c r="O150" s="112" t="s">
        <v>1541</v>
      </c>
      <c r="P150" s="111" t="s">
        <v>1039</v>
      </c>
      <c r="Q150" s="112" t="s">
        <v>1517</v>
      </c>
      <c r="R150" s="111" t="s">
        <v>247</v>
      </c>
      <c r="S150" s="112" t="s">
        <v>1437</v>
      </c>
      <c r="T150" s="113">
        <f>15.77</f>
        <v>15.77</v>
      </c>
      <c r="U150" s="114">
        <f>488</f>
        <v>488</v>
      </c>
      <c r="V150" s="114">
        <v>312</v>
      </c>
      <c r="W150" s="114"/>
      <c r="X150" s="114">
        <f>203805000</f>
        <v>203805000</v>
      </c>
      <c r="Y150" s="114">
        <v>142821000</v>
      </c>
      <c r="Z150" s="115"/>
      <c r="AA150" s="111" t="s">
        <v>60</v>
      </c>
      <c r="AB150" s="116">
        <f>330</f>
        <v>330</v>
      </c>
      <c r="AC150" s="116" t="str">
        <f t="shared" si="8"/>
        <v>－</v>
      </c>
      <c r="AD150" s="117">
        <f>6</f>
        <v>6</v>
      </c>
    </row>
    <row r="151" spans="1:30">
      <c r="A151" s="107" t="s">
        <v>46</v>
      </c>
      <c r="B151" s="108" t="s">
        <v>1499</v>
      </c>
      <c r="C151" s="108" t="s">
        <v>1500</v>
      </c>
      <c r="D151" s="108" t="s">
        <v>544</v>
      </c>
      <c r="E151" s="109" t="s">
        <v>1544</v>
      </c>
      <c r="F151" s="109" t="s">
        <v>1435</v>
      </c>
      <c r="G151" s="110">
        <v>22800</v>
      </c>
      <c r="H151" s="111" t="s">
        <v>827</v>
      </c>
      <c r="I151" s="112" t="s">
        <v>1545</v>
      </c>
      <c r="J151" s="111" t="s">
        <v>827</v>
      </c>
      <c r="K151" s="112" t="s">
        <v>1545</v>
      </c>
      <c r="L151" s="111" t="s">
        <v>541</v>
      </c>
      <c r="M151" s="112" t="s">
        <v>1546</v>
      </c>
      <c r="N151" s="111" t="s">
        <v>152</v>
      </c>
      <c r="O151" s="112" t="s">
        <v>1437</v>
      </c>
      <c r="P151" s="111" t="s">
        <v>1039</v>
      </c>
      <c r="Q151" s="112" t="s">
        <v>1517</v>
      </c>
      <c r="R151" s="111" t="s">
        <v>897</v>
      </c>
      <c r="S151" s="112" t="s">
        <v>1547</v>
      </c>
      <c r="T151" s="113">
        <f>17.71</f>
        <v>17.71</v>
      </c>
      <c r="U151" s="114">
        <f>297</f>
        <v>297</v>
      </c>
      <c r="V151" s="114">
        <v>266</v>
      </c>
      <c r="W151" s="114"/>
      <c r="X151" s="114">
        <f>159887052</f>
        <v>159887052</v>
      </c>
      <c r="Y151" s="114">
        <v>140055840</v>
      </c>
      <c r="Z151" s="115"/>
      <c r="AA151" s="111"/>
      <c r="AB151" s="116">
        <f>162</f>
        <v>162</v>
      </c>
      <c r="AC151" s="116" t="str">
        <f t="shared" si="8"/>
        <v>－</v>
      </c>
      <c r="AD151" s="117">
        <f>5</f>
        <v>5</v>
      </c>
    </row>
    <row r="152" spans="1:30">
      <c r="A152" s="107" t="s">
        <v>46</v>
      </c>
      <c r="B152" s="108" t="s">
        <v>1499</v>
      </c>
      <c r="C152" s="108" t="s">
        <v>1500</v>
      </c>
      <c r="D152" s="108" t="s">
        <v>122</v>
      </c>
      <c r="E152" s="109" t="s">
        <v>1439</v>
      </c>
      <c r="F152" s="109" t="s">
        <v>1078</v>
      </c>
      <c r="G152" s="110">
        <v>21600</v>
      </c>
      <c r="H152" s="111" t="s">
        <v>580</v>
      </c>
      <c r="I152" s="112" t="s">
        <v>1496</v>
      </c>
      <c r="J152" s="111" t="s">
        <v>580</v>
      </c>
      <c r="K152" s="112" t="s">
        <v>1496</v>
      </c>
      <c r="L152" s="111" t="s">
        <v>541</v>
      </c>
      <c r="M152" s="112" t="s">
        <v>1548</v>
      </c>
      <c r="N152" s="111" t="s">
        <v>152</v>
      </c>
      <c r="O152" s="112" t="s">
        <v>1437</v>
      </c>
      <c r="P152" s="111" t="s">
        <v>1039</v>
      </c>
      <c r="Q152" s="112" t="s">
        <v>1517</v>
      </c>
      <c r="R152" s="111" t="s">
        <v>152</v>
      </c>
      <c r="S152" s="112" t="s">
        <v>1437</v>
      </c>
      <c r="T152" s="113">
        <f>17.21</f>
        <v>17.21</v>
      </c>
      <c r="U152" s="114">
        <f>218</f>
        <v>218</v>
      </c>
      <c r="V152" s="114">
        <v>168</v>
      </c>
      <c r="W152" s="114"/>
      <c r="X152" s="114">
        <f>95221440</f>
        <v>95221440</v>
      </c>
      <c r="Y152" s="114">
        <v>66817440</v>
      </c>
      <c r="Z152" s="115"/>
      <c r="AA152" s="111"/>
      <c r="AB152" s="116">
        <f>174</f>
        <v>174</v>
      </c>
      <c r="AC152" s="116" t="str">
        <f t="shared" si="8"/>
        <v>－</v>
      </c>
      <c r="AD152" s="117">
        <f>3</f>
        <v>3</v>
      </c>
    </row>
    <row r="153" spans="1:30">
      <c r="A153" s="107" t="s">
        <v>46</v>
      </c>
      <c r="B153" s="108" t="s">
        <v>1499</v>
      </c>
      <c r="C153" s="108" t="s">
        <v>1500</v>
      </c>
      <c r="D153" s="108" t="s">
        <v>557</v>
      </c>
      <c r="E153" s="109" t="s">
        <v>1549</v>
      </c>
      <c r="F153" s="109" t="s">
        <v>1441</v>
      </c>
      <c r="G153" s="110">
        <v>26400</v>
      </c>
      <c r="H153" s="111"/>
      <c r="I153" s="112" t="s">
        <v>260</v>
      </c>
      <c r="J153" s="111"/>
      <c r="K153" s="112" t="s">
        <v>260</v>
      </c>
      <c r="L153" s="111" t="s">
        <v>638</v>
      </c>
      <c r="M153" s="112" t="s">
        <v>1512</v>
      </c>
      <c r="N153" s="111"/>
      <c r="O153" s="112" t="s">
        <v>260</v>
      </c>
      <c r="P153" s="111" t="s">
        <v>1039</v>
      </c>
      <c r="Q153" s="112" t="s">
        <v>1517</v>
      </c>
      <c r="R153" s="111"/>
      <c r="S153" s="112" t="s">
        <v>260</v>
      </c>
      <c r="T153" s="113">
        <f>12.18</f>
        <v>12.18</v>
      </c>
      <c r="U153" s="114">
        <f>100</f>
        <v>100</v>
      </c>
      <c r="V153" s="114">
        <v>100</v>
      </c>
      <c r="W153" s="114"/>
      <c r="X153" s="114">
        <f>26928000</f>
        <v>26928000</v>
      </c>
      <c r="Y153" s="114">
        <v>26928000</v>
      </c>
      <c r="Z153" s="115"/>
      <c r="AA153" s="111"/>
      <c r="AB153" s="116">
        <f>100</f>
        <v>100</v>
      </c>
      <c r="AC153" s="116" t="str">
        <f t="shared" si="8"/>
        <v>－</v>
      </c>
      <c r="AD153" s="117" t="str">
        <f t="shared" si="8"/>
        <v>－</v>
      </c>
    </row>
    <row r="154" spans="1:30">
      <c r="A154" s="107" t="s">
        <v>46</v>
      </c>
      <c r="B154" s="108" t="s">
        <v>1499</v>
      </c>
      <c r="C154" s="108" t="s">
        <v>1500</v>
      </c>
      <c r="D154" s="108" t="s">
        <v>134</v>
      </c>
      <c r="E154" s="109" t="s">
        <v>779</v>
      </c>
      <c r="F154" s="109" t="s">
        <v>1550</v>
      </c>
      <c r="G154" s="110">
        <v>24000</v>
      </c>
      <c r="H154" s="111"/>
      <c r="I154" s="112" t="s">
        <v>260</v>
      </c>
      <c r="J154" s="111"/>
      <c r="K154" s="112" t="s">
        <v>260</v>
      </c>
      <c r="L154" s="111"/>
      <c r="M154" s="112"/>
      <c r="N154" s="111"/>
      <c r="O154" s="112" t="s">
        <v>260</v>
      </c>
      <c r="P154" s="111"/>
      <c r="Q154" s="112"/>
      <c r="R154" s="111"/>
      <c r="S154" s="112" t="s">
        <v>260</v>
      </c>
      <c r="T154" s="113">
        <f>10.31</f>
        <v>10.31</v>
      </c>
      <c r="U154" s="114" t="str">
        <f t="shared" ref="U154:U168" si="9">"－"</f>
        <v>－</v>
      </c>
      <c r="V154" s="114"/>
      <c r="W154" s="114"/>
      <c r="X154" s="114" t="str">
        <f t="shared" ref="X154:X168" si="10">"－"</f>
        <v>－</v>
      </c>
      <c r="Y154" s="114"/>
      <c r="Z154" s="115"/>
      <c r="AA154" s="111"/>
      <c r="AB154" s="116" t="str">
        <f t="shared" ref="AB154:AB165" si="11">"－"</f>
        <v>－</v>
      </c>
      <c r="AC154" s="116" t="str">
        <f t="shared" si="8"/>
        <v>－</v>
      </c>
      <c r="AD154" s="117" t="str">
        <f t="shared" si="8"/>
        <v>－</v>
      </c>
    </row>
    <row r="155" spans="1:30">
      <c r="A155" s="107" t="s">
        <v>46</v>
      </c>
      <c r="B155" s="108" t="s">
        <v>1499</v>
      </c>
      <c r="C155" s="108" t="s">
        <v>1500</v>
      </c>
      <c r="D155" s="108" t="s">
        <v>577</v>
      </c>
      <c r="E155" s="109" t="s">
        <v>781</v>
      </c>
      <c r="F155" s="109" t="s">
        <v>1448</v>
      </c>
      <c r="G155" s="110">
        <v>21600</v>
      </c>
      <c r="H155" s="111"/>
      <c r="I155" s="112" t="s">
        <v>260</v>
      </c>
      <c r="J155" s="111"/>
      <c r="K155" s="112" t="s">
        <v>260</v>
      </c>
      <c r="L155" s="111"/>
      <c r="M155" s="112"/>
      <c r="N155" s="111"/>
      <c r="O155" s="112" t="s">
        <v>260</v>
      </c>
      <c r="P155" s="111"/>
      <c r="Q155" s="112"/>
      <c r="R155" s="111"/>
      <c r="S155" s="112" t="s">
        <v>260</v>
      </c>
      <c r="T155" s="113">
        <f>11.08</f>
        <v>11.08</v>
      </c>
      <c r="U155" s="114" t="str">
        <f t="shared" si="9"/>
        <v>－</v>
      </c>
      <c r="V155" s="114"/>
      <c r="W155" s="114"/>
      <c r="X155" s="114" t="str">
        <f t="shared" si="10"/>
        <v>－</v>
      </c>
      <c r="Y155" s="114"/>
      <c r="Z155" s="115"/>
      <c r="AA155" s="111"/>
      <c r="AB155" s="116" t="str">
        <f t="shared" si="11"/>
        <v>－</v>
      </c>
      <c r="AC155" s="116" t="str">
        <f t="shared" si="8"/>
        <v>－</v>
      </c>
      <c r="AD155" s="117" t="str">
        <f t="shared" si="8"/>
        <v>－</v>
      </c>
    </row>
    <row r="156" spans="1:30">
      <c r="A156" s="107" t="s">
        <v>46</v>
      </c>
      <c r="B156" s="108" t="s">
        <v>1499</v>
      </c>
      <c r="C156" s="108" t="s">
        <v>1500</v>
      </c>
      <c r="D156" s="108" t="s">
        <v>146</v>
      </c>
      <c r="E156" s="109" t="s">
        <v>783</v>
      </c>
      <c r="F156" s="109" t="s">
        <v>1449</v>
      </c>
      <c r="G156" s="110">
        <v>26400</v>
      </c>
      <c r="H156" s="111"/>
      <c r="I156" s="112" t="s">
        <v>260</v>
      </c>
      <c r="J156" s="111"/>
      <c r="K156" s="112" t="s">
        <v>260</v>
      </c>
      <c r="L156" s="111"/>
      <c r="M156" s="112"/>
      <c r="N156" s="111"/>
      <c r="O156" s="112" t="s">
        <v>260</v>
      </c>
      <c r="P156" s="111"/>
      <c r="Q156" s="112"/>
      <c r="R156" s="111"/>
      <c r="S156" s="112" t="s">
        <v>260</v>
      </c>
      <c r="T156" s="113">
        <f>11.58</f>
        <v>11.58</v>
      </c>
      <c r="U156" s="114" t="str">
        <f t="shared" si="9"/>
        <v>－</v>
      </c>
      <c r="V156" s="114"/>
      <c r="W156" s="114"/>
      <c r="X156" s="114" t="str">
        <f t="shared" si="10"/>
        <v>－</v>
      </c>
      <c r="Y156" s="114"/>
      <c r="Z156" s="115"/>
      <c r="AA156" s="111"/>
      <c r="AB156" s="116" t="str">
        <f t="shared" si="11"/>
        <v>－</v>
      </c>
      <c r="AC156" s="116" t="str">
        <f t="shared" si="8"/>
        <v>－</v>
      </c>
      <c r="AD156" s="117" t="str">
        <f t="shared" si="8"/>
        <v>－</v>
      </c>
    </row>
    <row r="157" spans="1:30">
      <c r="A157" s="107" t="s">
        <v>46</v>
      </c>
      <c r="B157" s="108" t="s">
        <v>1499</v>
      </c>
      <c r="C157" s="108" t="s">
        <v>1500</v>
      </c>
      <c r="D157" s="108" t="s">
        <v>745</v>
      </c>
      <c r="E157" s="109" t="s">
        <v>785</v>
      </c>
      <c r="F157" s="109" t="s">
        <v>1551</v>
      </c>
      <c r="G157" s="110">
        <v>24000</v>
      </c>
      <c r="H157" s="111"/>
      <c r="I157" s="112" t="s">
        <v>260</v>
      </c>
      <c r="J157" s="111"/>
      <c r="K157" s="112" t="s">
        <v>260</v>
      </c>
      <c r="L157" s="111"/>
      <c r="M157" s="112"/>
      <c r="N157" s="111"/>
      <c r="O157" s="112" t="s">
        <v>260</v>
      </c>
      <c r="P157" s="111"/>
      <c r="Q157" s="112"/>
      <c r="R157" s="111"/>
      <c r="S157" s="112" t="s">
        <v>260</v>
      </c>
      <c r="T157" s="113">
        <f>13.54</f>
        <v>13.54</v>
      </c>
      <c r="U157" s="114" t="str">
        <f t="shared" si="9"/>
        <v>－</v>
      </c>
      <c r="V157" s="114"/>
      <c r="W157" s="114"/>
      <c r="X157" s="114" t="str">
        <f t="shared" si="10"/>
        <v>－</v>
      </c>
      <c r="Y157" s="114"/>
      <c r="Z157" s="115"/>
      <c r="AA157" s="111"/>
      <c r="AB157" s="116" t="str">
        <f t="shared" si="11"/>
        <v>－</v>
      </c>
      <c r="AC157" s="116" t="str">
        <f t="shared" si="8"/>
        <v>－</v>
      </c>
      <c r="AD157" s="117" t="str">
        <f t="shared" si="8"/>
        <v>－</v>
      </c>
    </row>
    <row r="158" spans="1:30">
      <c r="A158" s="107" t="s">
        <v>46</v>
      </c>
      <c r="B158" s="108" t="s">
        <v>1499</v>
      </c>
      <c r="C158" s="108" t="s">
        <v>1500</v>
      </c>
      <c r="D158" s="108" t="s">
        <v>158</v>
      </c>
      <c r="E158" s="109" t="s">
        <v>787</v>
      </c>
      <c r="F158" s="109" t="s">
        <v>1450</v>
      </c>
      <c r="G158" s="110">
        <v>26400</v>
      </c>
      <c r="H158" s="111"/>
      <c r="I158" s="112" t="s">
        <v>260</v>
      </c>
      <c r="J158" s="111"/>
      <c r="K158" s="112" t="s">
        <v>260</v>
      </c>
      <c r="L158" s="111"/>
      <c r="M158" s="112"/>
      <c r="N158" s="111"/>
      <c r="O158" s="112" t="s">
        <v>260</v>
      </c>
      <c r="P158" s="111"/>
      <c r="Q158" s="112"/>
      <c r="R158" s="111"/>
      <c r="S158" s="112" t="s">
        <v>260</v>
      </c>
      <c r="T158" s="113">
        <f>15.53</f>
        <v>15.53</v>
      </c>
      <c r="U158" s="114" t="str">
        <f t="shared" si="9"/>
        <v>－</v>
      </c>
      <c r="V158" s="114"/>
      <c r="W158" s="114"/>
      <c r="X158" s="114" t="str">
        <f t="shared" si="10"/>
        <v>－</v>
      </c>
      <c r="Y158" s="114"/>
      <c r="Z158" s="115"/>
      <c r="AA158" s="111"/>
      <c r="AB158" s="116" t="str">
        <f t="shared" si="11"/>
        <v>－</v>
      </c>
      <c r="AC158" s="116" t="str">
        <f t="shared" si="8"/>
        <v>－</v>
      </c>
      <c r="AD158" s="117" t="str">
        <f t="shared" si="8"/>
        <v>－</v>
      </c>
    </row>
    <row r="159" spans="1:30">
      <c r="A159" s="107" t="s">
        <v>46</v>
      </c>
      <c r="B159" s="108" t="s">
        <v>1499</v>
      </c>
      <c r="C159" s="108" t="s">
        <v>1500</v>
      </c>
      <c r="D159" s="108" t="s">
        <v>754</v>
      </c>
      <c r="E159" s="109" t="s">
        <v>792</v>
      </c>
      <c r="F159" s="109" t="s">
        <v>1451</v>
      </c>
      <c r="G159" s="110">
        <v>24000</v>
      </c>
      <c r="H159" s="111"/>
      <c r="I159" s="112" t="s">
        <v>260</v>
      </c>
      <c r="J159" s="111"/>
      <c r="K159" s="112" t="s">
        <v>260</v>
      </c>
      <c r="L159" s="111"/>
      <c r="M159" s="112"/>
      <c r="N159" s="111"/>
      <c r="O159" s="112" t="s">
        <v>260</v>
      </c>
      <c r="P159" s="111"/>
      <c r="Q159" s="112"/>
      <c r="R159" s="111"/>
      <c r="S159" s="112" t="s">
        <v>260</v>
      </c>
      <c r="T159" s="113">
        <f>12.84</f>
        <v>12.84</v>
      </c>
      <c r="U159" s="114" t="str">
        <f t="shared" si="9"/>
        <v>－</v>
      </c>
      <c r="V159" s="114"/>
      <c r="W159" s="114"/>
      <c r="X159" s="114" t="str">
        <f t="shared" si="10"/>
        <v>－</v>
      </c>
      <c r="Y159" s="114"/>
      <c r="Z159" s="115"/>
      <c r="AA159" s="111"/>
      <c r="AB159" s="116" t="str">
        <f t="shared" si="11"/>
        <v>－</v>
      </c>
      <c r="AC159" s="116" t="str">
        <f t="shared" si="8"/>
        <v>－</v>
      </c>
      <c r="AD159" s="117" t="str">
        <f t="shared" si="8"/>
        <v>－</v>
      </c>
    </row>
    <row r="160" spans="1:30">
      <c r="A160" s="107" t="s">
        <v>46</v>
      </c>
      <c r="B160" s="108" t="s">
        <v>1499</v>
      </c>
      <c r="C160" s="108" t="s">
        <v>1500</v>
      </c>
      <c r="D160" s="108" t="s">
        <v>169</v>
      </c>
      <c r="E160" s="109" t="s">
        <v>794</v>
      </c>
      <c r="F160" s="109" t="s">
        <v>1452</v>
      </c>
      <c r="G160" s="110">
        <v>24000</v>
      </c>
      <c r="H160" s="111"/>
      <c r="I160" s="112" t="s">
        <v>260</v>
      </c>
      <c r="J160" s="111"/>
      <c r="K160" s="112" t="s">
        <v>260</v>
      </c>
      <c r="L160" s="111"/>
      <c r="M160" s="112"/>
      <c r="N160" s="111"/>
      <c r="O160" s="112" t="s">
        <v>260</v>
      </c>
      <c r="P160" s="111"/>
      <c r="Q160" s="112"/>
      <c r="R160" s="111"/>
      <c r="S160" s="112" t="s">
        <v>260</v>
      </c>
      <c r="T160" s="113">
        <f>12.04</f>
        <v>12.04</v>
      </c>
      <c r="U160" s="114" t="str">
        <f t="shared" si="9"/>
        <v>－</v>
      </c>
      <c r="V160" s="114"/>
      <c r="W160" s="114"/>
      <c r="X160" s="114" t="str">
        <f t="shared" si="10"/>
        <v>－</v>
      </c>
      <c r="Y160" s="114"/>
      <c r="Z160" s="115"/>
      <c r="AA160" s="111"/>
      <c r="AB160" s="116" t="str">
        <f t="shared" si="11"/>
        <v>－</v>
      </c>
      <c r="AC160" s="116" t="str">
        <f t="shared" si="8"/>
        <v>－</v>
      </c>
      <c r="AD160" s="117" t="str">
        <f t="shared" si="8"/>
        <v>－</v>
      </c>
    </row>
    <row r="161" spans="1:30">
      <c r="A161" s="107" t="s">
        <v>46</v>
      </c>
      <c r="B161" s="108" t="s">
        <v>1499</v>
      </c>
      <c r="C161" s="108" t="s">
        <v>1500</v>
      </c>
      <c r="D161" s="108" t="s">
        <v>767</v>
      </c>
      <c r="E161" s="109" t="s">
        <v>801</v>
      </c>
      <c r="F161" s="109" t="s">
        <v>1455</v>
      </c>
      <c r="G161" s="110">
        <v>24000</v>
      </c>
      <c r="H161" s="111"/>
      <c r="I161" s="112" t="s">
        <v>260</v>
      </c>
      <c r="J161" s="111"/>
      <c r="K161" s="112" t="s">
        <v>260</v>
      </c>
      <c r="L161" s="111"/>
      <c r="M161" s="112"/>
      <c r="N161" s="111"/>
      <c r="O161" s="112" t="s">
        <v>260</v>
      </c>
      <c r="P161" s="111"/>
      <c r="Q161" s="112"/>
      <c r="R161" s="111"/>
      <c r="S161" s="112" t="s">
        <v>260</v>
      </c>
      <c r="T161" s="113">
        <f>12.39</f>
        <v>12.39</v>
      </c>
      <c r="U161" s="114" t="str">
        <f t="shared" si="9"/>
        <v>－</v>
      </c>
      <c r="V161" s="114"/>
      <c r="W161" s="114"/>
      <c r="X161" s="114" t="str">
        <f t="shared" si="10"/>
        <v>－</v>
      </c>
      <c r="Y161" s="114"/>
      <c r="Z161" s="115"/>
      <c r="AA161" s="111"/>
      <c r="AB161" s="116" t="str">
        <f t="shared" si="11"/>
        <v>－</v>
      </c>
      <c r="AC161" s="116" t="str">
        <f t="shared" si="8"/>
        <v>－</v>
      </c>
      <c r="AD161" s="117" t="str">
        <f t="shared" si="8"/>
        <v>－</v>
      </c>
    </row>
    <row r="162" spans="1:30">
      <c r="A162" s="107" t="s">
        <v>46</v>
      </c>
      <c r="B162" s="108" t="s">
        <v>1499</v>
      </c>
      <c r="C162" s="108" t="s">
        <v>1500</v>
      </c>
      <c r="D162" s="108" t="s">
        <v>182</v>
      </c>
      <c r="E162" s="109" t="s">
        <v>803</v>
      </c>
      <c r="F162" s="109" t="s">
        <v>1552</v>
      </c>
      <c r="G162" s="110">
        <v>25200</v>
      </c>
      <c r="H162" s="111"/>
      <c r="I162" s="112" t="s">
        <v>260</v>
      </c>
      <c r="J162" s="111"/>
      <c r="K162" s="112" t="s">
        <v>260</v>
      </c>
      <c r="L162" s="111"/>
      <c r="M162" s="112"/>
      <c r="N162" s="111"/>
      <c r="O162" s="112" t="s">
        <v>260</v>
      </c>
      <c r="P162" s="111"/>
      <c r="Q162" s="112"/>
      <c r="R162" s="111"/>
      <c r="S162" s="112" t="s">
        <v>260</v>
      </c>
      <c r="T162" s="113">
        <f>15.13</f>
        <v>15.13</v>
      </c>
      <c r="U162" s="114" t="str">
        <f t="shared" si="9"/>
        <v>－</v>
      </c>
      <c r="V162" s="114"/>
      <c r="W162" s="114"/>
      <c r="X162" s="114" t="str">
        <f t="shared" si="10"/>
        <v>－</v>
      </c>
      <c r="Y162" s="114"/>
      <c r="Z162" s="115"/>
      <c r="AA162" s="111"/>
      <c r="AB162" s="116" t="str">
        <f t="shared" si="11"/>
        <v>－</v>
      </c>
      <c r="AC162" s="116" t="str">
        <f t="shared" si="8"/>
        <v>－</v>
      </c>
      <c r="AD162" s="117" t="str">
        <f t="shared" si="8"/>
        <v>－</v>
      </c>
    </row>
    <row r="163" spans="1:30">
      <c r="A163" s="107" t="s">
        <v>46</v>
      </c>
      <c r="B163" s="108" t="s">
        <v>1499</v>
      </c>
      <c r="C163" s="108" t="s">
        <v>1500</v>
      </c>
      <c r="D163" s="108" t="s">
        <v>938</v>
      </c>
      <c r="E163" s="109" t="s">
        <v>805</v>
      </c>
      <c r="F163" s="109" t="s">
        <v>1457</v>
      </c>
      <c r="G163" s="110">
        <v>22800</v>
      </c>
      <c r="H163" s="111"/>
      <c r="I163" s="112" t="s">
        <v>260</v>
      </c>
      <c r="J163" s="111"/>
      <c r="K163" s="112" t="s">
        <v>260</v>
      </c>
      <c r="L163" s="111"/>
      <c r="M163" s="112"/>
      <c r="N163" s="111"/>
      <c r="O163" s="112" t="s">
        <v>260</v>
      </c>
      <c r="P163" s="111"/>
      <c r="Q163" s="112"/>
      <c r="R163" s="111"/>
      <c r="S163" s="112" t="s">
        <v>260</v>
      </c>
      <c r="T163" s="113">
        <f>16.87</f>
        <v>16.87</v>
      </c>
      <c r="U163" s="114" t="str">
        <f t="shared" si="9"/>
        <v>－</v>
      </c>
      <c r="V163" s="114"/>
      <c r="W163" s="114"/>
      <c r="X163" s="114" t="str">
        <f t="shared" si="10"/>
        <v>－</v>
      </c>
      <c r="Y163" s="114"/>
      <c r="Z163" s="115"/>
      <c r="AA163" s="111"/>
      <c r="AB163" s="116" t="str">
        <f t="shared" si="11"/>
        <v>－</v>
      </c>
      <c r="AC163" s="116" t="str">
        <f t="shared" si="8"/>
        <v>－</v>
      </c>
      <c r="AD163" s="117" t="str">
        <f t="shared" si="8"/>
        <v>－</v>
      </c>
    </row>
    <row r="164" spans="1:30">
      <c r="A164" s="107" t="s">
        <v>46</v>
      </c>
      <c r="B164" s="108" t="s">
        <v>1499</v>
      </c>
      <c r="C164" s="108" t="s">
        <v>1500</v>
      </c>
      <c r="D164" s="108" t="s">
        <v>1359</v>
      </c>
      <c r="E164" s="109" t="s">
        <v>812</v>
      </c>
      <c r="F164" s="109" t="s">
        <v>1460</v>
      </c>
      <c r="G164" s="110">
        <v>22800</v>
      </c>
      <c r="H164" s="111"/>
      <c r="I164" s="112" t="s">
        <v>260</v>
      </c>
      <c r="J164" s="111"/>
      <c r="K164" s="112" t="s">
        <v>260</v>
      </c>
      <c r="L164" s="111"/>
      <c r="M164" s="112"/>
      <c r="N164" s="111"/>
      <c r="O164" s="112" t="s">
        <v>260</v>
      </c>
      <c r="P164" s="111"/>
      <c r="Q164" s="112"/>
      <c r="R164" s="111"/>
      <c r="S164" s="112" t="s">
        <v>260</v>
      </c>
      <c r="T164" s="113">
        <f>19.25</f>
        <v>19.25</v>
      </c>
      <c r="U164" s="114" t="str">
        <f t="shared" si="9"/>
        <v>－</v>
      </c>
      <c r="V164" s="114"/>
      <c r="W164" s="114"/>
      <c r="X164" s="114" t="str">
        <f t="shared" si="10"/>
        <v>－</v>
      </c>
      <c r="Y164" s="114"/>
      <c r="Z164" s="115"/>
      <c r="AA164" s="111"/>
      <c r="AB164" s="116" t="str">
        <f t="shared" si="11"/>
        <v>－</v>
      </c>
      <c r="AC164" s="116" t="str">
        <f t="shared" si="8"/>
        <v>－</v>
      </c>
      <c r="AD164" s="117" t="str">
        <f t="shared" si="8"/>
        <v>－</v>
      </c>
    </row>
    <row r="165" spans="1:30">
      <c r="A165" s="107" t="s">
        <v>46</v>
      </c>
      <c r="B165" s="108" t="s">
        <v>1499</v>
      </c>
      <c r="C165" s="108" t="s">
        <v>1500</v>
      </c>
      <c r="D165" s="108" t="s">
        <v>1553</v>
      </c>
      <c r="E165" s="109" t="s">
        <v>1554</v>
      </c>
      <c r="F165" s="109" t="s">
        <v>1555</v>
      </c>
      <c r="G165" s="110">
        <v>26400</v>
      </c>
      <c r="H165" s="111"/>
      <c r="I165" s="112" t="s">
        <v>260</v>
      </c>
      <c r="J165" s="111"/>
      <c r="K165" s="112" t="s">
        <v>260</v>
      </c>
      <c r="L165" s="111"/>
      <c r="M165" s="112"/>
      <c r="N165" s="111"/>
      <c r="O165" s="112" t="s">
        <v>260</v>
      </c>
      <c r="P165" s="111"/>
      <c r="Q165" s="112"/>
      <c r="R165" s="111"/>
      <c r="S165" s="112" t="s">
        <v>260</v>
      </c>
      <c r="T165" s="113">
        <f>17.23</f>
        <v>17.23</v>
      </c>
      <c r="U165" s="114" t="str">
        <f t="shared" si="9"/>
        <v>－</v>
      </c>
      <c r="V165" s="114"/>
      <c r="W165" s="114"/>
      <c r="X165" s="114" t="str">
        <f t="shared" si="10"/>
        <v>－</v>
      </c>
      <c r="Y165" s="114"/>
      <c r="Z165" s="115"/>
      <c r="AA165" s="111"/>
      <c r="AB165" s="116" t="str">
        <f t="shared" si="11"/>
        <v>－</v>
      </c>
      <c r="AC165" s="116" t="str">
        <f t="shared" si="8"/>
        <v>－</v>
      </c>
      <c r="AD165" s="117" t="str">
        <f t="shared" si="8"/>
        <v>－</v>
      </c>
    </row>
    <row r="166" spans="1:30">
      <c r="A166" s="107" t="s">
        <v>46</v>
      </c>
      <c r="B166" s="108" t="s">
        <v>1556</v>
      </c>
      <c r="C166" s="108" t="s">
        <v>1557</v>
      </c>
      <c r="D166" s="108" t="s">
        <v>592</v>
      </c>
      <c r="E166" s="109" t="s">
        <v>1367</v>
      </c>
      <c r="F166" s="109" t="s">
        <v>1501</v>
      </c>
      <c r="G166" s="110">
        <v>22800</v>
      </c>
      <c r="H166" s="111"/>
      <c r="I166" s="112" t="s">
        <v>260</v>
      </c>
      <c r="J166" s="111"/>
      <c r="K166" s="112" t="s">
        <v>260</v>
      </c>
      <c r="L166" s="111"/>
      <c r="M166" s="112"/>
      <c r="N166" s="111"/>
      <c r="O166" s="112" t="s">
        <v>260</v>
      </c>
      <c r="P166" s="111"/>
      <c r="Q166" s="112"/>
      <c r="R166" s="111"/>
      <c r="S166" s="112" t="s">
        <v>260</v>
      </c>
      <c r="T166" s="113">
        <f>42.23</f>
        <v>42.23</v>
      </c>
      <c r="U166" s="114" t="str">
        <f t="shared" si="9"/>
        <v>－</v>
      </c>
      <c r="V166" s="114"/>
      <c r="W166" s="114"/>
      <c r="X166" s="114" t="str">
        <f t="shared" si="10"/>
        <v>－</v>
      </c>
      <c r="Y166" s="114"/>
      <c r="Z166" s="115"/>
      <c r="AA166" s="111" t="s">
        <v>60</v>
      </c>
      <c r="AB166" s="116">
        <f>35</f>
        <v>35</v>
      </c>
      <c r="AC166" s="116" t="str">
        <f t="shared" si="8"/>
        <v>－</v>
      </c>
      <c r="AD166" s="117" t="str">
        <f t="shared" si="8"/>
        <v>－</v>
      </c>
    </row>
    <row r="167" spans="1:30">
      <c r="A167" s="107" t="s">
        <v>46</v>
      </c>
      <c r="B167" s="108" t="s">
        <v>1556</v>
      </c>
      <c r="C167" s="108" t="s">
        <v>1557</v>
      </c>
      <c r="D167" s="108" t="s">
        <v>49</v>
      </c>
      <c r="E167" s="109" t="s">
        <v>1503</v>
      </c>
      <c r="F167" s="109" t="s">
        <v>996</v>
      </c>
      <c r="G167" s="110">
        <v>21600</v>
      </c>
      <c r="H167" s="111"/>
      <c r="I167" s="112" t="s">
        <v>260</v>
      </c>
      <c r="J167" s="111"/>
      <c r="K167" s="112" t="s">
        <v>260</v>
      </c>
      <c r="L167" s="111"/>
      <c r="M167" s="112"/>
      <c r="N167" s="111"/>
      <c r="O167" s="112" t="s">
        <v>260</v>
      </c>
      <c r="P167" s="111"/>
      <c r="Q167" s="112"/>
      <c r="R167" s="111"/>
      <c r="S167" s="112" t="s">
        <v>260</v>
      </c>
      <c r="T167" s="113">
        <f>18.88</f>
        <v>18.88</v>
      </c>
      <c r="U167" s="114" t="str">
        <f t="shared" si="9"/>
        <v>－</v>
      </c>
      <c r="V167" s="114"/>
      <c r="W167" s="114"/>
      <c r="X167" s="114" t="str">
        <f t="shared" si="10"/>
        <v>－</v>
      </c>
      <c r="Y167" s="114"/>
      <c r="Z167" s="115"/>
      <c r="AA167" s="111" t="s">
        <v>60</v>
      </c>
      <c r="AB167" s="116">
        <f>35</f>
        <v>35</v>
      </c>
      <c r="AC167" s="116" t="str">
        <f t="shared" si="8"/>
        <v>－</v>
      </c>
      <c r="AD167" s="117" t="str">
        <f t="shared" si="8"/>
        <v>－</v>
      </c>
    </row>
    <row r="168" spans="1:30">
      <c r="A168" s="107" t="s">
        <v>46</v>
      </c>
      <c r="B168" s="108" t="s">
        <v>1556</v>
      </c>
      <c r="C168" s="108" t="s">
        <v>1557</v>
      </c>
      <c r="D168" s="108" t="s">
        <v>612</v>
      </c>
      <c r="E168" s="109" t="s">
        <v>1506</v>
      </c>
      <c r="F168" s="109" t="s">
        <v>1379</v>
      </c>
      <c r="G168" s="110">
        <v>27600</v>
      </c>
      <c r="H168" s="111"/>
      <c r="I168" s="112" t="s">
        <v>260</v>
      </c>
      <c r="J168" s="111"/>
      <c r="K168" s="112" t="s">
        <v>260</v>
      </c>
      <c r="L168" s="111"/>
      <c r="M168" s="112"/>
      <c r="N168" s="111"/>
      <c r="O168" s="112" t="s">
        <v>260</v>
      </c>
      <c r="P168" s="111"/>
      <c r="Q168" s="112"/>
      <c r="R168" s="111"/>
      <c r="S168" s="112" t="s">
        <v>260</v>
      </c>
      <c r="T168" s="113">
        <f>8.41</f>
        <v>8.41</v>
      </c>
      <c r="U168" s="114" t="str">
        <f t="shared" si="9"/>
        <v>－</v>
      </c>
      <c r="V168" s="114"/>
      <c r="W168" s="114"/>
      <c r="X168" s="114" t="str">
        <f t="shared" si="10"/>
        <v>－</v>
      </c>
      <c r="Y168" s="114"/>
      <c r="Z168" s="115"/>
      <c r="AA168" s="111" t="s">
        <v>60</v>
      </c>
      <c r="AB168" s="116">
        <f>10</f>
        <v>10</v>
      </c>
      <c r="AC168" s="116" t="str">
        <f t="shared" si="8"/>
        <v>－</v>
      </c>
      <c r="AD168" s="117" t="str">
        <f t="shared" si="8"/>
        <v>－</v>
      </c>
    </row>
    <row r="169" spans="1:30">
      <c r="A169" s="107" t="s">
        <v>46</v>
      </c>
      <c r="B169" s="108" t="s">
        <v>1556</v>
      </c>
      <c r="C169" s="108" t="s">
        <v>1557</v>
      </c>
      <c r="D169" s="108" t="s">
        <v>61</v>
      </c>
      <c r="E169" s="109" t="s">
        <v>1387</v>
      </c>
      <c r="F169" s="109" t="s">
        <v>1388</v>
      </c>
      <c r="G169" s="110">
        <v>25200</v>
      </c>
      <c r="H169" s="111"/>
      <c r="I169" s="112" t="s">
        <v>260</v>
      </c>
      <c r="J169" s="111"/>
      <c r="K169" s="112" t="s">
        <v>260</v>
      </c>
      <c r="L169" s="111" t="s">
        <v>672</v>
      </c>
      <c r="M169" s="112" t="s">
        <v>1396</v>
      </c>
      <c r="N169" s="111"/>
      <c r="O169" s="112" t="s">
        <v>260</v>
      </c>
      <c r="P169" s="111" t="s">
        <v>672</v>
      </c>
      <c r="Q169" s="112" t="s">
        <v>1396</v>
      </c>
      <c r="R169" s="111"/>
      <c r="S169" s="112" t="s">
        <v>260</v>
      </c>
      <c r="T169" s="113">
        <f>6.58</f>
        <v>6.58</v>
      </c>
      <c r="U169" s="114">
        <f>30</f>
        <v>30</v>
      </c>
      <c r="V169" s="114">
        <v>30</v>
      </c>
      <c r="W169" s="114"/>
      <c r="X169" s="114">
        <f>6048000</f>
        <v>6048000</v>
      </c>
      <c r="Y169" s="114">
        <v>6048000</v>
      </c>
      <c r="Z169" s="115"/>
      <c r="AA169" s="111" t="s">
        <v>60</v>
      </c>
      <c r="AB169" s="116">
        <f>30</f>
        <v>30</v>
      </c>
      <c r="AC169" s="116" t="str">
        <f t="shared" si="8"/>
        <v>－</v>
      </c>
      <c r="AD169" s="117" t="str">
        <f t="shared" si="8"/>
        <v>－</v>
      </c>
    </row>
    <row r="170" spans="1:30">
      <c r="A170" s="107" t="s">
        <v>46</v>
      </c>
      <c r="B170" s="108" t="s">
        <v>1556</v>
      </c>
      <c r="C170" s="108" t="s">
        <v>1557</v>
      </c>
      <c r="D170" s="108" t="s">
        <v>633</v>
      </c>
      <c r="E170" s="109" t="s">
        <v>1515</v>
      </c>
      <c r="F170" s="109" t="s">
        <v>1392</v>
      </c>
      <c r="G170" s="110">
        <v>21600</v>
      </c>
      <c r="H170" s="111" t="s">
        <v>345</v>
      </c>
      <c r="I170" s="112" t="s">
        <v>1558</v>
      </c>
      <c r="J170" s="111" t="s">
        <v>128</v>
      </c>
      <c r="K170" s="112" t="s">
        <v>1559</v>
      </c>
      <c r="L170" s="111"/>
      <c r="M170" s="112"/>
      <c r="N170" s="111" t="s">
        <v>345</v>
      </c>
      <c r="O170" s="112" t="s">
        <v>1558</v>
      </c>
      <c r="P170" s="111"/>
      <c r="Q170" s="112"/>
      <c r="R170" s="111" t="s">
        <v>128</v>
      </c>
      <c r="S170" s="112" t="s">
        <v>1559</v>
      </c>
      <c r="T170" s="113">
        <f>7.28</f>
        <v>7.28</v>
      </c>
      <c r="U170" s="114">
        <f>7</f>
        <v>7</v>
      </c>
      <c r="V170" s="114"/>
      <c r="W170" s="114"/>
      <c r="X170" s="114">
        <f>1008720</f>
        <v>1008720</v>
      </c>
      <c r="Y170" s="114"/>
      <c r="Z170" s="115"/>
      <c r="AA170" s="111" t="s">
        <v>60</v>
      </c>
      <c r="AB170" s="116">
        <f>5</f>
        <v>5</v>
      </c>
      <c r="AC170" s="116" t="str">
        <f t="shared" si="8"/>
        <v>－</v>
      </c>
      <c r="AD170" s="117">
        <f>2</f>
        <v>2</v>
      </c>
    </row>
    <row r="171" spans="1:30">
      <c r="A171" s="107" t="s">
        <v>46</v>
      </c>
      <c r="B171" s="108" t="s">
        <v>1556</v>
      </c>
      <c r="C171" s="108" t="s">
        <v>1557</v>
      </c>
      <c r="D171" s="108" t="s">
        <v>72</v>
      </c>
      <c r="E171" s="109" t="s">
        <v>1397</v>
      </c>
      <c r="F171" s="109" t="s">
        <v>1398</v>
      </c>
      <c r="G171" s="110">
        <v>26400</v>
      </c>
      <c r="H171" s="111" t="s">
        <v>70</v>
      </c>
      <c r="I171" s="112" t="s">
        <v>1560</v>
      </c>
      <c r="J171" s="111" t="s">
        <v>1473</v>
      </c>
      <c r="K171" s="112" t="s">
        <v>1561</v>
      </c>
      <c r="L171" s="111" t="s">
        <v>1475</v>
      </c>
      <c r="M171" s="112" t="s">
        <v>1562</v>
      </c>
      <c r="N171" s="111" t="s">
        <v>70</v>
      </c>
      <c r="O171" s="112" t="s">
        <v>1560</v>
      </c>
      <c r="P171" s="111" t="s">
        <v>1475</v>
      </c>
      <c r="Q171" s="112" t="s">
        <v>1562</v>
      </c>
      <c r="R171" s="111" t="s">
        <v>1473</v>
      </c>
      <c r="S171" s="112" t="s">
        <v>1561</v>
      </c>
      <c r="T171" s="113">
        <f>8.53</f>
        <v>8.5299999999999994</v>
      </c>
      <c r="U171" s="114">
        <f>136</f>
        <v>136</v>
      </c>
      <c r="V171" s="114">
        <v>36</v>
      </c>
      <c r="W171" s="114"/>
      <c r="X171" s="114">
        <f>30708480</f>
        <v>30708480</v>
      </c>
      <c r="Y171" s="114">
        <v>8268480</v>
      </c>
      <c r="Z171" s="115"/>
      <c r="AA171" s="111" t="s">
        <v>60</v>
      </c>
      <c r="AB171" s="116">
        <f>136</f>
        <v>136</v>
      </c>
      <c r="AC171" s="116" t="str">
        <f t="shared" si="8"/>
        <v>－</v>
      </c>
      <c r="AD171" s="117">
        <f>2</f>
        <v>2</v>
      </c>
    </row>
    <row r="172" spans="1:30">
      <c r="A172" s="107" t="s">
        <v>46</v>
      </c>
      <c r="B172" s="108" t="s">
        <v>1556</v>
      </c>
      <c r="C172" s="108" t="s">
        <v>1557</v>
      </c>
      <c r="D172" s="108" t="s">
        <v>651</v>
      </c>
      <c r="E172" s="109" t="s">
        <v>1519</v>
      </c>
      <c r="F172" s="109" t="s">
        <v>1520</v>
      </c>
      <c r="G172" s="110">
        <v>25200</v>
      </c>
      <c r="H172" s="111" t="s">
        <v>465</v>
      </c>
      <c r="I172" s="112" t="s">
        <v>1563</v>
      </c>
      <c r="J172" s="111" t="s">
        <v>285</v>
      </c>
      <c r="K172" s="112" t="s">
        <v>1564</v>
      </c>
      <c r="L172" s="111" t="s">
        <v>90</v>
      </c>
      <c r="M172" s="112" t="s">
        <v>1565</v>
      </c>
      <c r="N172" s="111" t="s">
        <v>465</v>
      </c>
      <c r="O172" s="112" t="s">
        <v>1563</v>
      </c>
      <c r="P172" s="111" t="s">
        <v>631</v>
      </c>
      <c r="Q172" s="112" t="s">
        <v>1566</v>
      </c>
      <c r="R172" s="111" t="s">
        <v>285</v>
      </c>
      <c r="S172" s="112" t="s">
        <v>1564</v>
      </c>
      <c r="T172" s="113">
        <f>11.97</f>
        <v>11.97</v>
      </c>
      <c r="U172" s="114">
        <f>368</f>
        <v>368</v>
      </c>
      <c r="V172" s="114">
        <v>346</v>
      </c>
      <c r="W172" s="114"/>
      <c r="X172" s="114">
        <f>128366532</f>
        <v>128366532</v>
      </c>
      <c r="Y172" s="114">
        <v>121058280</v>
      </c>
      <c r="Z172" s="115"/>
      <c r="AA172" s="111" t="s">
        <v>60</v>
      </c>
      <c r="AB172" s="116">
        <f>318</f>
        <v>318</v>
      </c>
      <c r="AC172" s="116" t="str">
        <f t="shared" si="8"/>
        <v>－</v>
      </c>
      <c r="AD172" s="117">
        <f>2</f>
        <v>2</v>
      </c>
    </row>
    <row r="173" spans="1:30">
      <c r="A173" s="107" t="s">
        <v>46</v>
      </c>
      <c r="B173" s="108" t="s">
        <v>1556</v>
      </c>
      <c r="C173" s="108" t="s">
        <v>1557</v>
      </c>
      <c r="D173" s="108" t="s">
        <v>86</v>
      </c>
      <c r="E173" s="109" t="s">
        <v>1526</v>
      </c>
      <c r="F173" s="109" t="s">
        <v>1412</v>
      </c>
      <c r="G173" s="110">
        <v>25200</v>
      </c>
      <c r="H173" s="111" t="s">
        <v>465</v>
      </c>
      <c r="I173" s="112" t="s">
        <v>1567</v>
      </c>
      <c r="J173" s="111" t="s">
        <v>1473</v>
      </c>
      <c r="K173" s="112" t="s">
        <v>1568</v>
      </c>
      <c r="L173" s="111" t="s">
        <v>90</v>
      </c>
      <c r="M173" s="112" t="s">
        <v>1565</v>
      </c>
      <c r="N173" s="111" t="s">
        <v>465</v>
      </c>
      <c r="O173" s="112" t="s">
        <v>1567</v>
      </c>
      <c r="P173" s="111" t="s">
        <v>631</v>
      </c>
      <c r="Q173" s="112" t="s">
        <v>1566</v>
      </c>
      <c r="R173" s="111" t="s">
        <v>1473</v>
      </c>
      <c r="S173" s="112" t="s">
        <v>1568</v>
      </c>
      <c r="T173" s="113">
        <f>13.01</f>
        <v>13.01</v>
      </c>
      <c r="U173" s="114">
        <f>363</f>
        <v>363</v>
      </c>
      <c r="V173" s="114">
        <v>296</v>
      </c>
      <c r="W173" s="114"/>
      <c r="X173" s="114">
        <f>128462292</f>
        <v>128462292</v>
      </c>
      <c r="Y173" s="114">
        <v>105131880</v>
      </c>
      <c r="Z173" s="115"/>
      <c r="AA173" s="111" t="s">
        <v>60</v>
      </c>
      <c r="AB173" s="116">
        <f>313</f>
        <v>313</v>
      </c>
      <c r="AC173" s="116" t="str">
        <f t="shared" si="8"/>
        <v>－</v>
      </c>
      <c r="AD173" s="117">
        <f>2</f>
        <v>2</v>
      </c>
    </row>
    <row r="174" spans="1:30">
      <c r="A174" s="107" t="s">
        <v>46</v>
      </c>
      <c r="B174" s="108" t="s">
        <v>1556</v>
      </c>
      <c r="C174" s="108" t="s">
        <v>1557</v>
      </c>
      <c r="D174" s="108" t="s">
        <v>669</v>
      </c>
      <c r="E174" s="109" t="s">
        <v>1416</v>
      </c>
      <c r="F174" s="109" t="s">
        <v>1417</v>
      </c>
      <c r="G174" s="110">
        <v>24000</v>
      </c>
      <c r="H174" s="111" t="s">
        <v>797</v>
      </c>
      <c r="I174" s="112" t="s">
        <v>1569</v>
      </c>
      <c r="J174" s="111" t="s">
        <v>1442</v>
      </c>
      <c r="K174" s="112" t="s">
        <v>1570</v>
      </c>
      <c r="L174" s="111" t="s">
        <v>90</v>
      </c>
      <c r="M174" s="112" t="s">
        <v>1565</v>
      </c>
      <c r="N174" s="111" t="s">
        <v>797</v>
      </c>
      <c r="O174" s="112" t="s">
        <v>1569</v>
      </c>
      <c r="P174" s="111" t="s">
        <v>631</v>
      </c>
      <c r="Q174" s="112" t="s">
        <v>1566</v>
      </c>
      <c r="R174" s="111" t="s">
        <v>470</v>
      </c>
      <c r="S174" s="112" t="s">
        <v>1570</v>
      </c>
      <c r="T174" s="113">
        <f>10.96</f>
        <v>10.96</v>
      </c>
      <c r="U174" s="114">
        <f>345</f>
        <v>345</v>
      </c>
      <c r="V174" s="114">
        <v>276</v>
      </c>
      <c r="W174" s="114"/>
      <c r="X174" s="114">
        <f>113808960</f>
        <v>113808960</v>
      </c>
      <c r="Y174" s="114">
        <v>93405600</v>
      </c>
      <c r="Z174" s="115"/>
      <c r="AA174" s="111" t="s">
        <v>60</v>
      </c>
      <c r="AB174" s="116">
        <f>293</f>
        <v>293</v>
      </c>
      <c r="AC174" s="116" t="str">
        <f t="shared" si="8"/>
        <v>－</v>
      </c>
      <c r="AD174" s="117">
        <f>4</f>
        <v>4</v>
      </c>
    </row>
    <row r="175" spans="1:30">
      <c r="A175" s="107" t="s">
        <v>46</v>
      </c>
      <c r="B175" s="108" t="s">
        <v>1556</v>
      </c>
      <c r="C175" s="108" t="s">
        <v>1557</v>
      </c>
      <c r="D175" s="108" t="s">
        <v>97</v>
      </c>
      <c r="E175" s="109" t="s">
        <v>1421</v>
      </c>
      <c r="F175" s="109" t="s">
        <v>1534</v>
      </c>
      <c r="G175" s="110">
        <v>24000</v>
      </c>
      <c r="H175" s="111" t="s">
        <v>137</v>
      </c>
      <c r="I175" s="112" t="s">
        <v>1571</v>
      </c>
      <c r="J175" s="111" t="s">
        <v>137</v>
      </c>
      <c r="K175" s="112" t="s">
        <v>1571</v>
      </c>
      <c r="L175" s="111" t="s">
        <v>679</v>
      </c>
      <c r="M175" s="112" t="s">
        <v>1395</v>
      </c>
      <c r="N175" s="111" t="s">
        <v>137</v>
      </c>
      <c r="O175" s="112" t="s">
        <v>1571</v>
      </c>
      <c r="P175" s="111" t="s">
        <v>679</v>
      </c>
      <c r="Q175" s="112" t="s">
        <v>1395</v>
      </c>
      <c r="R175" s="111" t="s">
        <v>137</v>
      </c>
      <c r="S175" s="112" t="s">
        <v>1571</v>
      </c>
      <c r="T175" s="113">
        <f>9.14</f>
        <v>9.14</v>
      </c>
      <c r="U175" s="114">
        <f>150</f>
        <v>150</v>
      </c>
      <c r="V175" s="114">
        <v>100</v>
      </c>
      <c r="W175" s="114"/>
      <c r="X175" s="114">
        <f>32520000</f>
        <v>32520000</v>
      </c>
      <c r="Y175" s="114">
        <v>22320000</v>
      </c>
      <c r="Z175" s="115"/>
      <c r="AA175" s="111" t="s">
        <v>60</v>
      </c>
      <c r="AB175" s="116">
        <f>150</f>
        <v>150</v>
      </c>
      <c r="AC175" s="116" t="str">
        <f t="shared" si="8"/>
        <v>－</v>
      </c>
      <c r="AD175" s="117">
        <f>1</f>
        <v>1</v>
      </c>
    </row>
    <row r="176" spans="1:30">
      <c r="A176" s="107" t="s">
        <v>46</v>
      </c>
      <c r="B176" s="108" t="s">
        <v>1556</v>
      </c>
      <c r="C176" s="108" t="s">
        <v>1557</v>
      </c>
      <c r="D176" s="108" t="s">
        <v>524</v>
      </c>
      <c r="E176" s="109" t="s">
        <v>1424</v>
      </c>
      <c r="F176" s="109" t="s">
        <v>1425</v>
      </c>
      <c r="G176" s="110">
        <v>24000</v>
      </c>
      <c r="H176" s="111" t="s">
        <v>137</v>
      </c>
      <c r="I176" s="112" t="s">
        <v>1572</v>
      </c>
      <c r="J176" s="111" t="s">
        <v>1247</v>
      </c>
      <c r="K176" s="112" t="s">
        <v>1573</v>
      </c>
      <c r="L176" s="111" t="s">
        <v>546</v>
      </c>
      <c r="M176" s="112" t="s">
        <v>1574</v>
      </c>
      <c r="N176" s="111" t="s">
        <v>137</v>
      </c>
      <c r="O176" s="112" t="s">
        <v>1572</v>
      </c>
      <c r="P176" s="111" t="s">
        <v>546</v>
      </c>
      <c r="Q176" s="112" t="s">
        <v>1574</v>
      </c>
      <c r="R176" s="111" t="s">
        <v>1247</v>
      </c>
      <c r="S176" s="112" t="s">
        <v>1573</v>
      </c>
      <c r="T176" s="113">
        <f>10.62</f>
        <v>10.62</v>
      </c>
      <c r="U176" s="114">
        <f>151</f>
        <v>151</v>
      </c>
      <c r="V176" s="114">
        <v>1</v>
      </c>
      <c r="W176" s="114"/>
      <c r="X176" s="114">
        <f>32772000</f>
        <v>32772000</v>
      </c>
      <c r="Y176" s="114">
        <v>528000</v>
      </c>
      <c r="Z176" s="115"/>
      <c r="AA176" s="111" t="s">
        <v>60</v>
      </c>
      <c r="AB176" s="116">
        <f>151</f>
        <v>151</v>
      </c>
      <c r="AC176" s="116" t="str">
        <f t="shared" si="8"/>
        <v>－</v>
      </c>
      <c r="AD176" s="117">
        <f>3</f>
        <v>3</v>
      </c>
    </row>
    <row r="177" spans="1:30">
      <c r="A177" s="107" t="s">
        <v>46</v>
      </c>
      <c r="B177" s="108" t="s">
        <v>1556</v>
      </c>
      <c r="C177" s="108" t="s">
        <v>1557</v>
      </c>
      <c r="D177" s="108" t="s">
        <v>109</v>
      </c>
      <c r="E177" s="109" t="s">
        <v>1430</v>
      </c>
      <c r="F177" s="109" t="s">
        <v>1540</v>
      </c>
      <c r="G177" s="110">
        <v>25200</v>
      </c>
      <c r="H177" s="111" t="s">
        <v>102</v>
      </c>
      <c r="I177" s="112" t="s">
        <v>1575</v>
      </c>
      <c r="J177" s="111" t="s">
        <v>1193</v>
      </c>
      <c r="K177" s="112" t="s">
        <v>1432</v>
      </c>
      <c r="L177" s="111" t="s">
        <v>113</v>
      </c>
      <c r="M177" s="112" t="s">
        <v>1576</v>
      </c>
      <c r="N177" s="111" t="s">
        <v>102</v>
      </c>
      <c r="O177" s="112" t="s">
        <v>1575</v>
      </c>
      <c r="P177" s="111" t="s">
        <v>1285</v>
      </c>
      <c r="Q177" s="112" t="s">
        <v>1577</v>
      </c>
      <c r="R177" s="111" t="s">
        <v>1193</v>
      </c>
      <c r="S177" s="112" t="s">
        <v>1432</v>
      </c>
      <c r="T177" s="113">
        <f>13.96</f>
        <v>13.96</v>
      </c>
      <c r="U177" s="114">
        <f>183</f>
        <v>183</v>
      </c>
      <c r="V177" s="114">
        <v>28</v>
      </c>
      <c r="W177" s="114"/>
      <c r="X177" s="114">
        <f>56007000</f>
        <v>56007000</v>
      </c>
      <c r="Y177" s="114">
        <v>12096000</v>
      </c>
      <c r="Z177" s="115"/>
      <c r="AA177" s="111" t="s">
        <v>60</v>
      </c>
      <c r="AB177" s="116">
        <f>163</f>
        <v>163</v>
      </c>
      <c r="AC177" s="116" t="str">
        <f t="shared" si="8"/>
        <v>－</v>
      </c>
      <c r="AD177" s="117">
        <f>3</f>
        <v>3</v>
      </c>
    </row>
    <row r="178" spans="1:30">
      <c r="A178" s="107" t="s">
        <v>46</v>
      </c>
      <c r="B178" s="108" t="s">
        <v>1556</v>
      </c>
      <c r="C178" s="108" t="s">
        <v>1557</v>
      </c>
      <c r="D178" s="108" t="s">
        <v>544</v>
      </c>
      <c r="E178" s="109" t="s">
        <v>1544</v>
      </c>
      <c r="F178" s="109" t="s">
        <v>1435</v>
      </c>
      <c r="G178" s="110">
        <v>22800</v>
      </c>
      <c r="H178" s="111" t="s">
        <v>1193</v>
      </c>
      <c r="I178" s="112" t="s">
        <v>1496</v>
      </c>
      <c r="J178" s="111" t="s">
        <v>1193</v>
      </c>
      <c r="K178" s="112" t="s">
        <v>1496</v>
      </c>
      <c r="L178" s="111" t="s">
        <v>1193</v>
      </c>
      <c r="M178" s="112" t="s">
        <v>1578</v>
      </c>
      <c r="N178" s="111" t="s">
        <v>152</v>
      </c>
      <c r="O178" s="112" t="s">
        <v>1437</v>
      </c>
      <c r="P178" s="111" t="s">
        <v>1285</v>
      </c>
      <c r="Q178" s="112" t="s">
        <v>1577</v>
      </c>
      <c r="R178" s="111" t="s">
        <v>152</v>
      </c>
      <c r="S178" s="112" t="s">
        <v>1437</v>
      </c>
      <c r="T178" s="113">
        <f>16.85</f>
        <v>16.850000000000001</v>
      </c>
      <c r="U178" s="114">
        <f>40</f>
        <v>40</v>
      </c>
      <c r="V178" s="114">
        <v>31</v>
      </c>
      <c r="W178" s="114"/>
      <c r="X178" s="114">
        <f>19459800</f>
        <v>19459800</v>
      </c>
      <c r="Y178" s="114">
        <v>13873800</v>
      </c>
      <c r="Z178" s="115"/>
      <c r="AA178" s="111"/>
      <c r="AB178" s="116">
        <f>40</f>
        <v>40</v>
      </c>
      <c r="AC178" s="116" t="str">
        <f t="shared" si="8"/>
        <v>－</v>
      </c>
      <c r="AD178" s="117">
        <f>2</f>
        <v>2</v>
      </c>
    </row>
    <row r="179" spans="1:30">
      <c r="A179" s="107" t="s">
        <v>46</v>
      </c>
      <c r="B179" s="108" t="s">
        <v>1556</v>
      </c>
      <c r="C179" s="108" t="s">
        <v>1557</v>
      </c>
      <c r="D179" s="108" t="s">
        <v>122</v>
      </c>
      <c r="E179" s="109" t="s">
        <v>1439</v>
      </c>
      <c r="F179" s="109" t="s">
        <v>1078</v>
      </c>
      <c r="G179" s="110">
        <v>21600</v>
      </c>
      <c r="H179" s="111" t="s">
        <v>1193</v>
      </c>
      <c r="I179" s="112" t="s">
        <v>1496</v>
      </c>
      <c r="J179" s="111" t="s">
        <v>1193</v>
      </c>
      <c r="K179" s="112" t="s">
        <v>1496</v>
      </c>
      <c r="L179" s="111" t="s">
        <v>228</v>
      </c>
      <c r="M179" s="112" t="s">
        <v>1495</v>
      </c>
      <c r="N179" s="111" t="s">
        <v>152</v>
      </c>
      <c r="O179" s="112" t="s">
        <v>1437</v>
      </c>
      <c r="P179" s="111" t="s">
        <v>1285</v>
      </c>
      <c r="Q179" s="112" t="s">
        <v>1577</v>
      </c>
      <c r="R179" s="111" t="s">
        <v>152</v>
      </c>
      <c r="S179" s="112" t="s">
        <v>1437</v>
      </c>
      <c r="T179" s="113">
        <f>16.3</f>
        <v>16.3</v>
      </c>
      <c r="U179" s="114">
        <f>35</f>
        <v>35</v>
      </c>
      <c r="V179" s="114">
        <v>22</v>
      </c>
      <c r="W179" s="114"/>
      <c r="X179" s="114">
        <f>14623200</f>
        <v>14623200</v>
      </c>
      <c r="Y179" s="114">
        <v>7279200</v>
      </c>
      <c r="Z179" s="115"/>
      <c r="AA179" s="111"/>
      <c r="AB179" s="116">
        <f>35</f>
        <v>35</v>
      </c>
      <c r="AC179" s="116" t="str">
        <f t="shared" si="8"/>
        <v>－</v>
      </c>
      <c r="AD179" s="117">
        <f>2</f>
        <v>2</v>
      </c>
    </row>
    <row r="180" spans="1:30">
      <c r="A180" s="107" t="s">
        <v>46</v>
      </c>
      <c r="B180" s="108" t="s">
        <v>1556</v>
      </c>
      <c r="C180" s="108" t="s">
        <v>1557</v>
      </c>
      <c r="D180" s="108" t="s">
        <v>557</v>
      </c>
      <c r="E180" s="109" t="s">
        <v>1549</v>
      </c>
      <c r="F180" s="109" t="s">
        <v>1441</v>
      </c>
      <c r="G180" s="110">
        <v>26400</v>
      </c>
      <c r="H180" s="111" t="s">
        <v>565</v>
      </c>
      <c r="I180" s="112" t="s">
        <v>1444</v>
      </c>
      <c r="J180" s="111" t="s">
        <v>565</v>
      </c>
      <c r="K180" s="112" t="s">
        <v>1444</v>
      </c>
      <c r="L180" s="111"/>
      <c r="M180" s="112"/>
      <c r="N180" s="111" t="s">
        <v>565</v>
      </c>
      <c r="O180" s="112" t="s">
        <v>1444</v>
      </c>
      <c r="P180" s="111"/>
      <c r="Q180" s="112"/>
      <c r="R180" s="111" t="s">
        <v>565</v>
      </c>
      <c r="S180" s="112" t="s">
        <v>1444</v>
      </c>
      <c r="T180" s="113">
        <f>10.36</f>
        <v>10.36</v>
      </c>
      <c r="U180" s="114">
        <f>10</f>
        <v>10</v>
      </c>
      <c r="V180" s="114"/>
      <c r="W180" s="114"/>
      <c r="X180" s="114">
        <f>4752000</f>
        <v>4752000</v>
      </c>
      <c r="Y180" s="114"/>
      <c r="Z180" s="115"/>
      <c r="AA180" s="111"/>
      <c r="AB180" s="116">
        <f>10</f>
        <v>10</v>
      </c>
      <c r="AC180" s="116" t="str">
        <f t="shared" si="8"/>
        <v>－</v>
      </c>
      <c r="AD180" s="117">
        <f>1</f>
        <v>1</v>
      </c>
    </row>
    <row r="181" spans="1:30">
      <c r="A181" s="107" t="s">
        <v>46</v>
      </c>
      <c r="B181" s="108" t="s">
        <v>1556</v>
      </c>
      <c r="C181" s="108" t="s">
        <v>1557</v>
      </c>
      <c r="D181" s="108" t="s">
        <v>134</v>
      </c>
      <c r="E181" s="109" t="s">
        <v>779</v>
      </c>
      <c r="F181" s="109" t="s">
        <v>1550</v>
      </c>
      <c r="G181" s="110">
        <v>24000</v>
      </c>
      <c r="H181" s="111"/>
      <c r="I181" s="112" t="s">
        <v>260</v>
      </c>
      <c r="J181" s="111"/>
      <c r="K181" s="112" t="s">
        <v>260</v>
      </c>
      <c r="L181" s="111"/>
      <c r="M181" s="112"/>
      <c r="N181" s="111"/>
      <c r="O181" s="112" t="s">
        <v>260</v>
      </c>
      <c r="P181" s="111"/>
      <c r="Q181" s="112"/>
      <c r="R181" s="111"/>
      <c r="S181" s="112" t="s">
        <v>260</v>
      </c>
      <c r="T181" s="113">
        <f>8.66</f>
        <v>8.66</v>
      </c>
      <c r="U181" s="114" t="str">
        <f t="shared" ref="U181:U192" si="12">"－"</f>
        <v>－</v>
      </c>
      <c r="V181" s="114"/>
      <c r="W181" s="114"/>
      <c r="X181" s="114" t="str">
        <f t="shared" ref="X181:X192" si="13">"－"</f>
        <v>－</v>
      </c>
      <c r="Y181" s="114"/>
      <c r="Z181" s="115"/>
      <c r="AA181" s="111"/>
      <c r="AB181" s="116" t="str">
        <f t="shared" ref="AB181:AB192" si="14">"－"</f>
        <v>－</v>
      </c>
      <c r="AC181" s="116" t="str">
        <f t="shared" si="8"/>
        <v>－</v>
      </c>
      <c r="AD181" s="117" t="str">
        <f t="shared" si="8"/>
        <v>－</v>
      </c>
    </row>
    <row r="182" spans="1:30">
      <c r="A182" s="107" t="s">
        <v>46</v>
      </c>
      <c r="B182" s="108" t="s">
        <v>1556</v>
      </c>
      <c r="C182" s="108" t="s">
        <v>1557</v>
      </c>
      <c r="D182" s="108" t="s">
        <v>577</v>
      </c>
      <c r="E182" s="109" t="s">
        <v>781</v>
      </c>
      <c r="F182" s="109" t="s">
        <v>1448</v>
      </c>
      <c r="G182" s="110">
        <v>21600</v>
      </c>
      <c r="H182" s="111"/>
      <c r="I182" s="112" t="s">
        <v>260</v>
      </c>
      <c r="J182" s="111"/>
      <c r="K182" s="112" t="s">
        <v>260</v>
      </c>
      <c r="L182" s="111"/>
      <c r="M182" s="112"/>
      <c r="N182" s="111"/>
      <c r="O182" s="112" t="s">
        <v>260</v>
      </c>
      <c r="P182" s="111"/>
      <c r="Q182" s="112"/>
      <c r="R182" s="111"/>
      <c r="S182" s="112" t="s">
        <v>260</v>
      </c>
      <c r="T182" s="113">
        <f>9.77</f>
        <v>9.77</v>
      </c>
      <c r="U182" s="114" t="str">
        <f t="shared" si="12"/>
        <v>－</v>
      </c>
      <c r="V182" s="114"/>
      <c r="W182" s="114"/>
      <c r="X182" s="114" t="str">
        <f t="shared" si="13"/>
        <v>－</v>
      </c>
      <c r="Y182" s="114"/>
      <c r="Z182" s="115"/>
      <c r="AA182" s="111"/>
      <c r="AB182" s="116" t="str">
        <f t="shared" si="14"/>
        <v>－</v>
      </c>
      <c r="AC182" s="116" t="str">
        <f t="shared" si="8"/>
        <v>－</v>
      </c>
      <c r="AD182" s="117" t="str">
        <f t="shared" si="8"/>
        <v>－</v>
      </c>
    </row>
    <row r="183" spans="1:30">
      <c r="A183" s="107" t="s">
        <v>46</v>
      </c>
      <c r="B183" s="108" t="s">
        <v>1556</v>
      </c>
      <c r="C183" s="108" t="s">
        <v>1557</v>
      </c>
      <c r="D183" s="108" t="s">
        <v>146</v>
      </c>
      <c r="E183" s="109" t="s">
        <v>783</v>
      </c>
      <c r="F183" s="109" t="s">
        <v>1449</v>
      </c>
      <c r="G183" s="110">
        <v>26400</v>
      </c>
      <c r="H183" s="111"/>
      <c r="I183" s="112" t="s">
        <v>260</v>
      </c>
      <c r="J183" s="111"/>
      <c r="K183" s="112" t="s">
        <v>260</v>
      </c>
      <c r="L183" s="111"/>
      <c r="M183" s="112"/>
      <c r="N183" s="111"/>
      <c r="O183" s="112" t="s">
        <v>260</v>
      </c>
      <c r="P183" s="111"/>
      <c r="Q183" s="112"/>
      <c r="R183" s="111"/>
      <c r="S183" s="112" t="s">
        <v>260</v>
      </c>
      <c r="T183" s="113">
        <f>10.37</f>
        <v>10.37</v>
      </c>
      <c r="U183" s="114" t="str">
        <f t="shared" si="12"/>
        <v>－</v>
      </c>
      <c r="V183" s="114"/>
      <c r="W183" s="114"/>
      <c r="X183" s="114" t="str">
        <f t="shared" si="13"/>
        <v>－</v>
      </c>
      <c r="Y183" s="114"/>
      <c r="Z183" s="115"/>
      <c r="AA183" s="111"/>
      <c r="AB183" s="116" t="str">
        <f t="shared" si="14"/>
        <v>－</v>
      </c>
      <c r="AC183" s="116" t="str">
        <f t="shared" si="8"/>
        <v>－</v>
      </c>
      <c r="AD183" s="117" t="str">
        <f t="shared" si="8"/>
        <v>－</v>
      </c>
    </row>
    <row r="184" spans="1:30">
      <c r="A184" s="107" t="s">
        <v>46</v>
      </c>
      <c r="B184" s="108" t="s">
        <v>1556</v>
      </c>
      <c r="C184" s="108" t="s">
        <v>1557</v>
      </c>
      <c r="D184" s="108" t="s">
        <v>745</v>
      </c>
      <c r="E184" s="109" t="s">
        <v>785</v>
      </c>
      <c r="F184" s="109" t="s">
        <v>1551</v>
      </c>
      <c r="G184" s="110">
        <v>24000</v>
      </c>
      <c r="H184" s="111"/>
      <c r="I184" s="112" t="s">
        <v>260</v>
      </c>
      <c r="J184" s="111"/>
      <c r="K184" s="112" t="s">
        <v>260</v>
      </c>
      <c r="L184" s="111"/>
      <c r="M184" s="112"/>
      <c r="N184" s="111"/>
      <c r="O184" s="112" t="s">
        <v>260</v>
      </c>
      <c r="P184" s="111"/>
      <c r="Q184" s="112"/>
      <c r="R184" s="111"/>
      <c r="S184" s="112" t="s">
        <v>260</v>
      </c>
      <c r="T184" s="113">
        <f>12.48</f>
        <v>12.48</v>
      </c>
      <c r="U184" s="114" t="str">
        <f t="shared" si="12"/>
        <v>－</v>
      </c>
      <c r="V184" s="114"/>
      <c r="W184" s="114"/>
      <c r="X184" s="114" t="str">
        <f t="shared" si="13"/>
        <v>－</v>
      </c>
      <c r="Y184" s="114"/>
      <c r="Z184" s="115"/>
      <c r="AA184" s="111"/>
      <c r="AB184" s="116" t="str">
        <f t="shared" si="14"/>
        <v>－</v>
      </c>
      <c r="AC184" s="116" t="str">
        <f t="shared" si="8"/>
        <v>－</v>
      </c>
      <c r="AD184" s="117" t="str">
        <f t="shared" si="8"/>
        <v>－</v>
      </c>
    </row>
    <row r="185" spans="1:30">
      <c r="A185" s="107" t="s">
        <v>46</v>
      </c>
      <c r="B185" s="108" t="s">
        <v>1556</v>
      </c>
      <c r="C185" s="108" t="s">
        <v>1557</v>
      </c>
      <c r="D185" s="108" t="s">
        <v>158</v>
      </c>
      <c r="E185" s="109" t="s">
        <v>787</v>
      </c>
      <c r="F185" s="109" t="s">
        <v>1450</v>
      </c>
      <c r="G185" s="110">
        <v>26400</v>
      </c>
      <c r="H185" s="111"/>
      <c r="I185" s="112" t="s">
        <v>260</v>
      </c>
      <c r="J185" s="111"/>
      <c r="K185" s="112" t="s">
        <v>260</v>
      </c>
      <c r="L185" s="111"/>
      <c r="M185" s="112"/>
      <c r="N185" s="111"/>
      <c r="O185" s="112" t="s">
        <v>260</v>
      </c>
      <c r="P185" s="111"/>
      <c r="Q185" s="112"/>
      <c r="R185" s="111"/>
      <c r="S185" s="112" t="s">
        <v>260</v>
      </c>
      <c r="T185" s="113">
        <f>13.66</f>
        <v>13.66</v>
      </c>
      <c r="U185" s="114" t="str">
        <f t="shared" si="12"/>
        <v>－</v>
      </c>
      <c r="V185" s="114"/>
      <c r="W185" s="114"/>
      <c r="X185" s="114" t="str">
        <f t="shared" si="13"/>
        <v>－</v>
      </c>
      <c r="Y185" s="114"/>
      <c r="Z185" s="115"/>
      <c r="AA185" s="111"/>
      <c r="AB185" s="116" t="str">
        <f t="shared" si="14"/>
        <v>－</v>
      </c>
      <c r="AC185" s="116" t="str">
        <f t="shared" si="8"/>
        <v>－</v>
      </c>
      <c r="AD185" s="117" t="str">
        <f t="shared" si="8"/>
        <v>－</v>
      </c>
    </row>
    <row r="186" spans="1:30">
      <c r="A186" s="107" t="s">
        <v>46</v>
      </c>
      <c r="B186" s="108" t="s">
        <v>1556</v>
      </c>
      <c r="C186" s="108" t="s">
        <v>1557</v>
      </c>
      <c r="D186" s="108" t="s">
        <v>754</v>
      </c>
      <c r="E186" s="109" t="s">
        <v>792</v>
      </c>
      <c r="F186" s="109" t="s">
        <v>1451</v>
      </c>
      <c r="G186" s="110">
        <v>24000</v>
      </c>
      <c r="H186" s="111"/>
      <c r="I186" s="112" t="s">
        <v>260</v>
      </c>
      <c r="J186" s="111"/>
      <c r="K186" s="112" t="s">
        <v>260</v>
      </c>
      <c r="L186" s="111"/>
      <c r="M186" s="112"/>
      <c r="N186" s="111"/>
      <c r="O186" s="112" t="s">
        <v>260</v>
      </c>
      <c r="P186" s="111"/>
      <c r="Q186" s="112"/>
      <c r="R186" s="111"/>
      <c r="S186" s="112" t="s">
        <v>260</v>
      </c>
      <c r="T186" s="113">
        <f>11.99</f>
        <v>11.99</v>
      </c>
      <c r="U186" s="114" t="str">
        <f t="shared" si="12"/>
        <v>－</v>
      </c>
      <c r="V186" s="114"/>
      <c r="W186" s="114"/>
      <c r="X186" s="114" t="str">
        <f t="shared" si="13"/>
        <v>－</v>
      </c>
      <c r="Y186" s="114"/>
      <c r="Z186" s="115"/>
      <c r="AA186" s="111"/>
      <c r="AB186" s="116" t="str">
        <f t="shared" si="14"/>
        <v>－</v>
      </c>
      <c r="AC186" s="116" t="str">
        <f t="shared" si="8"/>
        <v>－</v>
      </c>
      <c r="AD186" s="117" t="str">
        <f t="shared" si="8"/>
        <v>－</v>
      </c>
    </row>
    <row r="187" spans="1:30">
      <c r="A187" s="107" t="s">
        <v>46</v>
      </c>
      <c r="B187" s="108" t="s">
        <v>1556</v>
      </c>
      <c r="C187" s="108" t="s">
        <v>1557</v>
      </c>
      <c r="D187" s="108" t="s">
        <v>169</v>
      </c>
      <c r="E187" s="109" t="s">
        <v>794</v>
      </c>
      <c r="F187" s="109" t="s">
        <v>1452</v>
      </c>
      <c r="G187" s="110">
        <v>24000</v>
      </c>
      <c r="H187" s="111"/>
      <c r="I187" s="112" t="s">
        <v>260</v>
      </c>
      <c r="J187" s="111"/>
      <c r="K187" s="112" t="s">
        <v>260</v>
      </c>
      <c r="L187" s="111"/>
      <c r="M187" s="112"/>
      <c r="N187" s="111"/>
      <c r="O187" s="112" t="s">
        <v>260</v>
      </c>
      <c r="P187" s="111"/>
      <c r="Q187" s="112"/>
      <c r="R187" s="111"/>
      <c r="S187" s="112" t="s">
        <v>260</v>
      </c>
      <c r="T187" s="113">
        <f>11.19</f>
        <v>11.19</v>
      </c>
      <c r="U187" s="114" t="str">
        <f t="shared" si="12"/>
        <v>－</v>
      </c>
      <c r="V187" s="114"/>
      <c r="W187" s="114"/>
      <c r="X187" s="114" t="str">
        <f t="shared" si="13"/>
        <v>－</v>
      </c>
      <c r="Y187" s="114"/>
      <c r="Z187" s="115"/>
      <c r="AA187" s="111"/>
      <c r="AB187" s="116" t="str">
        <f t="shared" si="14"/>
        <v>－</v>
      </c>
      <c r="AC187" s="116" t="str">
        <f t="shared" si="8"/>
        <v>－</v>
      </c>
      <c r="AD187" s="117" t="str">
        <f t="shared" si="8"/>
        <v>－</v>
      </c>
    </row>
    <row r="188" spans="1:30">
      <c r="A188" s="107" t="s">
        <v>46</v>
      </c>
      <c r="B188" s="108" t="s">
        <v>1556</v>
      </c>
      <c r="C188" s="108" t="s">
        <v>1557</v>
      </c>
      <c r="D188" s="108" t="s">
        <v>767</v>
      </c>
      <c r="E188" s="109" t="s">
        <v>801</v>
      </c>
      <c r="F188" s="109" t="s">
        <v>1455</v>
      </c>
      <c r="G188" s="110">
        <v>24000</v>
      </c>
      <c r="H188" s="111"/>
      <c r="I188" s="112" t="s">
        <v>260</v>
      </c>
      <c r="J188" s="111"/>
      <c r="K188" s="112" t="s">
        <v>260</v>
      </c>
      <c r="L188" s="111"/>
      <c r="M188" s="112"/>
      <c r="N188" s="111"/>
      <c r="O188" s="112" t="s">
        <v>260</v>
      </c>
      <c r="P188" s="111"/>
      <c r="Q188" s="112"/>
      <c r="R188" s="111"/>
      <c r="S188" s="112" t="s">
        <v>260</v>
      </c>
      <c r="T188" s="113">
        <f>11.32</f>
        <v>11.32</v>
      </c>
      <c r="U188" s="114" t="str">
        <f t="shared" si="12"/>
        <v>－</v>
      </c>
      <c r="V188" s="114"/>
      <c r="W188" s="114"/>
      <c r="X188" s="114" t="str">
        <f t="shared" si="13"/>
        <v>－</v>
      </c>
      <c r="Y188" s="114"/>
      <c r="Z188" s="115"/>
      <c r="AA188" s="111"/>
      <c r="AB188" s="116" t="str">
        <f t="shared" si="14"/>
        <v>－</v>
      </c>
      <c r="AC188" s="116" t="str">
        <f t="shared" si="8"/>
        <v>－</v>
      </c>
      <c r="AD188" s="117" t="str">
        <f t="shared" si="8"/>
        <v>－</v>
      </c>
    </row>
    <row r="189" spans="1:30">
      <c r="A189" s="107" t="s">
        <v>46</v>
      </c>
      <c r="B189" s="108" t="s">
        <v>1556</v>
      </c>
      <c r="C189" s="108" t="s">
        <v>1557</v>
      </c>
      <c r="D189" s="108" t="s">
        <v>182</v>
      </c>
      <c r="E189" s="109" t="s">
        <v>803</v>
      </c>
      <c r="F189" s="109" t="s">
        <v>1552</v>
      </c>
      <c r="G189" s="110">
        <v>25200</v>
      </c>
      <c r="H189" s="111"/>
      <c r="I189" s="112" t="s">
        <v>260</v>
      </c>
      <c r="J189" s="111"/>
      <c r="K189" s="112" t="s">
        <v>260</v>
      </c>
      <c r="L189" s="111"/>
      <c r="M189" s="112"/>
      <c r="N189" s="111"/>
      <c r="O189" s="112" t="s">
        <v>260</v>
      </c>
      <c r="P189" s="111"/>
      <c r="Q189" s="112"/>
      <c r="R189" s="111"/>
      <c r="S189" s="112" t="s">
        <v>260</v>
      </c>
      <c r="T189" s="113">
        <f>13.64</f>
        <v>13.64</v>
      </c>
      <c r="U189" s="114" t="str">
        <f t="shared" si="12"/>
        <v>－</v>
      </c>
      <c r="V189" s="114"/>
      <c r="W189" s="114"/>
      <c r="X189" s="114" t="str">
        <f t="shared" si="13"/>
        <v>－</v>
      </c>
      <c r="Y189" s="114"/>
      <c r="Z189" s="115"/>
      <c r="AA189" s="111"/>
      <c r="AB189" s="116" t="str">
        <f t="shared" si="14"/>
        <v>－</v>
      </c>
      <c r="AC189" s="116" t="str">
        <f t="shared" si="8"/>
        <v>－</v>
      </c>
      <c r="AD189" s="117" t="str">
        <f t="shared" si="8"/>
        <v>－</v>
      </c>
    </row>
    <row r="190" spans="1:30">
      <c r="A190" s="107" t="s">
        <v>46</v>
      </c>
      <c r="B190" s="108" t="s">
        <v>1556</v>
      </c>
      <c r="C190" s="108" t="s">
        <v>1557</v>
      </c>
      <c r="D190" s="108" t="s">
        <v>938</v>
      </c>
      <c r="E190" s="109" t="s">
        <v>805</v>
      </c>
      <c r="F190" s="109" t="s">
        <v>1457</v>
      </c>
      <c r="G190" s="110">
        <v>22800</v>
      </c>
      <c r="H190" s="111"/>
      <c r="I190" s="112" t="s">
        <v>260</v>
      </c>
      <c r="J190" s="111"/>
      <c r="K190" s="112" t="s">
        <v>260</v>
      </c>
      <c r="L190" s="111"/>
      <c r="M190" s="112"/>
      <c r="N190" s="111"/>
      <c r="O190" s="112" t="s">
        <v>260</v>
      </c>
      <c r="P190" s="111"/>
      <c r="Q190" s="112"/>
      <c r="R190" s="111"/>
      <c r="S190" s="112" t="s">
        <v>260</v>
      </c>
      <c r="T190" s="113">
        <f>14.75</f>
        <v>14.75</v>
      </c>
      <c r="U190" s="114" t="str">
        <f t="shared" si="12"/>
        <v>－</v>
      </c>
      <c r="V190" s="114"/>
      <c r="W190" s="114"/>
      <c r="X190" s="114" t="str">
        <f t="shared" si="13"/>
        <v>－</v>
      </c>
      <c r="Y190" s="114"/>
      <c r="Z190" s="115"/>
      <c r="AA190" s="111"/>
      <c r="AB190" s="116" t="str">
        <f t="shared" si="14"/>
        <v>－</v>
      </c>
      <c r="AC190" s="116" t="str">
        <f t="shared" si="8"/>
        <v>－</v>
      </c>
      <c r="AD190" s="117" t="str">
        <f t="shared" si="8"/>
        <v>－</v>
      </c>
    </row>
    <row r="191" spans="1:30">
      <c r="A191" s="107" t="s">
        <v>46</v>
      </c>
      <c r="B191" s="108" t="s">
        <v>1556</v>
      </c>
      <c r="C191" s="108" t="s">
        <v>1557</v>
      </c>
      <c r="D191" s="108" t="s">
        <v>1359</v>
      </c>
      <c r="E191" s="109" t="s">
        <v>812</v>
      </c>
      <c r="F191" s="109" t="s">
        <v>1460</v>
      </c>
      <c r="G191" s="110">
        <v>22800</v>
      </c>
      <c r="H191" s="111"/>
      <c r="I191" s="112" t="s">
        <v>260</v>
      </c>
      <c r="J191" s="111"/>
      <c r="K191" s="112" t="s">
        <v>260</v>
      </c>
      <c r="L191" s="111"/>
      <c r="M191" s="112"/>
      <c r="N191" s="111"/>
      <c r="O191" s="112" t="s">
        <v>260</v>
      </c>
      <c r="P191" s="111"/>
      <c r="Q191" s="112"/>
      <c r="R191" s="111"/>
      <c r="S191" s="112" t="s">
        <v>260</v>
      </c>
      <c r="T191" s="113">
        <f>16.72</f>
        <v>16.72</v>
      </c>
      <c r="U191" s="114" t="str">
        <f t="shared" si="12"/>
        <v>－</v>
      </c>
      <c r="V191" s="114"/>
      <c r="W191" s="114"/>
      <c r="X191" s="114" t="str">
        <f t="shared" si="13"/>
        <v>－</v>
      </c>
      <c r="Y191" s="114"/>
      <c r="Z191" s="115"/>
      <c r="AA191" s="111"/>
      <c r="AB191" s="116" t="str">
        <f t="shared" si="14"/>
        <v>－</v>
      </c>
      <c r="AC191" s="116" t="str">
        <f t="shared" si="8"/>
        <v>－</v>
      </c>
      <c r="AD191" s="117" t="str">
        <f t="shared" si="8"/>
        <v>－</v>
      </c>
    </row>
    <row r="192" spans="1:30">
      <c r="A192" s="107" t="s">
        <v>46</v>
      </c>
      <c r="B192" s="108" t="s">
        <v>1556</v>
      </c>
      <c r="C192" s="108" t="s">
        <v>1557</v>
      </c>
      <c r="D192" s="108" t="s">
        <v>1553</v>
      </c>
      <c r="E192" s="109" t="s">
        <v>1554</v>
      </c>
      <c r="F192" s="109" t="s">
        <v>1555</v>
      </c>
      <c r="G192" s="110">
        <v>26400</v>
      </c>
      <c r="H192" s="111"/>
      <c r="I192" s="112" t="s">
        <v>260</v>
      </c>
      <c r="J192" s="111"/>
      <c r="K192" s="112" t="s">
        <v>260</v>
      </c>
      <c r="L192" s="111"/>
      <c r="M192" s="112"/>
      <c r="N192" s="111"/>
      <c r="O192" s="112" t="s">
        <v>260</v>
      </c>
      <c r="P192" s="111"/>
      <c r="Q192" s="112"/>
      <c r="R192" s="111"/>
      <c r="S192" s="112" t="s">
        <v>260</v>
      </c>
      <c r="T192" s="113">
        <f>14</f>
        <v>14</v>
      </c>
      <c r="U192" s="114" t="str">
        <f t="shared" si="12"/>
        <v>－</v>
      </c>
      <c r="V192" s="114"/>
      <c r="W192" s="114"/>
      <c r="X192" s="114" t="str">
        <f t="shared" si="13"/>
        <v>－</v>
      </c>
      <c r="Y192" s="114"/>
      <c r="Z192" s="115"/>
      <c r="AA192" s="111"/>
      <c r="AB192" s="116" t="str">
        <f t="shared" si="14"/>
        <v>－</v>
      </c>
      <c r="AC192" s="116" t="str">
        <f t="shared" si="8"/>
        <v>－</v>
      </c>
      <c r="AD192" s="117" t="str">
        <f t="shared" si="8"/>
        <v>－</v>
      </c>
    </row>
    <row r="193" spans="1:30">
      <c r="A193" s="107" t="s">
        <v>46</v>
      </c>
      <c r="B193" s="108" t="s">
        <v>1579</v>
      </c>
      <c r="C193" s="108" t="s">
        <v>1580</v>
      </c>
      <c r="D193" s="108" t="s">
        <v>49</v>
      </c>
      <c r="E193" s="109" t="s">
        <v>989</v>
      </c>
      <c r="F193" s="109" t="s">
        <v>594</v>
      </c>
      <c r="G193" s="110">
        <v>10</v>
      </c>
      <c r="H193" s="111" t="s">
        <v>460</v>
      </c>
      <c r="I193" s="112" t="s">
        <v>1581</v>
      </c>
      <c r="J193" s="111" t="s">
        <v>411</v>
      </c>
      <c r="K193" s="112" t="s">
        <v>1582</v>
      </c>
      <c r="L193" s="111" t="s">
        <v>1370</v>
      </c>
      <c r="M193" s="112" t="s">
        <v>1583</v>
      </c>
      <c r="N193" s="111" t="s">
        <v>460</v>
      </c>
      <c r="O193" s="112" t="s">
        <v>1581</v>
      </c>
      <c r="P193" s="111" t="s">
        <v>472</v>
      </c>
      <c r="Q193" s="112" t="s">
        <v>1584</v>
      </c>
      <c r="R193" s="111" t="s">
        <v>602</v>
      </c>
      <c r="S193" s="112" t="s">
        <v>1585</v>
      </c>
      <c r="T193" s="113">
        <f>48650.67</f>
        <v>48650.67</v>
      </c>
      <c r="U193" s="114">
        <f>401</f>
        <v>401</v>
      </c>
      <c r="V193" s="114">
        <v>171</v>
      </c>
      <c r="W193" s="114"/>
      <c r="X193" s="114">
        <f>197378500</f>
        <v>197378500</v>
      </c>
      <c r="Y193" s="114">
        <v>84041000</v>
      </c>
      <c r="Z193" s="115"/>
      <c r="AA193" s="111" t="s">
        <v>60</v>
      </c>
      <c r="AB193" s="116">
        <f>458</f>
        <v>458</v>
      </c>
      <c r="AC193" s="116" t="str">
        <f t="shared" si="8"/>
        <v>－</v>
      </c>
      <c r="AD193" s="117">
        <f>10</f>
        <v>10</v>
      </c>
    </row>
    <row r="194" spans="1:30">
      <c r="A194" s="107" t="s">
        <v>46</v>
      </c>
      <c r="B194" s="108" t="s">
        <v>1579</v>
      </c>
      <c r="C194" s="108" t="s">
        <v>1580</v>
      </c>
      <c r="D194" s="108" t="s">
        <v>612</v>
      </c>
      <c r="E194" s="109" t="s">
        <v>604</v>
      </c>
      <c r="F194" s="109" t="s">
        <v>996</v>
      </c>
      <c r="G194" s="110">
        <v>10</v>
      </c>
      <c r="H194" s="111" t="s">
        <v>52</v>
      </c>
      <c r="I194" s="112" t="s">
        <v>1581</v>
      </c>
      <c r="J194" s="111" t="s">
        <v>490</v>
      </c>
      <c r="K194" s="112" t="s">
        <v>1586</v>
      </c>
      <c r="L194" s="111" t="s">
        <v>490</v>
      </c>
      <c r="M194" s="112" t="s">
        <v>1587</v>
      </c>
      <c r="N194" s="111" t="s">
        <v>52</v>
      </c>
      <c r="O194" s="112" t="s">
        <v>1581</v>
      </c>
      <c r="P194" s="111" t="s">
        <v>125</v>
      </c>
      <c r="Q194" s="112" t="s">
        <v>1588</v>
      </c>
      <c r="R194" s="111" t="s">
        <v>490</v>
      </c>
      <c r="S194" s="112" t="s">
        <v>1589</v>
      </c>
      <c r="T194" s="113">
        <f>50783.89</f>
        <v>50783.89</v>
      </c>
      <c r="U194" s="114">
        <f>504</f>
        <v>504</v>
      </c>
      <c r="V194" s="114">
        <v>186</v>
      </c>
      <c r="W194" s="114"/>
      <c r="X194" s="114">
        <f>276380400</f>
        <v>276380400</v>
      </c>
      <c r="Y194" s="114">
        <v>104073000</v>
      </c>
      <c r="Z194" s="115"/>
      <c r="AA194" s="111" t="s">
        <v>60</v>
      </c>
      <c r="AB194" s="116">
        <f>329</f>
        <v>329</v>
      </c>
      <c r="AC194" s="116" t="str">
        <f t="shared" si="8"/>
        <v>－</v>
      </c>
      <c r="AD194" s="117">
        <f>16</f>
        <v>16</v>
      </c>
    </row>
    <row r="195" spans="1:30">
      <c r="A195" s="107" t="s">
        <v>46</v>
      </c>
      <c r="B195" s="108" t="s">
        <v>1579</v>
      </c>
      <c r="C195" s="108" t="s">
        <v>1580</v>
      </c>
      <c r="D195" s="108" t="s">
        <v>61</v>
      </c>
      <c r="E195" s="109" t="s">
        <v>951</v>
      </c>
      <c r="F195" s="109" t="s">
        <v>614</v>
      </c>
      <c r="G195" s="110">
        <v>10</v>
      </c>
      <c r="H195" s="111" t="s">
        <v>68</v>
      </c>
      <c r="I195" s="112" t="s">
        <v>1590</v>
      </c>
      <c r="J195" s="111" t="s">
        <v>627</v>
      </c>
      <c r="K195" s="112" t="s">
        <v>1591</v>
      </c>
      <c r="L195" s="111" t="s">
        <v>1044</v>
      </c>
      <c r="M195" s="112" t="s">
        <v>1592</v>
      </c>
      <c r="N195" s="111" t="s">
        <v>622</v>
      </c>
      <c r="O195" s="112" t="s">
        <v>1122</v>
      </c>
      <c r="P195" s="111" t="s">
        <v>1250</v>
      </c>
      <c r="Q195" s="112" t="s">
        <v>1593</v>
      </c>
      <c r="R195" s="111" t="s">
        <v>1008</v>
      </c>
      <c r="S195" s="112" t="s">
        <v>1594</v>
      </c>
      <c r="T195" s="113">
        <f>52090.89</f>
        <v>52090.89</v>
      </c>
      <c r="U195" s="114">
        <f>576</f>
        <v>576</v>
      </c>
      <c r="V195" s="114">
        <v>137</v>
      </c>
      <c r="W195" s="114"/>
      <c r="X195" s="114">
        <f>333660500</f>
        <v>333660500</v>
      </c>
      <c r="Y195" s="114">
        <v>79632000</v>
      </c>
      <c r="Z195" s="115"/>
      <c r="AA195" s="111" t="s">
        <v>60</v>
      </c>
      <c r="AB195" s="116">
        <f>404</f>
        <v>404</v>
      </c>
      <c r="AC195" s="116" t="str">
        <f t="shared" si="8"/>
        <v>－</v>
      </c>
      <c r="AD195" s="117">
        <f>13</f>
        <v>13</v>
      </c>
    </row>
    <row r="196" spans="1:30">
      <c r="A196" s="107" t="s">
        <v>46</v>
      </c>
      <c r="B196" s="108" t="s">
        <v>1579</v>
      </c>
      <c r="C196" s="108" t="s">
        <v>1580</v>
      </c>
      <c r="D196" s="108" t="s">
        <v>633</v>
      </c>
      <c r="E196" s="109" t="s">
        <v>1010</v>
      </c>
      <c r="F196" s="109" t="s">
        <v>200</v>
      </c>
      <c r="G196" s="110">
        <v>10</v>
      </c>
      <c r="H196" s="111" t="s">
        <v>68</v>
      </c>
      <c r="I196" s="112" t="s">
        <v>1302</v>
      </c>
      <c r="J196" s="111" t="s">
        <v>462</v>
      </c>
      <c r="K196" s="112" t="s">
        <v>1595</v>
      </c>
      <c r="L196" s="111" t="s">
        <v>797</v>
      </c>
      <c r="M196" s="112" t="s">
        <v>1596</v>
      </c>
      <c r="N196" s="111" t="s">
        <v>622</v>
      </c>
      <c r="O196" s="112" t="s">
        <v>1122</v>
      </c>
      <c r="P196" s="111" t="s">
        <v>1250</v>
      </c>
      <c r="Q196" s="112" t="s">
        <v>1593</v>
      </c>
      <c r="R196" s="111" t="s">
        <v>203</v>
      </c>
      <c r="S196" s="112" t="s">
        <v>1590</v>
      </c>
      <c r="T196" s="113">
        <f>53683.9</f>
        <v>53683.9</v>
      </c>
      <c r="U196" s="114">
        <f>706</f>
        <v>706</v>
      </c>
      <c r="V196" s="114">
        <v>176</v>
      </c>
      <c r="W196" s="114"/>
      <c r="X196" s="114">
        <f>414472300</f>
        <v>414472300</v>
      </c>
      <c r="Y196" s="114">
        <v>103139200</v>
      </c>
      <c r="Z196" s="115"/>
      <c r="AA196" s="111" t="s">
        <v>60</v>
      </c>
      <c r="AB196" s="116">
        <f>440</f>
        <v>440</v>
      </c>
      <c r="AC196" s="116" t="str">
        <f t="shared" si="8"/>
        <v>－</v>
      </c>
      <c r="AD196" s="117">
        <f>19</f>
        <v>19</v>
      </c>
    </row>
    <row r="197" spans="1:30">
      <c r="A197" s="107" t="s">
        <v>46</v>
      </c>
      <c r="B197" s="108" t="s">
        <v>1579</v>
      </c>
      <c r="C197" s="108" t="s">
        <v>1580</v>
      </c>
      <c r="D197" s="108" t="s">
        <v>72</v>
      </c>
      <c r="E197" s="109" t="s">
        <v>955</v>
      </c>
      <c r="F197" s="109" t="s">
        <v>635</v>
      </c>
      <c r="G197" s="110">
        <v>10</v>
      </c>
      <c r="H197" s="111" t="s">
        <v>622</v>
      </c>
      <c r="I197" s="112" t="s">
        <v>1597</v>
      </c>
      <c r="J197" s="111" t="s">
        <v>642</v>
      </c>
      <c r="K197" s="112" t="s">
        <v>1038</v>
      </c>
      <c r="L197" s="111" t="s">
        <v>642</v>
      </c>
      <c r="M197" s="112" t="s">
        <v>1598</v>
      </c>
      <c r="N197" s="111" t="s">
        <v>622</v>
      </c>
      <c r="O197" s="112" t="s">
        <v>1599</v>
      </c>
      <c r="P197" s="111" t="s">
        <v>1250</v>
      </c>
      <c r="Q197" s="112" t="s">
        <v>1600</v>
      </c>
      <c r="R197" s="111" t="s">
        <v>642</v>
      </c>
      <c r="S197" s="112" t="s">
        <v>1003</v>
      </c>
      <c r="T197" s="113">
        <f>54637.58</f>
        <v>54637.58</v>
      </c>
      <c r="U197" s="114">
        <f>703</f>
        <v>703</v>
      </c>
      <c r="V197" s="114">
        <v>139</v>
      </c>
      <c r="W197" s="114"/>
      <c r="X197" s="114">
        <f>420961500</f>
        <v>420961500</v>
      </c>
      <c r="Y197" s="114">
        <v>83613000</v>
      </c>
      <c r="Z197" s="115"/>
      <c r="AA197" s="111" t="s">
        <v>60</v>
      </c>
      <c r="AB197" s="116">
        <f>543</f>
        <v>543</v>
      </c>
      <c r="AC197" s="116" t="str">
        <f t="shared" si="8"/>
        <v>－</v>
      </c>
      <c r="AD197" s="117">
        <f>16</f>
        <v>16</v>
      </c>
    </row>
    <row r="198" spans="1:30">
      <c r="A198" s="107" t="s">
        <v>46</v>
      </c>
      <c r="B198" s="108" t="s">
        <v>1579</v>
      </c>
      <c r="C198" s="108" t="s">
        <v>1580</v>
      </c>
      <c r="D198" s="108" t="s">
        <v>651</v>
      </c>
      <c r="E198" s="109" t="s">
        <v>1022</v>
      </c>
      <c r="F198" s="109" t="s">
        <v>74</v>
      </c>
      <c r="G198" s="110">
        <v>10</v>
      </c>
      <c r="H198" s="111" t="s">
        <v>622</v>
      </c>
      <c r="I198" s="112" t="s">
        <v>1594</v>
      </c>
      <c r="J198" s="111" t="s">
        <v>84</v>
      </c>
      <c r="K198" s="112" t="s">
        <v>1601</v>
      </c>
      <c r="L198" s="111" t="s">
        <v>84</v>
      </c>
      <c r="M198" s="112" t="s">
        <v>1602</v>
      </c>
      <c r="N198" s="111" t="s">
        <v>622</v>
      </c>
      <c r="O198" s="112" t="s">
        <v>1599</v>
      </c>
      <c r="P198" s="111" t="s">
        <v>1250</v>
      </c>
      <c r="Q198" s="112" t="s">
        <v>1603</v>
      </c>
      <c r="R198" s="111" t="s">
        <v>84</v>
      </c>
      <c r="S198" s="112" t="s">
        <v>1604</v>
      </c>
      <c r="T198" s="113">
        <f>55593.47</f>
        <v>55593.47</v>
      </c>
      <c r="U198" s="114">
        <f>635</f>
        <v>635</v>
      </c>
      <c r="V198" s="114">
        <v>223</v>
      </c>
      <c r="W198" s="114"/>
      <c r="X198" s="114">
        <f>408900000</f>
        <v>408900000</v>
      </c>
      <c r="Y198" s="114">
        <v>143895000</v>
      </c>
      <c r="Z198" s="115"/>
      <c r="AA198" s="111" t="s">
        <v>60</v>
      </c>
      <c r="AB198" s="116">
        <f>540</f>
        <v>540</v>
      </c>
      <c r="AC198" s="116" t="str">
        <f t="shared" si="8"/>
        <v>－</v>
      </c>
      <c r="AD198" s="117">
        <f>20</f>
        <v>20</v>
      </c>
    </row>
    <row r="199" spans="1:30">
      <c r="A199" s="107" t="s">
        <v>46</v>
      </c>
      <c r="B199" s="108" t="s">
        <v>1579</v>
      </c>
      <c r="C199" s="108" t="s">
        <v>1580</v>
      </c>
      <c r="D199" s="108" t="s">
        <v>86</v>
      </c>
      <c r="E199" s="109" t="s">
        <v>652</v>
      </c>
      <c r="F199" s="109" t="s">
        <v>1029</v>
      </c>
      <c r="G199" s="110">
        <v>10</v>
      </c>
      <c r="H199" s="111" t="s">
        <v>622</v>
      </c>
      <c r="I199" s="112" t="s">
        <v>1589</v>
      </c>
      <c r="J199" s="111" t="s">
        <v>498</v>
      </c>
      <c r="K199" s="112" t="s">
        <v>1605</v>
      </c>
      <c r="L199" s="111" t="s">
        <v>1413</v>
      </c>
      <c r="M199" s="112" t="s">
        <v>1606</v>
      </c>
      <c r="N199" s="111" t="s">
        <v>622</v>
      </c>
      <c r="O199" s="112" t="s">
        <v>1599</v>
      </c>
      <c r="P199" s="111" t="s">
        <v>1607</v>
      </c>
      <c r="Q199" s="112" t="s">
        <v>1608</v>
      </c>
      <c r="R199" s="111" t="s">
        <v>1037</v>
      </c>
      <c r="S199" s="112" t="s">
        <v>1609</v>
      </c>
      <c r="T199" s="113">
        <f>57621.32</f>
        <v>57621.32</v>
      </c>
      <c r="U199" s="114">
        <f>579</f>
        <v>579</v>
      </c>
      <c r="V199" s="114">
        <v>229</v>
      </c>
      <c r="W199" s="114"/>
      <c r="X199" s="114">
        <f>377260200</f>
        <v>377260200</v>
      </c>
      <c r="Y199" s="114">
        <v>147440600</v>
      </c>
      <c r="Z199" s="115"/>
      <c r="AA199" s="111" t="s">
        <v>60</v>
      </c>
      <c r="AB199" s="116">
        <f>462</f>
        <v>462</v>
      </c>
      <c r="AC199" s="116" t="str">
        <f t="shared" si="8"/>
        <v>－</v>
      </c>
      <c r="AD199" s="117">
        <f>13</f>
        <v>13</v>
      </c>
    </row>
    <row r="200" spans="1:30">
      <c r="A200" s="107" t="s">
        <v>46</v>
      </c>
      <c r="B200" s="108" t="s">
        <v>1579</v>
      </c>
      <c r="C200" s="108" t="s">
        <v>1580</v>
      </c>
      <c r="D200" s="108" t="s">
        <v>669</v>
      </c>
      <c r="E200" s="109" t="s">
        <v>781</v>
      </c>
      <c r="F200" s="109" t="s">
        <v>213</v>
      </c>
      <c r="G200" s="110">
        <v>10</v>
      </c>
      <c r="H200" s="111" t="s">
        <v>622</v>
      </c>
      <c r="I200" s="112" t="s">
        <v>1016</v>
      </c>
      <c r="J200" s="111" t="s">
        <v>878</v>
      </c>
      <c r="K200" s="112" t="s">
        <v>1610</v>
      </c>
      <c r="L200" s="111" t="s">
        <v>217</v>
      </c>
      <c r="M200" s="112" t="s">
        <v>1611</v>
      </c>
      <c r="N200" s="111" t="s">
        <v>622</v>
      </c>
      <c r="O200" s="112" t="s">
        <v>1599</v>
      </c>
      <c r="P200" s="111" t="s">
        <v>1607</v>
      </c>
      <c r="Q200" s="112" t="s">
        <v>1608</v>
      </c>
      <c r="R200" s="111" t="s">
        <v>217</v>
      </c>
      <c r="S200" s="112" t="s">
        <v>1612</v>
      </c>
      <c r="T200" s="113">
        <f>59975</f>
        <v>59975</v>
      </c>
      <c r="U200" s="114">
        <f>576</f>
        <v>576</v>
      </c>
      <c r="V200" s="114">
        <v>119</v>
      </c>
      <c r="W200" s="114"/>
      <c r="X200" s="114">
        <f>365853600</f>
        <v>365853600</v>
      </c>
      <c r="Y200" s="114">
        <v>75813500</v>
      </c>
      <c r="Z200" s="115"/>
      <c r="AA200" s="111" t="s">
        <v>60</v>
      </c>
      <c r="AB200" s="116">
        <f>437</f>
        <v>437</v>
      </c>
      <c r="AC200" s="116" t="str">
        <f t="shared" si="8"/>
        <v>－</v>
      </c>
      <c r="AD200" s="117">
        <f>20</f>
        <v>20</v>
      </c>
    </row>
    <row r="201" spans="1:30">
      <c r="A201" s="107" t="s">
        <v>46</v>
      </c>
      <c r="B201" s="108" t="s">
        <v>1579</v>
      </c>
      <c r="C201" s="108" t="s">
        <v>1580</v>
      </c>
      <c r="D201" s="108" t="s">
        <v>97</v>
      </c>
      <c r="E201" s="109" t="s">
        <v>670</v>
      </c>
      <c r="F201" s="109" t="s">
        <v>671</v>
      </c>
      <c r="G201" s="110">
        <v>10</v>
      </c>
      <c r="H201" s="111" t="s">
        <v>657</v>
      </c>
      <c r="I201" s="112" t="s">
        <v>1613</v>
      </c>
      <c r="J201" s="111" t="s">
        <v>679</v>
      </c>
      <c r="K201" s="112" t="s">
        <v>1071</v>
      </c>
      <c r="L201" s="111" t="s">
        <v>679</v>
      </c>
      <c r="M201" s="112" t="s">
        <v>1614</v>
      </c>
      <c r="N201" s="111" t="s">
        <v>1037</v>
      </c>
      <c r="O201" s="112" t="s">
        <v>1615</v>
      </c>
      <c r="P201" s="111" t="s">
        <v>521</v>
      </c>
      <c r="Q201" s="112" t="s">
        <v>1606</v>
      </c>
      <c r="R201" s="111" t="s">
        <v>679</v>
      </c>
      <c r="S201" s="112" t="s">
        <v>1616</v>
      </c>
      <c r="T201" s="113">
        <f>61477.79</f>
        <v>61477.79</v>
      </c>
      <c r="U201" s="114">
        <f>591</f>
        <v>591</v>
      </c>
      <c r="V201" s="114">
        <v>229</v>
      </c>
      <c r="W201" s="114"/>
      <c r="X201" s="114">
        <f>394150000</f>
        <v>394150000</v>
      </c>
      <c r="Y201" s="114">
        <v>153210000</v>
      </c>
      <c r="Z201" s="115"/>
      <c r="AA201" s="111" t="s">
        <v>60</v>
      </c>
      <c r="AB201" s="116">
        <f>424</f>
        <v>424</v>
      </c>
      <c r="AC201" s="116" t="str">
        <f t="shared" si="8"/>
        <v>－</v>
      </c>
      <c r="AD201" s="117">
        <f>20</f>
        <v>20</v>
      </c>
    </row>
    <row r="202" spans="1:30">
      <c r="A202" s="107" t="s">
        <v>46</v>
      </c>
      <c r="B202" s="108" t="s">
        <v>1579</v>
      </c>
      <c r="C202" s="108" t="s">
        <v>1580</v>
      </c>
      <c r="D202" s="108" t="s">
        <v>524</v>
      </c>
      <c r="E202" s="109" t="s">
        <v>63</v>
      </c>
      <c r="F202" s="109" t="s">
        <v>218</v>
      </c>
      <c r="G202" s="110">
        <v>10</v>
      </c>
      <c r="H202" s="111" t="s">
        <v>657</v>
      </c>
      <c r="I202" s="112" t="s">
        <v>1617</v>
      </c>
      <c r="J202" s="111" t="s">
        <v>571</v>
      </c>
      <c r="K202" s="112" t="s">
        <v>1618</v>
      </c>
      <c r="L202" s="111" t="s">
        <v>221</v>
      </c>
      <c r="M202" s="112" t="s">
        <v>1619</v>
      </c>
      <c r="N202" s="111" t="s">
        <v>1037</v>
      </c>
      <c r="O202" s="112" t="s">
        <v>1615</v>
      </c>
      <c r="P202" s="111" t="s">
        <v>552</v>
      </c>
      <c r="Q202" s="112" t="s">
        <v>1620</v>
      </c>
      <c r="R202" s="111" t="s">
        <v>221</v>
      </c>
      <c r="S202" s="112" t="s">
        <v>1618</v>
      </c>
      <c r="T202" s="113">
        <f>64144.75</f>
        <v>64144.75</v>
      </c>
      <c r="U202" s="114">
        <f>515</f>
        <v>515</v>
      </c>
      <c r="V202" s="114">
        <v>284</v>
      </c>
      <c r="W202" s="114"/>
      <c r="X202" s="114">
        <f>390587000</f>
        <v>390587000</v>
      </c>
      <c r="Y202" s="114">
        <v>218722000</v>
      </c>
      <c r="Z202" s="115"/>
      <c r="AA202" s="111" t="s">
        <v>60</v>
      </c>
      <c r="AB202" s="116">
        <f>331</f>
        <v>331</v>
      </c>
      <c r="AC202" s="116" t="str">
        <f t="shared" si="8"/>
        <v>－</v>
      </c>
      <c r="AD202" s="117">
        <f>23</f>
        <v>23</v>
      </c>
    </row>
    <row r="203" spans="1:30">
      <c r="A203" s="107" t="s">
        <v>46</v>
      </c>
      <c r="B203" s="108" t="s">
        <v>1579</v>
      </c>
      <c r="C203" s="108" t="s">
        <v>1580</v>
      </c>
      <c r="D203" s="108" t="s">
        <v>109</v>
      </c>
      <c r="E203" s="109" t="s">
        <v>689</v>
      </c>
      <c r="F203" s="109" t="s">
        <v>768</v>
      </c>
      <c r="G203" s="110">
        <v>10</v>
      </c>
      <c r="H203" s="111" t="s">
        <v>657</v>
      </c>
      <c r="I203" s="112" t="s">
        <v>1617</v>
      </c>
      <c r="J203" s="111" t="s">
        <v>533</v>
      </c>
      <c r="K203" s="112" t="s">
        <v>1162</v>
      </c>
      <c r="L203" s="111" t="s">
        <v>729</v>
      </c>
      <c r="M203" s="112" t="s">
        <v>1621</v>
      </c>
      <c r="N203" s="111" t="s">
        <v>1037</v>
      </c>
      <c r="O203" s="112" t="s">
        <v>1622</v>
      </c>
      <c r="P203" s="111" t="s">
        <v>729</v>
      </c>
      <c r="Q203" s="112" t="s">
        <v>1623</v>
      </c>
      <c r="R203" s="111" t="s">
        <v>729</v>
      </c>
      <c r="S203" s="112" t="s">
        <v>1624</v>
      </c>
      <c r="T203" s="113">
        <f>66286.24</f>
        <v>66286.240000000005</v>
      </c>
      <c r="U203" s="114">
        <f>279</f>
        <v>279</v>
      </c>
      <c r="V203" s="114">
        <v>138</v>
      </c>
      <c r="W203" s="114"/>
      <c r="X203" s="114">
        <f>208997000</f>
        <v>208997000</v>
      </c>
      <c r="Y203" s="114">
        <v>104334000</v>
      </c>
      <c r="Z203" s="115"/>
      <c r="AA203" s="111" t="s">
        <v>60</v>
      </c>
      <c r="AB203" s="116">
        <f>211</f>
        <v>211</v>
      </c>
      <c r="AC203" s="116" t="str">
        <f t="shared" si="8"/>
        <v>－</v>
      </c>
      <c r="AD203" s="117">
        <f>10</f>
        <v>10</v>
      </c>
    </row>
    <row r="204" spans="1:30">
      <c r="A204" s="107" t="s">
        <v>46</v>
      </c>
      <c r="B204" s="108" t="s">
        <v>1579</v>
      </c>
      <c r="C204" s="108" t="s">
        <v>1580</v>
      </c>
      <c r="D204" s="108" t="s">
        <v>544</v>
      </c>
      <c r="E204" s="109" t="s">
        <v>147</v>
      </c>
      <c r="F204" s="109" t="s">
        <v>183</v>
      </c>
      <c r="G204" s="110">
        <v>10</v>
      </c>
      <c r="H204" s="111" t="s">
        <v>657</v>
      </c>
      <c r="I204" s="112" t="s">
        <v>1615</v>
      </c>
      <c r="J204" s="111" t="s">
        <v>113</v>
      </c>
      <c r="K204" s="112" t="s">
        <v>1625</v>
      </c>
      <c r="L204" s="111" t="s">
        <v>185</v>
      </c>
      <c r="M204" s="112" t="s">
        <v>1626</v>
      </c>
      <c r="N204" s="111" t="s">
        <v>1037</v>
      </c>
      <c r="O204" s="112" t="s">
        <v>1627</v>
      </c>
      <c r="P204" s="111" t="s">
        <v>185</v>
      </c>
      <c r="Q204" s="112" t="s">
        <v>1628</v>
      </c>
      <c r="R204" s="111" t="s">
        <v>185</v>
      </c>
      <c r="S204" s="112" t="s">
        <v>1629</v>
      </c>
      <c r="T204" s="113">
        <f>67560.65</f>
        <v>67560.649999999994</v>
      </c>
      <c r="U204" s="114">
        <f>203</f>
        <v>203</v>
      </c>
      <c r="V204" s="114">
        <v>80</v>
      </c>
      <c r="W204" s="114"/>
      <c r="X204" s="114">
        <f>141751000</f>
        <v>141751000</v>
      </c>
      <c r="Y204" s="114">
        <v>56679200</v>
      </c>
      <c r="Z204" s="115"/>
      <c r="AA204" s="111" t="s">
        <v>60</v>
      </c>
      <c r="AB204" s="116">
        <f>115</f>
        <v>115</v>
      </c>
      <c r="AC204" s="116" t="str">
        <f t="shared" si="8"/>
        <v>－</v>
      </c>
      <c r="AD204" s="117">
        <f>19</f>
        <v>19</v>
      </c>
    </row>
    <row r="205" spans="1:30">
      <c r="A205" s="107" t="s">
        <v>46</v>
      </c>
      <c r="B205" s="108" t="s">
        <v>1579</v>
      </c>
      <c r="C205" s="108" t="s">
        <v>1580</v>
      </c>
      <c r="D205" s="108" t="s">
        <v>122</v>
      </c>
      <c r="E205" s="109" t="s">
        <v>653</v>
      </c>
      <c r="F205" s="109" t="s">
        <v>709</v>
      </c>
      <c r="G205" s="110">
        <v>10</v>
      </c>
      <c r="H205" s="111" t="s">
        <v>155</v>
      </c>
      <c r="I205" s="112" t="s">
        <v>1630</v>
      </c>
      <c r="J205" s="111" t="s">
        <v>113</v>
      </c>
      <c r="K205" s="112" t="s">
        <v>1631</v>
      </c>
      <c r="L205" s="111"/>
      <c r="M205" s="112"/>
      <c r="N205" s="111" t="s">
        <v>676</v>
      </c>
      <c r="O205" s="112" t="s">
        <v>1632</v>
      </c>
      <c r="P205" s="111"/>
      <c r="Q205" s="112"/>
      <c r="R205" s="111" t="s">
        <v>400</v>
      </c>
      <c r="S205" s="112" t="s">
        <v>1633</v>
      </c>
      <c r="T205" s="113">
        <f>68280.73</f>
        <v>68280.73</v>
      </c>
      <c r="U205" s="114">
        <f>25</f>
        <v>25</v>
      </c>
      <c r="V205" s="114"/>
      <c r="W205" s="114"/>
      <c r="X205" s="114">
        <f>17236000</f>
        <v>17236000</v>
      </c>
      <c r="Y205" s="114"/>
      <c r="Z205" s="115"/>
      <c r="AA205" s="111"/>
      <c r="AB205" s="116">
        <f>9</f>
        <v>9</v>
      </c>
      <c r="AC205" s="116" t="str">
        <f t="shared" si="8"/>
        <v>－</v>
      </c>
      <c r="AD205" s="117">
        <f>15</f>
        <v>15</v>
      </c>
    </row>
    <row r="206" spans="1:30">
      <c r="A206" s="107" t="s">
        <v>46</v>
      </c>
      <c r="B206" s="108" t="s">
        <v>1579</v>
      </c>
      <c r="C206" s="108" t="s">
        <v>1580</v>
      </c>
      <c r="D206" s="108" t="s">
        <v>557</v>
      </c>
      <c r="E206" s="109" t="s">
        <v>88</v>
      </c>
      <c r="F206" s="109" t="s">
        <v>1078</v>
      </c>
      <c r="G206" s="110">
        <v>10</v>
      </c>
      <c r="H206" s="111" t="s">
        <v>676</v>
      </c>
      <c r="I206" s="112" t="s">
        <v>1632</v>
      </c>
      <c r="J206" s="111" t="s">
        <v>113</v>
      </c>
      <c r="K206" s="112" t="s">
        <v>1634</v>
      </c>
      <c r="L206" s="111" t="s">
        <v>185</v>
      </c>
      <c r="M206" s="112" t="s">
        <v>1635</v>
      </c>
      <c r="N206" s="111" t="s">
        <v>676</v>
      </c>
      <c r="O206" s="112" t="s">
        <v>1632</v>
      </c>
      <c r="P206" s="111" t="s">
        <v>1083</v>
      </c>
      <c r="Q206" s="112" t="s">
        <v>1636</v>
      </c>
      <c r="R206" s="111" t="s">
        <v>132</v>
      </c>
      <c r="S206" s="112" t="s">
        <v>1637</v>
      </c>
      <c r="T206" s="113">
        <f>69556.32</f>
        <v>69556.320000000007</v>
      </c>
      <c r="U206" s="114">
        <f>120</f>
        <v>120</v>
      </c>
      <c r="V206" s="114">
        <v>36</v>
      </c>
      <c r="W206" s="114"/>
      <c r="X206" s="114">
        <f>80145000</f>
        <v>80145000</v>
      </c>
      <c r="Y206" s="114">
        <v>23765600</v>
      </c>
      <c r="Z206" s="115"/>
      <c r="AA206" s="111"/>
      <c r="AB206" s="116">
        <f>106</f>
        <v>106</v>
      </c>
      <c r="AC206" s="116" t="str">
        <f t="shared" si="8"/>
        <v>－</v>
      </c>
      <c r="AD206" s="117">
        <f>10</f>
        <v>10</v>
      </c>
    </row>
    <row r="207" spans="1:30">
      <c r="A207" s="107" t="s">
        <v>46</v>
      </c>
      <c r="B207" s="108" t="s">
        <v>1579</v>
      </c>
      <c r="C207" s="108" t="s">
        <v>1580</v>
      </c>
      <c r="D207" s="108" t="s">
        <v>134</v>
      </c>
      <c r="E207" s="109" t="s">
        <v>755</v>
      </c>
      <c r="F207" s="109" t="s">
        <v>722</v>
      </c>
      <c r="G207" s="110">
        <v>10</v>
      </c>
      <c r="H207" s="111" t="s">
        <v>320</v>
      </c>
      <c r="I207" s="112" t="s">
        <v>1638</v>
      </c>
      <c r="J207" s="111" t="s">
        <v>320</v>
      </c>
      <c r="K207" s="112" t="s">
        <v>1638</v>
      </c>
      <c r="L207" s="111"/>
      <c r="M207" s="112"/>
      <c r="N207" s="111" t="s">
        <v>1083</v>
      </c>
      <c r="O207" s="112" t="s">
        <v>1639</v>
      </c>
      <c r="P207" s="111"/>
      <c r="Q207" s="112"/>
      <c r="R207" s="111" t="s">
        <v>400</v>
      </c>
      <c r="S207" s="112" t="s">
        <v>1640</v>
      </c>
      <c r="T207" s="113">
        <f>70900</f>
        <v>70900</v>
      </c>
      <c r="U207" s="114">
        <f>12</f>
        <v>12</v>
      </c>
      <c r="V207" s="114"/>
      <c r="W207" s="114"/>
      <c r="X207" s="114">
        <f>8593000</f>
        <v>8593000</v>
      </c>
      <c r="Y207" s="114"/>
      <c r="Z207" s="115"/>
      <c r="AA207" s="111"/>
      <c r="AB207" s="116">
        <f>5</f>
        <v>5</v>
      </c>
      <c r="AC207" s="116" t="str">
        <f t="shared" si="8"/>
        <v>－</v>
      </c>
      <c r="AD207" s="117">
        <f>6</f>
        <v>6</v>
      </c>
    </row>
    <row r="208" spans="1:30">
      <c r="A208" s="107" t="s">
        <v>46</v>
      </c>
      <c r="B208" s="108" t="s">
        <v>1579</v>
      </c>
      <c r="C208" s="108" t="s">
        <v>1580</v>
      </c>
      <c r="D208" s="108" t="s">
        <v>577</v>
      </c>
      <c r="E208" s="109" t="s">
        <v>99</v>
      </c>
      <c r="F208" s="109" t="s">
        <v>136</v>
      </c>
      <c r="G208" s="110">
        <v>10</v>
      </c>
      <c r="H208" s="111" t="s">
        <v>320</v>
      </c>
      <c r="I208" s="112" t="s">
        <v>1631</v>
      </c>
      <c r="J208" s="111" t="s">
        <v>320</v>
      </c>
      <c r="K208" s="112" t="s">
        <v>1631</v>
      </c>
      <c r="L208" s="111"/>
      <c r="M208" s="112"/>
      <c r="N208" s="111" t="s">
        <v>488</v>
      </c>
      <c r="O208" s="112" t="s">
        <v>1641</v>
      </c>
      <c r="P208" s="111"/>
      <c r="Q208" s="112"/>
      <c r="R208" s="111" t="s">
        <v>400</v>
      </c>
      <c r="S208" s="112" t="s">
        <v>1179</v>
      </c>
      <c r="T208" s="113">
        <f>71713.04</f>
        <v>71713.039999999994</v>
      </c>
      <c r="U208" s="114">
        <f>12</f>
        <v>12</v>
      </c>
      <c r="V208" s="114"/>
      <c r="W208" s="114"/>
      <c r="X208" s="114">
        <f>8585000</f>
        <v>8585000</v>
      </c>
      <c r="Y208" s="114"/>
      <c r="Z208" s="115"/>
      <c r="AA208" s="111"/>
      <c r="AB208" s="116">
        <f>5</f>
        <v>5</v>
      </c>
      <c r="AC208" s="116" t="str">
        <f t="shared" ref="AC208:AC229" si="15">"－"</f>
        <v>－</v>
      </c>
      <c r="AD208" s="117">
        <f>6</f>
        <v>6</v>
      </c>
    </row>
    <row r="209" spans="1:30">
      <c r="A209" s="107" t="s">
        <v>46</v>
      </c>
      <c r="B209" s="108" t="s">
        <v>1579</v>
      </c>
      <c r="C209" s="108" t="s">
        <v>1580</v>
      </c>
      <c r="D209" s="108" t="s">
        <v>146</v>
      </c>
      <c r="E209" s="109" t="s">
        <v>964</v>
      </c>
      <c r="F209" s="109" t="s">
        <v>734</v>
      </c>
      <c r="G209" s="110">
        <v>10</v>
      </c>
      <c r="H209" s="111" t="s">
        <v>505</v>
      </c>
      <c r="I209" s="112" t="s">
        <v>1642</v>
      </c>
      <c r="J209" s="111" t="s">
        <v>505</v>
      </c>
      <c r="K209" s="112" t="s">
        <v>1642</v>
      </c>
      <c r="L209" s="111"/>
      <c r="M209" s="112"/>
      <c r="N209" s="111" t="s">
        <v>1096</v>
      </c>
      <c r="O209" s="112" t="s">
        <v>1643</v>
      </c>
      <c r="P209" s="111"/>
      <c r="Q209" s="112"/>
      <c r="R209" s="111" t="s">
        <v>400</v>
      </c>
      <c r="S209" s="112" t="s">
        <v>1644</v>
      </c>
      <c r="T209" s="113">
        <f>69768</f>
        <v>69768</v>
      </c>
      <c r="U209" s="114">
        <f>12</f>
        <v>12</v>
      </c>
      <c r="V209" s="114"/>
      <c r="W209" s="114"/>
      <c r="X209" s="114">
        <f>8455000</f>
        <v>8455000</v>
      </c>
      <c r="Y209" s="114"/>
      <c r="Z209" s="115"/>
      <c r="AA209" s="111"/>
      <c r="AB209" s="116">
        <f>5</f>
        <v>5</v>
      </c>
      <c r="AC209" s="116" t="str">
        <f t="shared" si="15"/>
        <v>－</v>
      </c>
      <c r="AD209" s="117">
        <f>5</f>
        <v>5</v>
      </c>
    </row>
    <row r="210" spans="1:30">
      <c r="A210" s="107" t="s">
        <v>46</v>
      </c>
      <c r="B210" s="108" t="s">
        <v>1579</v>
      </c>
      <c r="C210" s="108" t="s">
        <v>1580</v>
      </c>
      <c r="D210" s="108" t="s">
        <v>745</v>
      </c>
      <c r="E210" s="109" t="s">
        <v>1099</v>
      </c>
      <c r="F210" s="109" t="s">
        <v>241</v>
      </c>
      <c r="G210" s="110">
        <v>10</v>
      </c>
      <c r="H210" s="111"/>
      <c r="I210" s="112" t="s">
        <v>260</v>
      </c>
      <c r="J210" s="111"/>
      <c r="K210" s="112" t="s">
        <v>260</v>
      </c>
      <c r="L210" s="111"/>
      <c r="M210" s="112"/>
      <c r="N210" s="111"/>
      <c r="O210" s="112" t="s">
        <v>260</v>
      </c>
      <c r="P210" s="111"/>
      <c r="Q210" s="112"/>
      <c r="R210" s="111"/>
      <c r="S210" s="112" t="s">
        <v>260</v>
      </c>
      <c r="T210" s="113">
        <f>69525</f>
        <v>69525</v>
      </c>
      <c r="U210" s="114" t="str">
        <f>"－"</f>
        <v>－</v>
      </c>
      <c r="V210" s="114"/>
      <c r="W210" s="114"/>
      <c r="X210" s="114" t="str">
        <f>"－"</f>
        <v>－</v>
      </c>
      <c r="Y210" s="114"/>
      <c r="Z210" s="115"/>
      <c r="AA210" s="111"/>
      <c r="AB210" s="116" t="str">
        <f>"－"</f>
        <v>－</v>
      </c>
      <c r="AC210" s="116" t="str">
        <f t="shared" si="15"/>
        <v>－</v>
      </c>
      <c r="AD210" s="117" t="str">
        <f>"－"</f>
        <v>－</v>
      </c>
    </row>
    <row r="211" spans="1:30">
      <c r="A211" s="107" t="s">
        <v>46</v>
      </c>
      <c r="B211" s="108" t="s">
        <v>1645</v>
      </c>
      <c r="C211" s="108" t="s">
        <v>1646</v>
      </c>
      <c r="D211" s="108" t="s">
        <v>49</v>
      </c>
      <c r="E211" s="109" t="s">
        <v>989</v>
      </c>
      <c r="F211" s="109" t="s">
        <v>594</v>
      </c>
      <c r="G211" s="110">
        <v>10</v>
      </c>
      <c r="H211" s="111" t="s">
        <v>52</v>
      </c>
      <c r="I211" s="112" t="s">
        <v>1647</v>
      </c>
      <c r="J211" s="111" t="s">
        <v>411</v>
      </c>
      <c r="K211" s="112" t="s">
        <v>1648</v>
      </c>
      <c r="L211" s="111" t="s">
        <v>620</v>
      </c>
      <c r="M211" s="112" t="s">
        <v>1649</v>
      </c>
      <c r="N211" s="111" t="s">
        <v>335</v>
      </c>
      <c r="O211" s="112" t="s">
        <v>1650</v>
      </c>
      <c r="P211" s="111" t="s">
        <v>602</v>
      </c>
      <c r="Q211" s="112" t="s">
        <v>1651</v>
      </c>
      <c r="R211" s="111" t="s">
        <v>602</v>
      </c>
      <c r="S211" s="112" t="s">
        <v>1652</v>
      </c>
      <c r="T211" s="113">
        <f>51622.67</f>
        <v>51622.67</v>
      </c>
      <c r="U211" s="114">
        <f>850</f>
        <v>850</v>
      </c>
      <c r="V211" s="114">
        <v>421</v>
      </c>
      <c r="W211" s="114"/>
      <c r="X211" s="114">
        <f>438959200</f>
        <v>438959200</v>
      </c>
      <c r="Y211" s="114">
        <v>217495100</v>
      </c>
      <c r="Z211" s="115"/>
      <c r="AA211" s="111" t="s">
        <v>60</v>
      </c>
      <c r="AB211" s="116">
        <f>1168</f>
        <v>1168</v>
      </c>
      <c r="AC211" s="116" t="str">
        <f t="shared" si="15"/>
        <v>－</v>
      </c>
      <c r="AD211" s="117">
        <f>14</f>
        <v>14</v>
      </c>
    </row>
    <row r="212" spans="1:30">
      <c r="A212" s="107" t="s">
        <v>46</v>
      </c>
      <c r="B212" s="108" t="s">
        <v>1645</v>
      </c>
      <c r="C212" s="108" t="s">
        <v>1646</v>
      </c>
      <c r="D212" s="108" t="s">
        <v>612</v>
      </c>
      <c r="E212" s="109" t="s">
        <v>604</v>
      </c>
      <c r="F212" s="109" t="s">
        <v>996</v>
      </c>
      <c r="G212" s="110">
        <v>10</v>
      </c>
      <c r="H212" s="111" t="s">
        <v>54</v>
      </c>
      <c r="I212" s="112" t="s">
        <v>1653</v>
      </c>
      <c r="J212" s="111" t="s">
        <v>490</v>
      </c>
      <c r="K212" s="112" t="s">
        <v>1654</v>
      </c>
      <c r="L212" s="111" t="s">
        <v>490</v>
      </c>
      <c r="M212" s="112" t="s">
        <v>1655</v>
      </c>
      <c r="N212" s="111" t="s">
        <v>54</v>
      </c>
      <c r="O212" s="112" t="s">
        <v>1653</v>
      </c>
      <c r="P212" s="111" t="s">
        <v>411</v>
      </c>
      <c r="Q212" s="112" t="s">
        <v>1656</v>
      </c>
      <c r="R212" s="111" t="s">
        <v>490</v>
      </c>
      <c r="S212" s="112" t="s">
        <v>1657</v>
      </c>
      <c r="T212" s="113">
        <f>52791.11</f>
        <v>52791.11</v>
      </c>
      <c r="U212" s="114">
        <f>563</f>
        <v>563</v>
      </c>
      <c r="V212" s="114">
        <v>88</v>
      </c>
      <c r="W212" s="114"/>
      <c r="X212" s="114">
        <f>314011100</f>
        <v>314011100</v>
      </c>
      <c r="Y212" s="114">
        <v>50010000</v>
      </c>
      <c r="Z212" s="115"/>
      <c r="AA212" s="111" t="s">
        <v>60</v>
      </c>
      <c r="AB212" s="116">
        <f>532</f>
        <v>532</v>
      </c>
      <c r="AC212" s="116" t="str">
        <f t="shared" si="15"/>
        <v>－</v>
      </c>
      <c r="AD212" s="117">
        <f>22</f>
        <v>22</v>
      </c>
    </row>
    <row r="213" spans="1:30">
      <c r="A213" s="107" t="s">
        <v>46</v>
      </c>
      <c r="B213" s="108" t="s">
        <v>1645</v>
      </c>
      <c r="C213" s="108" t="s">
        <v>1646</v>
      </c>
      <c r="D213" s="108" t="s">
        <v>61</v>
      </c>
      <c r="E213" s="109" t="s">
        <v>951</v>
      </c>
      <c r="F213" s="109" t="s">
        <v>614</v>
      </c>
      <c r="G213" s="110">
        <v>10</v>
      </c>
      <c r="H213" s="111" t="s">
        <v>1039</v>
      </c>
      <c r="I213" s="112" t="s">
        <v>1658</v>
      </c>
      <c r="J213" s="111" t="s">
        <v>627</v>
      </c>
      <c r="K213" s="112" t="s">
        <v>1012</v>
      </c>
      <c r="L213" s="111" t="s">
        <v>1607</v>
      </c>
      <c r="M213" s="112" t="s">
        <v>1659</v>
      </c>
      <c r="N213" s="111" t="s">
        <v>622</v>
      </c>
      <c r="O213" s="112" t="s">
        <v>1660</v>
      </c>
      <c r="P213" s="111" t="s">
        <v>1250</v>
      </c>
      <c r="Q213" s="112" t="s">
        <v>1661</v>
      </c>
      <c r="R213" s="111" t="s">
        <v>1008</v>
      </c>
      <c r="S213" s="112" t="s">
        <v>1287</v>
      </c>
      <c r="T213" s="113">
        <f>53650.54</f>
        <v>53650.54</v>
      </c>
      <c r="U213" s="114">
        <f>250</f>
        <v>250</v>
      </c>
      <c r="V213" s="114">
        <v>68</v>
      </c>
      <c r="W213" s="114"/>
      <c r="X213" s="114">
        <f>146804200</f>
        <v>146804200</v>
      </c>
      <c r="Y213" s="114">
        <v>39651700</v>
      </c>
      <c r="Z213" s="115"/>
      <c r="AA213" s="111" t="s">
        <v>60</v>
      </c>
      <c r="AB213" s="116">
        <f>208</f>
        <v>208</v>
      </c>
      <c r="AC213" s="116" t="str">
        <f t="shared" si="15"/>
        <v>－</v>
      </c>
      <c r="AD213" s="117">
        <f>11</f>
        <v>11</v>
      </c>
    </row>
    <row r="214" spans="1:30">
      <c r="A214" s="107" t="s">
        <v>46</v>
      </c>
      <c r="B214" s="108" t="s">
        <v>1645</v>
      </c>
      <c r="C214" s="108" t="s">
        <v>1646</v>
      </c>
      <c r="D214" s="108" t="s">
        <v>633</v>
      </c>
      <c r="E214" s="109" t="s">
        <v>1010</v>
      </c>
      <c r="F214" s="109" t="s">
        <v>200</v>
      </c>
      <c r="G214" s="110">
        <v>10</v>
      </c>
      <c r="H214" s="111" t="s">
        <v>1039</v>
      </c>
      <c r="I214" s="112" t="s">
        <v>1586</v>
      </c>
      <c r="J214" s="111" t="s">
        <v>1662</v>
      </c>
      <c r="K214" s="112" t="s">
        <v>1003</v>
      </c>
      <c r="L214" s="111" t="s">
        <v>203</v>
      </c>
      <c r="M214" s="112" t="s">
        <v>1592</v>
      </c>
      <c r="N214" s="111" t="s">
        <v>622</v>
      </c>
      <c r="O214" s="112" t="s">
        <v>1594</v>
      </c>
      <c r="P214" s="111" t="s">
        <v>1250</v>
      </c>
      <c r="Q214" s="112" t="s">
        <v>1663</v>
      </c>
      <c r="R214" s="111" t="s">
        <v>203</v>
      </c>
      <c r="S214" s="112" t="s">
        <v>1287</v>
      </c>
      <c r="T214" s="113">
        <f>54655.06</f>
        <v>54655.06</v>
      </c>
      <c r="U214" s="114">
        <f>291</f>
        <v>291</v>
      </c>
      <c r="V214" s="114">
        <v>43</v>
      </c>
      <c r="W214" s="114"/>
      <c r="X214" s="114">
        <f>169937500</f>
        <v>169937500</v>
      </c>
      <c r="Y214" s="114">
        <v>25060500</v>
      </c>
      <c r="Z214" s="115"/>
      <c r="AA214" s="111" t="s">
        <v>60</v>
      </c>
      <c r="AB214" s="116">
        <f>248</f>
        <v>248</v>
      </c>
      <c r="AC214" s="116" t="str">
        <f t="shared" si="15"/>
        <v>－</v>
      </c>
      <c r="AD214" s="117">
        <f>16</f>
        <v>16</v>
      </c>
    </row>
    <row r="215" spans="1:30">
      <c r="A215" s="107" t="s">
        <v>46</v>
      </c>
      <c r="B215" s="108" t="s">
        <v>1645</v>
      </c>
      <c r="C215" s="108" t="s">
        <v>1646</v>
      </c>
      <c r="D215" s="108" t="s">
        <v>72</v>
      </c>
      <c r="E215" s="109" t="s">
        <v>955</v>
      </c>
      <c r="F215" s="109" t="s">
        <v>635</v>
      </c>
      <c r="G215" s="110">
        <v>10</v>
      </c>
      <c r="H215" s="111" t="s">
        <v>1607</v>
      </c>
      <c r="I215" s="112" t="s">
        <v>1590</v>
      </c>
      <c r="J215" s="111" t="s">
        <v>683</v>
      </c>
      <c r="K215" s="112" t="s">
        <v>1664</v>
      </c>
      <c r="L215" s="111" t="s">
        <v>642</v>
      </c>
      <c r="M215" s="112" t="s">
        <v>1665</v>
      </c>
      <c r="N215" s="111" t="s">
        <v>622</v>
      </c>
      <c r="O215" s="112" t="s">
        <v>1597</v>
      </c>
      <c r="P215" s="111" t="s">
        <v>1250</v>
      </c>
      <c r="Q215" s="112" t="s">
        <v>1666</v>
      </c>
      <c r="R215" s="111" t="s">
        <v>642</v>
      </c>
      <c r="S215" s="112" t="s">
        <v>1003</v>
      </c>
      <c r="T215" s="113">
        <f>55377.26</f>
        <v>55377.26</v>
      </c>
      <c r="U215" s="114">
        <f>285</f>
        <v>285</v>
      </c>
      <c r="V215" s="114">
        <v>60</v>
      </c>
      <c r="W215" s="114"/>
      <c r="X215" s="114">
        <f>169775000</f>
        <v>169775000</v>
      </c>
      <c r="Y215" s="114">
        <v>35683000</v>
      </c>
      <c r="Z215" s="115"/>
      <c r="AA215" s="111" t="s">
        <v>60</v>
      </c>
      <c r="AB215" s="116">
        <f>258</f>
        <v>258</v>
      </c>
      <c r="AC215" s="116" t="str">
        <f t="shared" si="15"/>
        <v>－</v>
      </c>
      <c r="AD215" s="117">
        <f>18</f>
        <v>18</v>
      </c>
    </row>
    <row r="216" spans="1:30">
      <c r="A216" s="107" t="s">
        <v>46</v>
      </c>
      <c r="B216" s="108" t="s">
        <v>1645</v>
      </c>
      <c r="C216" s="108" t="s">
        <v>1646</v>
      </c>
      <c r="D216" s="108" t="s">
        <v>651</v>
      </c>
      <c r="E216" s="109" t="s">
        <v>1022</v>
      </c>
      <c r="F216" s="109" t="s">
        <v>74</v>
      </c>
      <c r="G216" s="110">
        <v>10</v>
      </c>
      <c r="H216" s="111" t="s">
        <v>1607</v>
      </c>
      <c r="I216" s="112" t="s">
        <v>1658</v>
      </c>
      <c r="J216" s="111" t="s">
        <v>211</v>
      </c>
      <c r="K216" s="112" t="s">
        <v>1610</v>
      </c>
      <c r="L216" s="111" t="s">
        <v>84</v>
      </c>
      <c r="M216" s="112" t="s">
        <v>1602</v>
      </c>
      <c r="N216" s="111" t="s">
        <v>622</v>
      </c>
      <c r="O216" s="112" t="s">
        <v>1660</v>
      </c>
      <c r="P216" s="111" t="s">
        <v>1250</v>
      </c>
      <c r="Q216" s="112" t="s">
        <v>1667</v>
      </c>
      <c r="R216" s="111" t="s">
        <v>84</v>
      </c>
      <c r="S216" s="112" t="s">
        <v>1668</v>
      </c>
      <c r="T216" s="113">
        <f>56394.24</f>
        <v>56394.239999999998</v>
      </c>
      <c r="U216" s="114">
        <f>390</f>
        <v>390</v>
      </c>
      <c r="V216" s="114">
        <v>131</v>
      </c>
      <c r="W216" s="114"/>
      <c r="X216" s="114">
        <f>253670900</f>
        <v>253670900</v>
      </c>
      <c r="Y216" s="114">
        <v>85579000</v>
      </c>
      <c r="Z216" s="115"/>
      <c r="AA216" s="111" t="s">
        <v>60</v>
      </c>
      <c r="AB216" s="116">
        <f>363</f>
        <v>363</v>
      </c>
      <c r="AC216" s="116" t="str">
        <f t="shared" si="15"/>
        <v>－</v>
      </c>
      <c r="AD216" s="117">
        <f>19</f>
        <v>19</v>
      </c>
    </row>
    <row r="217" spans="1:30">
      <c r="A217" s="107" t="s">
        <v>46</v>
      </c>
      <c r="B217" s="108" t="s">
        <v>1645</v>
      </c>
      <c r="C217" s="108" t="s">
        <v>1646</v>
      </c>
      <c r="D217" s="108" t="s">
        <v>86</v>
      </c>
      <c r="E217" s="109" t="s">
        <v>652</v>
      </c>
      <c r="F217" s="109" t="s">
        <v>1029</v>
      </c>
      <c r="G217" s="110">
        <v>10</v>
      </c>
      <c r="H217" s="111" t="s">
        <v>1607</v>
      </c>
      <c r="I217" s="112" t="s">
        <v>1669</v>
      </c>
      <c r="J217" s="111" t="s">
        <v>1670</v>
      </c>
      <c r="K217" s="112" t="s">
        <v>1616</v>
      </c>
      <c r="L217" s="111" t="s">
        <v>314</v>
      </c>
      <c r="M217" s="112" t="s">
        <v>1671</v>
      </c>
      <c r="N217" s="111" t="s">
        <v>622</v>
      </c>
      <c r="O217" s="112" t="s">
        <v>1594</v>
      </c>
      <c r="P217" s="111" t="s">
        <v>1607</v>
      </c>
      <c r="Q217" s="112" t="s">
        <v>1672</v>
      </c>
      <c r="R217" s="111" t="s">
        <v>1037</v>
      </c>
      <c r="S217" s="112" t="s">
        <v>1664</v>
      </c>
      <c r="T217" s="113">
        <f>58509.83</f>
        <v>58509.83</v>
      </c>
      <c r="U217" s="114">
        <f>267</f>
        <v>267</v>
      </c>
      <c r="V217" s="114">
        <v>65</v>
      </c>
      <c r="W217" s="114"/>
      <c r="X217" s="114">
        <f>170981800</f>
        <v>170981800</v>
      </c>
      <c r="Y217" s="114">
        <v>41743800</v>
      </c>
      <c r="Z217" s="115"/>
      <c r="AA217" s="111" t="s">
        <v>60</v>
      </c>
      <c r="AB217" s="116">
        <f>243</f>
        <v>243</v>
      </c>
      <c r="AC217" s="116" t="str">
        <f t="shared" si="15"/>
        <v>－</v>
      </c>
      <c r="AD217" s="117">
        <f>18</f>
        <v>18</v>
      </c>
    </row>
    <row r="218" spans="1:30">
      <c r="A218" s="107" t="s">
        <v>46</v>
      </c>
      <c r="B218" s="108" t="s">
        <v>1645</v>
      </c>
      <c r="C218" s="108" t="s">
        <v>1646</v>
      </c>
      <c r="D218" s="108" t="s">
        <v>669</v>
      </c>
      <c r="E218" s="109" t="s">
        <v>781</v>
      </c>
      <c r="F218" s="109" t="s">
        <v>213</v>
      </c>
      <c r="G218" s="110">
        <v>10</v>
      </c>
      <c r="H218" s="111" t="s">
        <v>1607</v>
      </c>
      <c r="I218" s="112" t="s">
        <v>1597</v>
      </c>
      <c r="J218" s="111" t="s">
        <v>1673</v>
      </c>
      <c r="K218" s="112" t="s">
        <v>1160</v>
      </c>
      <c r="L218" s="111" t="s">
        <v>500</v>
      </c>
      <c r="M218" s="112" t="s">
        <v>1674</v>
      </c>
      <c r="N218" s="111" t="s">
        <v>622</v>
      </c>
      <c r="O218" s="112" t="s">
        <v>1113</v>
      </c>
      <c r="P218" s="111" t="s">
        <v>1607</v>
      </c>
      <c r="Q218" s="112" t="s">
        <v>1672</v>
      </c>
      <c r="R218" s="111" t="s">
        <v>217</v>
      </c>
      <c r="S218" s="112" t="s">
        <v>1675</v>
      </c>
      <c r="T218" s="113">
        <f>60505.08</f>
        <v>60505.08</v>
      </c>
      <c r="U218" s="114">
        <f>395</f>
        <v>395</v>
      </c>
      <c r="V218" s="114">
        <v>106</v>
      </c>
      <c r="W218" s="114"/>
      <c r="X218" s="114">
        <f>247862200</f>
        <v>247862200</v>
      </c>
      <c r="Y218" s="114">
        <v>66332000</v>
      </c>
      <c r="Z218" s="115"/>
      <c r="AA218" s="111" t="s">
        <v>60</v>
      </c>
      <c r="AB218" s="116">
        <f>324</f>
        <v>324</v>
      </c>
      <c r="AC218" s="116" t="str">
        <f t="shared" si="15"/>
        <v>－</v>
      </c>
      <c r="AD218" s="117">
        <f>26</f>
        <v>26</v>
      </c>
    </row>
    <row r="219" spans="1:30">
      <c r="A219" s="107" t="s">
        <v>46</v>
      </c>
      <c r="B219" s="108" t="s">
        <v>1645</v>
      </c>
      <c r="C219" s="108" t="s">
        <v>1646</v>
      </c>
      <c r="D219" s="108" t="s">
        <v>97</v>
      </c>
      <c r="E219" s="109" t="s">
        <v>670</v>
      </c>
      <c r="F219" s="109" t="s">
        <v>671</v>
      </c>
      <c r="G219" s="110">
        <v>10</v>
      </c>
      <c r="H219" s="111" t="s">
        <v>285</v>
      </c>
      <c r="I219" s="112" t="s">
        <v>1612</v>
      </c>
      <c r="J219" s="111" t="s">
        <v>679</v>
      </c>
      <c r="K219" s="112" t="s">
        <v>1676</v>
      </c>
      <c r="L219" s="111" t="s">
        <v>679</v>
      </c>
      <c r="M219" s="112" t="s">
        <v>1677</v>
      </c>
      <c r="N219" s="111" t="s">
        <v>415</v>
      </c>
      <c r="O219" s="112" t="s">
        <v>1678</v>
      </c>
      <c r="P219" s="111" t="s">
        <v>500</v>
      </c>
      <c r="Q219" s="112" t="s">
        <v>1674</v>
      </c>
      <c r="R219" s="111" t="s">
        <v>679</v>
      </c>
      <c r="S219" s="112" t="s">
        <v>1160</v>
      </c>
      <c r="T219" s="113">
        <f>61872.46</f>
        <v>61872.46</v>
      </c>
      <c r="U219" s="114">
        <f>534</f>
        <v>534</v>
      </c>
      <c r="V219" s="114">
        <v>200</v>
      </c>
      <c r="W219" s="114"/>
      <c r="X219" s="114">
        <f>357146900</f>
        <v>357146900</v>
      </c>
      <c r="Y219" s="114">
        <v>134620400</v>
      </c>
      <c r="Z219" s="115"/>
      <c r="AA219" s="111" t="s">
        <v>60</v>
      </c>
      <c r="AB219" s="116">
        <f>418</f>
        <v>418</v>
      </c>
      <c r="AC219" s="116" t="str">
        <f t="shared" si="15"/>
        <v>－</v>
      </c>
      <c r="AD219" s="117">
        <f>21</f>
        <v>21</v>
      </c>
    </row>
    <row r="220" spans="1:30">
      <c r="A220" s="107" t="s">
        <v>46</v>
      </c>
      <c r="B220" s="108" t="s">
        <v>1645</v>
      </c>
      <c r="C220" s="108" t="s">
        <v>1646</v>
      </c>
      <c r="D220" s="108" t="s">
        <v>524</v>
      </c>
      <c r="E220" s="109" t="s">
        <v>63</v>
      </c>
      <c r="F220" s="109" t="s">
        <v>218</v>
      </c>
      <c r="G220" s="110">
        <v>10</v>
      </c>
      <c r="H220" s="111" t="s">
        <v>285</v>
      </c>
      <c r="I220" s="112" t="s">
        <v>1612</v>
      </c>
      <c r="J220" s="111" t="s">
        <v>221</v>
      </c>
      <c r="K220" s="112" t="s">
        <v>1679</v>
      </c>
      <c r="L220" s="111" t="s">
        <v>221</v>
      </c>
      <c r="M220" s="112" t="s">
        <v>1680</v>
      </c>
      <c r="N220" s="111" t="s">
        <v>415</v>
      </c>
      <c r="O220" s="112" t="s">
        <v>1678</v>
      </c>
      <c r="P220" s="111" t="s">
        <v>500</v>
      </c>
      <c r="Q220" s="112" t="s">
        <v>1674</v>
      </c>
      <c r="R220" s="111" t="s">
        <v>221</v>
      </c>
      <c r="S220" s="112" t="s">
        <v>1618</v>
      </c>
      <c r="T220" s="113">
        <f>64530</f>
        <v>64530</v>
      </c>
      <c r="U220" s="114">
        <f>864</f>
        <v>864</v>
      </c>
      <c r="V220" s="114">
        <v>339</v>
      </c>
      <c r="W220" s="114"/>
      <c r="X220" s="114">
        <f>666377000</f>
        <v>666377000</v>
      </c>
      <c r="Y220" s="114">
        <v>263872000</v>
      </c>
      <c r="Z220" s="115"/>
      <c r="AA220" s="111" t="s">
        <v>60</v>
      </c>
      <c r="AB220" s="116">
        <f>684</f>
        <v>684</v>
      </c>
      <c r="AC220" s="116" t="str">
        <f t="shared" si="15"/>
        <v>－</v>
      </c>
      <c r="AD220" s="117">
        <f>22</f>
        <v>22</v>
      </c>
    </row>
    <row r="221" spans="1:30">
      <c r="A221" s="107" t="s">
        <v>46</v>
      </c>
      <c r="B221" s="108" t="s">
        <v>1645</v>
      </c>
      <c r="C221" s="108" t="s">
        <v>1646</v>
      </c>
      <c r="D221" s="108" t="s">
        <v>109</v>
      </c>
      <c r="E221" s="109" t="s">
        <v>689</v>
      </c>
      <c r="F221" s="109" t="s">
        <v>768</v>
      </c>
      <c r="G221" s="110">
        <v>10</v>
      </c>
      <c r="H221" s="111" t="s">
        <v>285</v>
      </c>
      <c r="I221" s="112" t="s">
        <v>1612</v>
      </c>
      <c r="J221" s="111" t="s">
        <v>827</v>
      </c>
      <c r="K221" s="112" t="s">
        <v>1618</v>
      </c>
      <c r="L221" s="111" t="s">
        <v>107</v>
      </c>
      <c r="M221" s="112" t="s">
        <v>1680</v>
      </c>
      <c r="N221" s="111" t="s">
        <v>415</v>
      </c>
      <c r="O221" s="112" t="s">
        <v>1678</v>
      </c>
      <c r="P221" s="111" t="s">
        <v>415</v>
      </c>
      <c r="Q221" s="112" t="s">
        <v>1681</v>
      </c>
      <c r="R221" s="111" t="s">
        <v>729</v>
      </c>
      <c r="S221" s="112" t="s">
        <v>1181</v>
      </c>
      <c r="T221" s="113">
        <f>67228.56</f>
        <v>67228.56</v>
      </c>
      <c r="U221" s="114">
        <f>816</f>
        <v>816</v>
      </c>
      <c r="V221" s="114">
        <v>246</v>
      </c>
      <c r="W221" s="114"/>
      <c r="X221" s="114">
        <f>612540500</f>
        <v>612540500</v>
      </c>
      <c r="Y221" s="114">
        <v>188123000</v>
      </c>
      <c r="Z221" s="115"/>
      <c r="AA221" s="111" t="s">
        <v>60</v>
      </c>
      <c r="AB221" s="116">
        <f>571</f>
        <v>571</v>
      </c>
      <c r="AC221" s="116">
        <f>6</f>
        <v>6</v>
      </c>
      <c r="AD221" s="117">
        <f>37</f>
        <v>37</v>
      </c>
    </row>
    <row r="222" spans="1:30">
      <c r="A222" s="107" t="s">
        <v>46</v>
      </c>
      <c r="B222" s="108" t="s">
        <v>1645</v>
      </c>
      <c r="C222" s="108" t="s">
        <v>1646</v>
      </c>
      <c r="D222" s="108" t="s">
        <v>544</v>
      </c>
      <c r="E222" s="109" t="s">
        <v>147</v>
      </c>
      <c r="F222" s="109" t="s">
        <v>183</v>
      </c>
      <c r="G222" s="110">
        <v>10</v>
      </c>
      <c r="H222" s="111" t="s">
        <v>314</v>
      </c>
      <c r="I222" s="112" t="s">
        <v>1682</v>
      </c>
      <c r="J222" s="111" t="s">
        <v>827</v>
      </c>
      <c r="K222" s="112" t="s">
        <v>1683</v>
      </c>
      <c r="L222" s="111" t="s">
        <v>185</v>
      </c>
      <c r="M222" s="112" t="s">
        <v>1626</v>
      </c>
      <c r="N222" s="111" t="s">
        <v>415</v>
      </c>
      <c r="O222" s="112" t="s">
        <v>1678</v>
      </c>
      <c r="P222" s="111" t="s">
        <v>415</v>
      </c>
      <c r="Q222" s="112" t="s">
        <v>1681</v>
      </c>
      <c r="R222" s="111" t="s">
        <v>185</v>
      </c>
      <c r="S222" s="112" t="s">
        <v>1684</v>
      </c>
      <c r="T222" s="113">
        <f>68597.07</f>
        <v>68597.070000000007</v>
      </c>
      <c r="U222" s="114">
        <f>804</f>
        <v>804</v>
      </c>
      <c r="V222" s="114">
        <v>239</v>
      </c>
      <c r="W222" s="114"/>
      <c r="X222" s="114">
        <f>566691000</f>
        <v>566691000</v>
      </c>
      <c r="Y222" s="114">
        <v>168891400</v>
      </c>
      <c r="Z222" s="115"/>
      <c r="AA222" s="111" t="s">
        <v>60</v>
      </c>
      <c r="AB222" s="116">
        <f>542</f>
        <v>542</v>
      </c>
      <c r="AC222" s="116">
        <f>10</f>
        <v>10</v>
      </c>
      <c r="AD222" s="117">
        <f>46</f>
        <v>46</v>
      </c>
    </row>
    <row r="223" spans="1:30">
      <c r="A223" s="107" t="s">
        <v>46</v>
      </c>
      <c r="B223" s="108" t="s">
        <v>1645</v>
      </c>
      <c r="C223" s="108" t="s">
        <v>1646</v>
      </c>
      <c r="D223" s="108" t="s">
        <v>122</v>
      </c>
      <c r="E223" s="109" t="s">
        <v>653</v>
      </c>
      <c r="F223" s="109" t="s">
        <v>709</v>
      </c>
      <c r="G223" s="110">
        <v>10</v>
      </c>
      <c r="H223" s="111" t="s">
        <v>1176</v>
      </c>
      <c r="I223" s="112" t="s">
        <v>1685</v>
      </c>
      <c r="J223" s="111" t="s">
        <v>113</v>
      </c>
      <c r="K223" s="112" t="s">
        <v>1686</v>
      </c>
      <c r="L223" s="111" t="s">
        <v>415</v>
      </c>
      <c r="M223" s="112" t="s">
        <v>1681</v>
      </c>
      <c r="N223" s="111" t="s">
        <v>415</v>
      </c>
      <c r="O223" s="112" t="s">
        <v>1678</v>
      </c>
      <c r="P223" s="111" t="s">
        <v>415</v>
      </c>
      <c r="Q223" s="112" t="s">
        <v>1681</v>
      </c>
      <c r="R223" s="111" t="s">
        <v>185</v>
      </c>
      <c r="S223" s="112" t="s">
        <v>1633</v>
      </c>
      <c r="T223" s="113">
        <f>68879.82</f>
        <v>68879.820000000007</v>
      </c>
      <c r="U223" s="114">
        <f>176</f>
        <v>176</v>
      </c>
      <c r="V223" s="114">
        <v>1</v>
      </c>
      <c r="W223" s="114"/>
      <c r="X223" s="114">
        <f>121863000</f>
        <v>121863000</v>
      </c>
      <c r="Y223" s="114">
        <v>625000</v>
      </c>
      <c r="Z223" s="115"/>
      <c r="AA223" s="111"/>
      <c r="AB223" s="116">
        <f>111</f>
        <v>111</v>
      </c>
      <c r="AC223" s="116" t="str">
        <f t="shared" ref="AC223:AC228" si="16">"－"</f>
        <v>－</v>
      </c>
      <c r="AD223" s="117">
        <f>29</f>
        <v>29</v>
      </c>
    </row>
    <row r="224" spans="1:30">
      <c r="A224" s="107" t="s">
        <v>46</v>
      </c>
      <c r="B224" s="108" t="s">
        <v>1645</v>
      </c>
      <c r="C224" s="108" t="s">
        <v>1646</v>
      </c>
      <c r="D224" s="108" t="s">
        <v>557</v>
      </c>
      <c r="E224" s="109" t="s">
        <v>88</v>
      </c>
      <c r="F224" s="109" t="s">
        <v>1078</v>
      </c>
      <c r="G224" s="110">
        <v>10</v>
      </c>
      <c r="H224" s="111" t="s">
        <v>705</v>
      </c>
      <c r="I224" s="112" t="s">
        <v>1687</v>
      </c>
      <c r="J224" s="111" t="s">
        <v>509</v>
      </c>
      <c r="K224" s="112" t="s">
        <v>1688</v>
      </c>
      <c r="L224" s="111"/>
      <c r="M224" s="112"/>
      <c r="N224" s="111" t="s">
        <v>676</v>
      </c>
      <c r="O224" s="112" t="s">
        <v>1689</v>
      </c>
      <c r="P224" s="111"/>
      <c r="Q224" s="112"/>
      <c r="R224" s="111" t="s">
        <v>400</v>
      </c>
      <c r="S224" s="112" t="s">
        <v>1629</v>
      </c>
      <c r="T224" s="113">
        <f>70256.32</f>
        <v>70256.320000000007</v>
      </c>
      <c r="U224" s="114">
        <f>38</f>
        <v>38</v>
      </c>
      <c r="V224" s="114"/>
      <c r="W224" s="114"/>
      <c r="X224" s="114">
        <f>26456000</f>
        <v>26456000</v>
      </c>
      <c r="Y224" s="114"/>
      <c r="Z224" s="115"/>
      <c r="AA224" s="111"/>
      <c r="AB224" s="116">
        <f>26</f>
        <v>26</v>
      </c>
      <c r="AC224" s="116" t="str">
        <f t="shared" si="16"/>
        <v>－</v>
      </c>
      <c r="AD224" s="117">
        <f>15</f>
        <v>15</v>
      </c>
    </row>
    <row r="225" spans="1:30">
      <c r="A225" s="107" t="s">
        <v>46</v>
      </c>
      <c r="B225" s="108" t="s">
        <v>1645</v>
      </c>
      <c r="C225" s="108" t="s">
        <v>1646</v>
      </c>
      <c r="D225" s="108" t="s">
        <v>134</v>
      </c>
      <c r="E225" s="109" t="s">
        <v>755</v>
      </c>
      <c r="F225" s="109" t="s">
        <v>722</v>
      </c>
      <c r="G225" s="110">
        <v>10</v>
      </c>
      <c r="H225" s="111" t="s">
        <v>1690</v>
      </c>
      <c r="I225" s="112" t="s">
        <v>1691</v>
      </c>
      <c r="J225" s="111" t="s">
        <v>1690</v>
      </c>
      <c r="K225" s="112" t="s">
        <v>1691</v>
      </c>
      <c r="L225" s="111"/>
      <c r="M225" s="112"/>
      <c r="N225" s="111" t="s">
        <v>565</v>
      </c>
      <c r="O225" s="112" t="s">
        <v>1692</v>
      </c>
      <c r="P225" s="111"/>
      <c r="Q225" s="112"/>
      <c r="R225" s="111" t="s">
        <v>400</v>
      </c>
      <c r="S225" s="112" t="s">
        <v>1693</v>
      </c>
      <c r="T225" s="113">
        <f>71952.24</f>
        <v>71952.240000000005</v>
      </c>
      <c r="U225" s="114">
        <f>6</f>
        <v>6</v>
      </c>
      <c r="V225" s="114"/>
      <c r="W225" s="114"/>
      <c r="X225" s="114">
        <f>4326000</f>
        <v>4326000</v>
      </c>
      <c r="Y225" s="114"/>
      <c r="Z225" s="115"/>
      <c r="AA225" s="111"/>
      <c r="AB225" s="116">
        <f>2</f>
        <v>2</v>
      </c>
      <c r="AC225" s="116" t="str">
        <f t="shared" si="16"/>
        <v>－</v>
      </c>
      <c r="AD225" s="117">
        <f>5</f>
        <v>5</v>
      </c>
    </row>
    <row r="226" spans="1:30">
      <c r="A226" s="107" t="s">
        <v>46</v>
      </c>
      <c r="B226" s="108" t="s">
        <v>1645</v>
      </c>
      <c r="C226" s="108" t="s">
        <v>1646</v>
      </c>
      <c r="D226" s="108" t="s">
        <v>577</v>
      </c>
      <c r="E226" s="109" t="s">
        <v>99</v>
      </c>
      <c r="F226" s="109" t="s">
        <v>136</v>
      </c>
      <c r="G226" s="110">
        <v>10</v>
      </c>
      <c r="H226" s="111" t="s">
        <v>1690</v>
      </c>
      <c r="I226" s="112" t="s">
        <v>1631</v>
      </c>
      <c r="J226" s="111" t="s">
        <v>1690</v>
      </c>
      <c r="K226" s="112" t="s">
        <v>1631</v>
      </c>
      <c r="L226" s="111"/>
      <c r="M226" s="112"/>
      <c r="N226" s="111" t="s">
        <v>565</v>
      </c>
      <c r="O226" s="112" t="s">
        <v>1692</v>
      </c>
      <c r="P226" s="111"/>
      <c r="Q226" s="112"/>
      <c r="R226" s="111" t="s">
        <v>400</v>
      </c>
      <c r="S226" s="112" t="s">
        <v>1693</v>
      </c>
      <c r="T226" s="113">
        <f>72532.61</f>
        <v>72532.61</v>
      </c>
      <c r="U226" s="114">
        <f>6</f>
        <v>6</v>
      </c>
      <c r="V226" s="114"/>
      <c r="W226" s="114"/>
      <c r="X226" s="114">
        <f>4321000</f>
        <v>4321000</v>
      </c>
      <c r="Y226" s="114"/>
      <c r="Z226" s="115"/>
      <c r="AA226" s="111"/>
      <c r="AB226" s="116">
        <f>2</f>
        <v>2</v>
      </c>
      <c r="AC226" s="116" t="str">
        <f t="shared" si="16"/>
        <v>－</v>
      </c>
      <c r="AD226" s="117">
        <f>5</f>
        <v>5</v>
      </c>
    </row>
    <row r="227" spans="1:30">
      <c r="A227" s="107" t="s">
        <v>46</v>
      </c>
      <c r="B227" s="108" t="s">
        <v>1645</v>
      </c>
      <c r="C227" s="108" t="s">
        <v>1646</v>
      </c>
      <c r="D227" s="108" t="s">
        <v>146</v>
      </c>
      <c r="E227" s="109" t="s">
        <v>964</v>
      </c>
      <c r="F227" s="109" t="s">
        <v>734</v>
      </c>
      <c r="G227" s="110">
        <v>10</v>
      </c>
      <c r="H227" s="111" t="s">
        <v>505</v>
      </c>
      <c r="I227" s="112" t="s">
        <v>1642</v>
      </c>
      <c r="J227" s="111" t="s">
        <v>505</v>
      </c>
      <c r="K227" s="112" t="s">
        <v>1642</v>
      </c>
      <c r="L227" s="111"/>
      <c r="M227" s="112"/>
      <c r="N227" s="111" t="s">
        <v>565</v>
      </c>
      <c r="O227" s="112" t="s">
        <v>1692</v>
      </c>
      <c r="P227" s="111"/>
      <c r="Q227" s="112"/>
      <c r="R227" s="111" t="s">
        <v>400</v>
      </c>
      <c r="S227" s="112" t="s">
        <v>1633</v>
      </c>
      <c r="T227" s="113">
        <f>70820</f>
        <v>70820</v>
      </c>
      <c r="U227" s="114">
        <f>6</f>
        <v>6</v>
      </c>
      <c r="V227" s="114"/>
      <c r="W227" s="114"/>
      <c r="X227" s="114">
        <f>4277000</f>
        <v>4277000</v>
      </c>
      <c r="Y227" s="114"/>
      <c r="Z227" s="115"/>
      <c r="AA227" s="111"/>
      <c r="AB227" s="116">
        <f>2</f>
        <v>2</v>
      </c>
      <c r="AC227" s="116" t="str">
        <f t="shared" si="16"/>
        <v>－</v>
      </c>
      <c r="AD227" s="117">
        <f>4</f>
        <v>4</v>
      </c>
    </row>
    <row r="228" spans="1:30">
      <c r="A228" s="107" t="s">
        <v>46</v>
      </c>
      <c r="B228" s="108" t="s">
        <v>1645</v>
      </c>
      <c r="C228" s="108" t="s">
        <v>1646</v>
      </c>
      <c r="D228" s="108" t="s">
        <v>745</v>
      </c>
      <c r="E228" s="109" t="s">
        <v>1099</v>
      </c>
      <c r="F228" s="109" t="s">
        <v>241</v>
      </c>
      <c r="G228" s="110">
        <v>10</v>
      </c>
      <c r="H228" s="111"/>
      <c r="I228" s="112" t="s">
        <v>260</v>
      </c>
      <c r="J228" s="111"/>
      <c r="K228" s="112" t="s">
        <v>260</v>
      </c>
      <c r="L228" s="111"/>
      <c r="M228" s="112"/>
      <c r="N228" s="111"/>
      <c r="O228" s="112" t="s">
        <v>260</v>
      </c>
      <c r="P228" s="111"/>
      <c r="Q228" s="112"/>
      <c r="R228" s="111"/>
      <c r="S228" s="112" t="s">
        <v>260</v>
      </c>
      <c r="T228" s="113">
        <f>69625</f>
        <v>69625</v>
      </c>
      <c r="U228" s="114" t="str">
        <f>"－"</f>
        <v>－</v>
      </c>
      <c r="V228" s="114"/>
      <c r="W228" s="114"/>
      <c r="X228" s="114" t="str">
        <f>"－"</f>
        <v>－</v>
      </c>
      <c r="Y228" s="114"/>
      <c r="Z228" s="115"/>
      <c r="AA228" s="111"/>
      <c r="AB228" s="116" t="str">
        <f>"－"</f>
        <v>－</v>
      </c>
      <c r="AC228" s="116" t="str">
        <f t="shared" si="16"/>
        <v>－</v>
      </c>
      <c r="AD228" s="117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BO_DY0005</vt:lpstr>
      <vt:lpstr>BO_DY0007</vt:lpstr>
      <vt:lpstr>BO_DY0005!Print_Titles</vt:lpstr>
      <vt:lpstr>BO_DY0007!Print_Titles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Suzuki, Asuka (鈴木 飛鳥)</cp:lastModifiedBy>
  <cp:lastPrinted>2020-10-07T09:06:52Z</cp:lastPrinted>
  <dcterms:created xsi:type="dcterms:W3CDTF">2017-12-14T02:19:15Z</dcterms:created>
  <dcterms:modified xsi:type="dcterms:W3CDTF">2022-01-07T07:00:28Z</dcterms:modified>
</cp:coreProperties>
</file>