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x-fs\josys\37_BO-X\40_追加開発\25_TOCOM周辺対応\52_稼働後確認・作業チェックリスト\work\adachi\20220107\"/>
    </mc:Choice>
  </mc:AlternateContent>
  <xr:revisionPtr revIDLastSave="0" documentId="13_ncr:1_{F1E9EAA9-8A55-43E6-A095-2BFA17AB067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O_DY0000" sheetId="8" r:id="rId1"/>
  </sheets>
  <definedNames>
    <definedName name="_xlnm.Print_Titles" localSheetId="0">BO_DY0000!$1:$6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90" i="8" l="1"/>
  <c r="AB190" i="8"/>
  <c r="X190" i="8"/>
  <c r="U190" i="8"/>
  <c r="T190" i="8"/>
  <c r="AC189" i="8"/>
  <c r="AB189" i="8"/>
  <c r="X189" i="8"/>
  <c r="U189" i="8"/>
  <c r="T189" i="8"/>
  <c r="AC188" i="8"/>
  <c r="AB188" i="8"/>
  <c r="X188" i="8"/>
  <c r="U188" i="8"/>
  <c r="T188" i="8"/>
  <c r="AC187" i="8"/>
  <c r="AB187" i="8"/>
  <c r="X187" i="8"/>
  <c r="U187" i="8"/>
  <c r="T187" i="8"/>
  <c r="AC186" i="8"/>
  <c r="AB186" i="8"/>
  <c r="X186" i="8"/>
  <c r="U186" i="8"/>
  <c r="T186" i="8"/>
  <c r="AC185" i="8"/>
  <c r="AB185" i="8"/>
  <c r="X185" i="8"/>
  <c r="U185" i="8"/>
  <c r="T185" i="8"/>
  <c r="AC184" i="8"/>
  <c r="AB184" i="8"/>
  <c r="X184" i="8"/>
  <c r="U184" i="8"/>
  <c r="T184" i="8"/>
  <c r="AC183" i="8"/>
  <c r="AB183" i="8"/>
  <c r="X183" i="8"/>
  <c r="U183" i="8"/>
  <c r="T183" i="8"/>
  <c r="AC182" i="8"/>
  <c r="AB182" i="8"/>
  <c r="X182" i="8"/>
  <c r="U182" i="8"/>
  <c r="T182" i="8"/>
  <c r="AC181" i="8"/>
  <c r="AB181" i="8"/>
  <c r="X181" i="8"/>
  <c r="U181" i="8"/>
  <c r="T181" i="8"/>
  <c r="AC180" i="8"/>
  <c r="AB180" i="8"/>
  <c r="X180" i="8"/>
  <c r="U180" i="8"/>
  <c r="T180" i="8"/>
  <c r="AC179" i="8"/>
  <c r="AB179" i="8"/>
  <c r="X179" i="8"/>
  <c r="U179" i="8"/>
  <c r="T179" i="8"/>
  <c r="AC178" i="8"/>
  <c r="AB178" i="8"/>
  <c r="X178" i="8"/>
  <c r="U178" i="8"/>
  <c r="T178" i="8"/>
  <c r="AC177" i="8"/>
  <c r="AB177" i="8"/>
  <c r="X177" i="8"/>
  <c r="U177" i="8"/>
  <c r="T177" i="8"/>
  <c r="AC176" i="8"/>
  <c r="AB176" i="8"/>
  <c r="X176" i="8"/>
  <c r="U176" i="8"/>
  <c r="T176" i="8"/>
  <c r="AC175" i="8"/>
  <c r="AB175" i="8"/>
  <c r="X175" i="8"/>
  <c r="U175" i="8"/>
  <c r="T175" i="8"/>
  <c r="AC174" i="8"/>
  <c r="AB174" i="8"/>
  <c r="X174" i="8"/>
  <c r="U174" i="8"/>
  <c r="T174" i="8"/>
  <c r="AC173" i="8"/>
  <c r="AB173" i="8"/>
  <c r="X173" i="8"/>
  <c r="U173" i="8"/>
  <c r="T173" i="8"/>
  <c r="AC172" i="8"/>
  <c r="AB172" i="8"/>
  <c r="X172" i="8"/>
  <c r="U172" i="8"/>
  <c r="T172" i="8"/>
  <c r="AC171" i="8"/>
  <c r="AB171" i="8"/>
  <c r="X171" i="8"/>
  <c r="U171" i="8"/>
  <c r="T171" i="8"/>
  <c r="AC170" i="8"/>
  <c r="AB170" i="8"/>
  <c r="X170" i="8"/>
  <c r="U170" i="8"/>
  <c r="T170" i="8"/>
  <c r="AC169" i="8"/>
  <c r="AB169" i="8"/>
  <c r="X169" i="8"/>
  <c r="U169" i="8"/>
  <c r="T169" i="8"/>
  <c r="AC168" i="8"/>
  <c r="AB168" i="8"/>
  <c r="X168" i="8"/>
  <c r="U168" i="8"/>
  <c r="T168" i="8"/>
  <c r="AC167" i="8"/>
  <c r="AB167" i="8"/>
  <c r="X167" i="8"/>
  <c r="U167" i="8"/>
  <c r="T167" i="8"/>
  <c r="AC166" i="8"/>
  <c r="AB166" i="8"/>
  <c r="X166" i="8"/>
  <c r="U166" i="8"/>
  <c r="T166" i="8"/>
  <c r="AC165" i="8"/>
  <c r="AB165" i="8"/>
  <c r="X165" i="8"/>
  <c r="U165" i="8"/>
  <c r="T165" i="8"/>
  <c r="AC164" i="8"/>
  <c r="AB164" i="8"/>
  <c r="X164" i="8"/>
  <c r="U164" i="8"/>
  <c r="T164" i="8"/>
  <c r="AC163" i="8"/>
  <c r="AB163" i="8"/>
  <c r="X163" i="8"/>
  <c r="U163" i="8"/>
  <c r="T163" i="8"/>
  <c r="AC162" i="8"/>
  <c r="AB162" i="8"/>
  <c r="X162" i="8"/>
  <c r="U162" i="8"/>
  <c r="T162" i="8"/>
  <c r="AC161" i="8"/>
  <c r="AB161" i="8"/>
  <c r="X161" i="8"/>
  <c r="U161" i="8"/>
  <c r="T161" i="8"/>
  <c r="AC160" i="8"/>
  <c r="AB160" i="8"/>
  <c r="X160" i="8"/>
  <c r="U160" i="8"/>
  <c r="T160" i="8"/>
  <c r="AC159" i="8"/>
  <c r="AB159" i="8"/>
  <c r="X159" i="8"/>
  <c r="U159" i="8"/>
  <c r="T159" i="8"/>
  <c r="AC158" i="8"/>
  <c r="AB158" i="8"/>
  <c r="X158" i="8"/>
  <c r="U158" i="8"/>
  <c r="T158" i="8"/>
  <c r="AC157" i="8"/>
  <c r="AB157" i="8"/>
  <c r="X157" i="8"/>
  <c r="U157" i="8"/>
  <c r="T157" i="8"/>
  <c r="AC156" i="8"/>
  <c r="AB156" i="8"/>
  <c r="X156" i="8"/>
  <c r="U156" i="8"/>
  <c r="T156" i="8"/>
  <c r="AC155" i="8"/>
  <c r="AB155" i="8"/>
  <c r="X155" i="8"/>
  <c r="U155" i="8"/>
  <c r="T155" i="8"/>
  <c r="AC154" i="8"/>
  <c r="AB154" i="8"/>
  <c r="X154" i="8"/>
  <c r="U154" i="8"/>
  <c r="T154" i="8"/>
  <c r="AC153" i="8"/>
  <c r="AB153" i="8"/>
  <c r="X153" i="8"/>
  <c r="U153" i="8"/>
  <c r="T153" i="8"/>
  <c r="AC152" i="8"/>
  <c r="AB152" i="8"/>
  <c r="X152" i="8"/>
  <c r="U152" i="8"/>
  <c r="T152" i="8"/>
  <c r="AC151" i="8"/>
  <c r="AB151" i="8"/>
  <c r="X151" i="8"/>
  <c r="U151" i="8"/>
  <c r="T151" i="8"/>
  <c r="AC150" i="8"/>
  <c r="AB150" i="8"/>
  <c r="X150" i="8"/>
  <c r="U150" i="8"/>
  <c r="T150" i="8"/>
  <c r="AC149" i="8"/>
  <c r="AB149" i="8"/>
  <c r="X149" i="8"/>
  <c r="U149" i="8"/>
  <c r="T149" i="8"/>
  <c r="AC148" i="8"/>
  <c r="AB148" i="8"/>
  <c r="X148" i="8"/>
  <c r="U148" i="8"/>
  <c r="T148" i="8"/>
  <c r="AC147" i="8"/>
  <c r="AB147" i="8"/>
  <c r="X147" i="8"/>
  <c r="U147" i="8"/>
  <c r="T147" i="8"/>
  <c r="AC146" i="8"/>
  <c r="AB146" i="8"/>
  <c r="X146" i="8"/>
  <c r="U146" i="8"/>
  <c r="T146" i="8"/>
  <c r="AC145" i="8"/>
  <c r="AB145" i="8"/>
  <c r="X145" i="8"/>
  <c r="U145" i="8"/>
  <c r="T145" i="8"/>
  <c r="AC144" i="8"/>
  <c r="AB144" i="8"/>
  <c r="X144" i="8"/>
  <c r="U144" i="8"/>
  <c r="T144" i="8"/>
  <c r="AC143" i="8"/>
  <c r="AB143" i="8"/>
  <c r="X143" i="8"/>
  <c r="U143" i="8"/>
  <c r="T143" i="8"/>
  <c r="AC142" i="8"/>
  <c r="AB142" i="8"/>
  <c r="X142" i="8"/>
  <c r="U142" i="8"/>
  <c r="T142" i="8"/>
  <c r="AC141" i="8"/>
  <c r="AB141" i="8"/>
  <c r="X141" i="8"/>
  <c r="U141" i="8"/>
  <c r="T141" i="8"/>
  <c r="AC140" i="8"/>
  <c r="AB140" i="8"/>
  <c r="X140" i="8"/>
  <c r="U140" i="8"/>
  <c r="T140" i="8"/>
  <c r="AC139" i="8"/>
  <c r="AB139" i="8"/>
  <c r="X139" i="8"/>
  <c r="U139" i="8"/>
  <c r="T139" i="8"/>
  <c r="AC138" i="8"/>
  <c r="AB138" i="8"/>
  <c r="X138" i="8"/>
  <c r="U138" i="8"/>
  <c r="T138" i="8"/>
  <c r="AC137" i="8"/>
  <c r="AB137" i="8"/>
  <c r="X137" i="8"/>
  <c r="U137" i="8"/>
  <c r="T137" i="8"/>
  <c r="AC136" i="8"/>
  <c r="AB136" i="8"/>
  <c r="X136" i="8"/>
  <c r="U136" i="8"/>
  <c r="T136" i="8"/>
  <c r="AC135" i="8"/>
  <c r="AB135" i="8"/>
  <c r="X135" i="8"/>
  <c r="U135" i="8"/>
  <c r="T135" i="8"/>
  <c r="AC134" i="8"/>
  <c r="AB134" i="8"/>
  <c r="X134" i="8"/>
  <c r="U134" i="8"/>
  <c r="T134" i="8"/>
  <c r="AC133" i="8"/>
  <c r="AB133" i="8"/>
  <c r="X133" i="8"/>
  <c r="U133" i="8"/>
  <c r="T133" i="8"/>
  <c r="AC132" i="8"/>
  <c r="AB132" i="8"/>
  <c r="X132" i="8"/>
  <c r="U132" i="8"/>
  <c r="T132" i="8"/>
  <c r="AC131" i="8"/>
  <c r="AB131" i="8"/>
  <c r="X131" i="8"/>
  <c r="U131" i="8"/>
  <c r="T131" i="8"/>
  <c r="AC130" i="8"/>
  <c r="AB130" i="8"/>
  <c r="X130" i="8"/>
  <c r="U130" i="8"/>
  <c r="T130" i="8"/>
  <c r="AC129" i="8"/>
  <c r="AB129" i="8"/>
  <c r="X129" i="8"/>
  <c r="U129" i="8"/>
  <c r="T129" i="8"/>
  <c r="AC128" i="8"/>
  <c r="AB128" i="8"/>
  <c r="X128" i="8"/>
  <c r="U128" i="8"/>
  <c r="T128" i="8"/>
  <c r="AC127" i="8"/>
  <c r="AB127" i="8"/>
  <c r="X127" i="8"/>
  <c r="U127" i="8"/>
  <c r="T127" i="8"/>
  <c r="AC126" i="8"/>
  <c r="AB126" i="8"/>
  <c r="X126" i="8"/>
  <c r="U126" i="8"/>
  <c r="T126" i="8"/>
  <c r="AC125" i="8"/>
  <c r="AB125" i="8"/>
  <c r="X125" i="8"/>
  <c r="U125" i="8"/>
  <c r="T125" i="8"/>
  <c r="AC124" i="8"/>
  <c r="AB124" i="8"/>
  <c r="X124" i="8"/>
  <c r="U124" i="8"/>
  <c r="T124" i="8"/>
  <c r="AC123" i="8"/>
  <c r="AB123" i="8"/>
  <c r="X123" i="8"/>
  <c r="U123" i="8"/>
  <c r="T123" i="8"/>
  <c r="AC122" i="8"/>
  <c r="AB122" i="8"/>
  <c r="X122" i="8"/>
  <c r="U122" i="8"/>
  <c r="T122" i="8"/>
  <c r="AC121" i="8"/>
  <c r="AB121" i="8"/>
  <c r="X121" i="8"/>
  <c r="U121" i="8"/>
  <c r="T121" i="8"/>
  <c r="AC120" i="8"/>
  <c r="AB120" i="8"/>
  <c r="X120" i="8"/>
  <c r="U120" i="8"/>
  <c r="T120" i="8"/>
  <c r="AC119" i="8"/>
  <c r="AB119" i="8"/>
  <c r="X119" i="8"/>
  <c r="U119" i="8"/>
  <c r="T119" i="8"/>
  <c r="AC118" i="8"/>
  <c r="AB118" i="8"/>
  <c r="X118" i="8"/>
  <c r="U118" i="8"/>
  <c r="T118" i="8"/>
  <c r="AC117" i="8"/>
  <c r="AB117" i="8"/>
  <c r="X117" i="8"/>
  <c r="U117" i="8"/>
  <c r="T117" i="8"/>
  <c r="AC116" i="8"/>
  <c r="AB116" i="8"/>
  <c r="X116" i="8"/>
  <c r="U116" i="8"/>
  <c r="T116" i="8"/>
  <c r="AC115" i="8"/>
  <c r="AB115" i="8"/>
  <c r="X115" i="8"/>
  <c r="U115" i="8"/>
  <c r="T115" i="8"/>
  <c r="AC114" i="8"/>
  <c r="AB114" i="8"/>
  <c r="X114" i="8"/>
  <c r="U114" i="8"/>
  <c r="T114" i="8"/>
  <c r="AC113" i="8"/>
  <c r="AB113" i="8"/>
  <c r="X113" i="8"/>
  <c r="U113" i="8"/>
  <c r="T113" i="8"/>
  <c r="AC112" i="8"/>
  <c r="AB112" i="8"/>
  <c r="X112" i="8"/>
  <c r="U112" i="8"/>
  <c r="T112" i="8"/>
  <c r="AC111" i="8"/>
  <c r="AB111" i="8"/>
  <c r="X111" i="8"/>
  <c r="U111" i="8"/>
  <c r="T111" i="8"/>
  <c r="AC110" i="8"/>
  <c r="AB110" i="8"/>
  <c r="X110" i="8"/>
  <c r="U110" i="8"/>
  <c r="T110" i="8"/>
  <c r="AC109" i="8"/>
  <c r="AB109" i="8"/>
  <c r="X109" i="8"/>
  <c r="U109" i="8"/>
  <c r="T109" i="8"/>
  <c r="AC108" i="8"/>
  <c r="AB108" i="8"/>
  <c r="X108" i="8"/>
  <c r="U108" i="8"/>
  <c r="T108" i="8"/>
  <c r="AC107" i="8"/>
  <c r="AB107" i="8"/>
  <c r="X107" i="8"/>
  <c r="U107" i="8"/>
  <c r="T107" i="8"/>
  <c r="AC106" i="8"/>
  <c r="AB106" i="8"/>
  <c r="X106" i="8"/>
  <c r="U106" i="8"/>
  <c r="T106" i="8"/>
  <c r="AC105" i="8"/>
  <c r="AB105" i="8"/>
  <c r="X105" i="8"/>
  <c r="U105" i="8"/>
  <c r="T105" i="8"/>
  <c r="AC104" i="8"/>
  <c r="AB104" i="8"/>
  <c r="X104" i="8"/>
  <c r="U104" i="8"/>
  <c r="T104" i="8"/>
  <c r="AC103" i="8"/>
  <c r="AB103" i="8"/>
  <c r="X103" i="8"/>
  <c r="U103" i="8"/>
  <c r="T103" i="8"/>
  <c r="AC102" i="8"/>
  <c r="AB102" i="8"/>
  <c r="X102" i="8"/>
  <c r="U102" i="8"/>
  <c r="T102" i="8"/>
  <c r="AC101" i="8"/>
  <c r="AB101" i="8"/>
  <c r="X101" i="8"/>
  <c r="U101" i="8"/>
  <c r="T101" i="8"/>
  <c r="AC100" i="8"/>
  <c r="AB100" i="8"/>
  <c r="X100" i="8"/>
  <c r="U100" i="8"/>
  <c r="T100" i="8"/>
  <c r="AC99" i="8"/>
  <c r="AB99" i="8"/>
  <c r="X99" i="8"/>
  <c r="U99" i="8"/>
  <c r="T99" i="8"/>
  <c r="AC98" i="8"/>
  <c r="AB98" i="8"/>
  <c r="X98" i="8"/>
  <c r="U98" i="8"/>
  <c r="T98" i="8"/>
  <c r="AC97" i="8"/>
  <c r="AB97" i="8"/>
  <c r="X97" i="8"/>
  <c r="U97" i="8"/>
  <c r="T97" i="8"/>
  <c r="AC96" i="8"/>
  <c r="AB96" i="8"/>
  <c r="X96" i="8"/>
  <c r="U96" i="8"/>
  <c r="T96" i="8"/>
  <c r="AC95" i="8"/>
  <c r="AB95" i="8"/>
  <c r="X95" i="8"/>
  <c r="U95" i="8"/>
  <c r="T95" i="8"/>
  <c r="AC94" i="8"/>
  <c r="AB94" i="8"/>
  <c r="X94" i="8"/>
  <c r="U94" i="8"/>
  <c r="T94" i="8"/>
  <c r="AC93" i="8"/>
  <c r="AB93" i="8"/>
  <c r="X93" i="8"/>
  <c r="U93" i="8"/>
  <c r="T93" i="8"/>
  <c r="AC92" i="8"/>
  <c r="AB92" i="8"/>
  <c r="X92" i="8"/>
  <c r="U92" i="8"/>
  <c r="T92" i="8"/>
  <c r="AC91" i="8"/>
  <c r="AB91" i="8"/>
  <c r="X91" i="8"/>
  <c r="U91" i="8"/>
  <c r="T91" i="8"/>
  <c r="AC90" i="8"/>
  <c r="AB90" i="8"/>
  <c r="X90" i="8"/>
  <c r="U90" i="8"/>
  <c r="T90" i="8"/>
  <c r="AC89" i="8"/>
  <c r="AB89" i="8"/>
  <c r="X89" i="8"/>
  <c r="U89" i="8"/>
  <c r="T89" i="8"/>
  <c r="AC88" i="8"/>
  <c r="AB88" i="8"/>
  <c r="X88" i="8"/>
  <c r="U88" i="8"/>
  <c r="T88" i="8"/>
  <c r="AC87" i="8"/>
  <c r="AB87" i="8"/>
  <c r="X87" i="8"/>
  <c r="U87" i="8"/>
  <c r="T87" i="8"/>
  <c r="AC86" i="8"/>
  <c r="AB86" i="8"/>
  <c r="X86" i="8"/>
  <c r="U86" i="8"/>
  <c r="T86" i="8"/>
  <c r="AC85" i="8"/>
  <c r="AB85" i="8"/>
  <c r="X85" i="8"/>
  <c r="U85" i="8"/>
  <c r="T85" i="8"/>
  <c r="AC84" i="8"/>
  <c r="AB84" i="8"/>
  <c r="X84" i="8"/>
  <c r="U84" i="8"/>
  <c r="T84" i="8"/>
  <c r="AC83" i="8"/>
  <c r="AB83" i="8"/>
  <c r="X83" i="8"/>
  <c r="U83" i="8"/>
  <c r="T83" i="8"/>
  <c r="AC82" i="8"/>
  <c r="AB82" i="8"/>
  <c r="X82" i="8"/>
  <c r="U82" i="8"/>
  <c r="T82" i="8"/>
  <c r="AC81" i="8"/>
  <c r="AB81" i="8"/>
  <c r="X81" i="8"/>
  <c r="U81" i="8"/>
  <c r="T81" i="8"/>
  <c r="AC80" i="8"/>
  <c r="AB80" i="8"/>
  <c r="X80" i="8"/>
  <c r="U80" i="8"/>
  <c r="T80" i="8"/>
  <c r="AC79" i="8"/>
  <c r="AB79" i="8"/>
  <c r="X79" i="8"/>
  <c r="U79" i="8"/>
  <c r="T79" i="8"/>
  <c r="AC78" i="8"/>
  <c r="AB78" i="8"/>
  <c r="X78" i="8"/>
  <c r="U78" i="8"/>
  <c r="T78" i="8"/>
  <c r="AC77" i="8"/>
  <c r="AB77" i="8"/>
  <c r="X77" i="8"/>
  <c r="U77" i="8"/>
  <c r="T77" i="8"/>
  <c r="AC76" i="8"/>
  <c r="AB76" i="8"/>
  <c r="X76" i="8"/>
  <c r="U76" i="8"/>
  <c r="T76" i="8"/>
  <c r="AC75" i="8"/>
  <c r="AB75" i="8"/>
  <c r="X75" i="8"/>
  <c r="U75" i="8"/>
  <c r="T75" i="8"/>
  <c r="AC74" i="8"/>
  <c r="AB74" i="8"/>
  <c r="X74" i="8"/>
  <c r="U74" i="8"/>
  <c r="T74" i="8"/>
  <c r="AC73" i="8"/>
  <c r="AB73" i="8"/>
  <c r="X73" i="8"/>
  <c r="U73" i="8"/>
  <c r="T73" i="8"/>
  <c r="AC72" i="8"/>
  <c r="AB72" i="8"/>
  <c r="X72" i="8"/>
  <c r="U72" i="8"/>
  <c r="T72" i="8"/>
  <c r="AC71" i="8"/>
  <c r="AB71" i="8"/>
  <c r="X71" i="8"/>
  <c r="U71" i="8"/>
  <c r="T71" i="8"/>
  <c r="AC70" i="8"/>
  <c r="AB70" i="8"/>
  <c r="X70" i="8"/>
  <c r="U70" i="8"/>
  <c r="T70" i="8"/>
  <c r="AC69" i="8"/>
  <c r="AB69" i="8"/>
  <c r="X69" i="8"/>
  <c r="U69" i="8"/>
  <c r="T69" i="8"/>
  <c r="AC68" i="8"/>
  <c r="AB68" i="8"/>
  <c r="X68" i="8"/>
  <c r="U68" i="8"/>
  <c r="T68" i="8"/>
  <c r="AC67" i="8"/>
  <c r="AB67" i="8"/>
  <c r="X67" i="8"/>
  <c r="U67" i="8"/>
  <c r="T67" i="8"/>
  <c r="AC66" i="8"/>
  <c r="AB66" i="8"/>
  <c r="X66" i="8"/>
  <c r="U66" i="8"/>
  <c r="T66" i="8"/>
  <c r="AC65" i="8"/>
  <c r="AB65" i="8"/>
  <c r="X65" i="8"/>
  <c r="U65" i="8"/>
  <c r="T65" i="8"/>
  <c r="AC64" i="8"/>
  <c r="AB64" i="8"/>
  <c r="X64" i="8"/>
  <c r="U64" i="8"/>
  <c r="T64" i="8"/>
  <c r="AC63" i="8"/>
  <c r="AB63" i="8"/>
  <c r="X63" i="8"/>
  <c r="U63" i="8"/>
  <c r="T63" i="8"/>
  <c r="AC62" i="8"/>
  <c r="AB62" i="8"/>
  <c r="X62" i="8"/>
  <c r="U62" i="8"/>
  <c r="T62" i="8"/>
  <c r="AC61" i="8"/>
  <c r="AB61" i="8"/>
  <c r="X61" i="8"/>
  <c r="U61" i="8"/>
  <c r="T61" i="8"/>
  <c r="AC60" i="8"/>
  <c r="AB60" i="8"/>
  <c r="X60" i="8"/>
  <c r="U60" i="8"/>
  <c r="T60" i="8"/>
  <c r="AC59" i="8"/>
  <c r="AB59" i="8"/>
  <c r="X59" i="8"/>
  <c r="U59" i="8"/>
  <c r="T59" i="8"/>
  <c r="AC58" i="8"/>
  <c r="AB58" i="8"/>
  <c r="X58" i="8"/>
  <c r="U58" i="8"/>
  <c r="T58" i="8"/>
  <c r="AC57" i="8"/>
  <c r="AB57" i="8"/>
  <c r="X57" i="8"/>
  <c r="U57" i="8"/>
  <c r="T57" i="8"/>
  <c r="AC56" i="8"/>
  <c r="AB56" i="8"/>
  <c r="X56" i="8"/>
  <c r="U56" i="8"/>
  <c r="T56" i="8"/>
  <c r="AC55" i="8"/>
  <c r="AB55" i="8"/>
  <c r="X55" i="8"/>
  <c r="U55" i="8"/>
  <c r="T55" i="8"/>
  <c r="AC54" i="8"/>
  <c r="AB54" i="8"/>
  <c r="X54" i="8"/>
  <c r="U54" i="8"/>
  <c r="T54" i="8"/>
  <c r="AC53" i="8"/>
  <c r="AB53" i="8"/>
  <c r="X53" i="8"/>
  <c r="U53" i="8"/>
  <c r="T53" i="8"/>
  <c r="AC52" i="8"/>
  <c r="AB52" i="8"/>
  <c r="X52" i="8"/>
  <c r="U52" i="8"/>
  <c r="T52" i="8"/>
  <c r="AC51" i="8"/>
  <c r="AB51" i="8"/>
  <c r="X51" i="8"/>
  <c r="U51" i="8"/>
  <c r="T51" i="8"/>
  <c r="AC50" i="8"/>
  <c r="AB50" i="8"/>
  <c r="X50" i="8"/>
  <c r="U50" i="8"/>
  <c r="T50" i="8"/>
  <c r="AC49" i="8"/>
  <c r="AB49" i="8"/>
  <c r="X49" i="8"/>
  <c r="U49" i="8"/>
  <c r="T49" i="8"/>
  <c r="AC48" i="8"/>
  <c r="AB48" i="8"/>
  <c r="X48" i="8"/>
  <c r="U48" i="8"/>
  <c r="T48" i="8"/>
  <c r="AC47" i="8"/>
  <c r="AB47" i="8"/>
  <c r="X47" i="8"/>
  <c r="U47" i="8"/>
  <c r="T47" i="8"/>
  <c r="AC46" i="8"/>
  <c r="AB46" i="8"/>
  <c r="X46" i="8"/>
  <c r="U46" i="8"/>
  <c r="T46" i="8"/>
  <c r="AC45" i="8"/>
  <c r="AB45" i="8"/>
  <c r="X45" i="8"/>
  <c r="U45" i="8"/>
  <c r="T45" i="8"/>
  <c r="AC44" i="8"/>
  <c r="AB44" i="8"/>
  <c r="X44" i="8"/>
  <c r="U44" i="8"/>
  <c r="T44" i="8"/>
  <c r="AC43" i="8"/>
  <c r="AB43" i="8"/>
  <c r="X43" i="8"/>
  <c r="U43" i="8"/>
  <c r="T43" i="8"/>
  <c r="AC42" i="8"/>
  <c r="AB42" i="8"/>
  <c r="X42" i="8"/>
  <c r="U42" i="8"/>
  <c r="T42" i="8"/>
  <c r="AC41" i="8"/>
  <c r="AB41" i="8"/>
  <c r="X41" i="8"/>
  <c r="U41" i="8"/>
  <c r="T41" i="8"/>
  <c r="AC40" i="8"/>
  <c r="AB40" i="8"/>
  <c r="X40" i="8"/>
  <c r="U40" i="8"/>
  <c r="T40" i="8"/>
  <c r="AC39" i="8"/>
  <c r="AB39" i="8"/>
  <c r="X39" i="8"/>
  <c r="U39" i="8"/>
  <c r="T39" i="8"/>
  <c r="AC38" i="8"/>
  <c r="AB38" i="8"/>
  <c r="X38" i="8"/>
  <c r="U38" i="8"/>
  <c r="T38" i="8"/>
  <c r="AC37" i="8"/>
  <c r="AB37" i="8"/>
  <c r="X37" i="8"/>
  <c r="U37" i="8"/>
  <c r="T37" i="8"/>
  <c r="AC36" i="8"/>
  <c r="AB36" i="8"/>
  <c r="X36" i="8"/>
  <c r="U36" i="8"/>
  <c r="T36" i="8"/>
  <c r="AC35" i="8"/>
  <c r="AB35" i="8"/>
  <c r="X35" i="8"/>
  <c r="U35" i="8"/>
  <c r="T35" i="8"/>
  <c r="AC34" i="8"/>
  <c r="AB34" i="8"/>
  <c r="X34" i="8"/>
  <c r="U34" i="8"/>
  <c r="T34" i="8"/>
  <c r="AC33" i="8"/>
  <c r="AB33" i="8"/>
  <c r="X33" i="8"/>
  <c r="U33" i="8"/>
  <c r="T33" i="8"/>
  <c r="AC32" i="8"/>
  <c r="AB32" i="8"/>
  <c r="X32" i="8"/>
  <c r="U32" i="8"/>
  <c r="T32" i="8"/>
  <c r="AC31" i="8"/>
  <c r="AB31" i="8"/>
  <c r="X31" i="8"/>
  <c r="U31" i="8"/>
  <c r="T31" i="8"/>
  <c r="AC30" i="8"/>
  <c r="AB30" i="8"/>
  <c r="X30" i="8"/>
  <c r="U30" i="8"/>
  <c r="T30" i="8"/>
  <c r="AC29" i="8"/>
  <c r="AB29" i="8"/>
  <c r="X29" i="8"/>
  <c r="U29" i="8"/>
  <c r="T29" i="8"/>
  <c r="AC28" i="8"/>
  <c r="AB28" i="8"/>
  <c r="X28" i="8"/>
  <c r="U28" i="8"/>
  <c r="T28" i="8"/>
  <c r="AC27" i="8"/>
  <c r="AB27" i="8"/>
  <c r="X27" i="8"/>
  <c r="U27" i="8"/>
  <c r="T27" i="8"/>
  <c r="AC26" i="8"/>
  <c r="AB26" i="8"/>
  <c r="X26" i="8"/>
  <c r="U26" i="8"/>
  <c r="T26" i="8"/>
  <c r="AC25" i="8"/>
  <c r="AB25" i="8"/>
  <c r="X25" i="8"/>
  <c r="U25" i="8"/>
  <c r="T25" i="8"/>
  <c r="AC24" i="8"/>
  <c r="AB24" i="8"/>
  <c r="X24" i="8"/>
  <c r="U24" i="8"/>
  <c r="T24" i="8"/>
  <c r="AC23" i="8"/>
  <c r="AB23" i="8"/>
  <c r="X23" i="8"/>
  <c r="U23" i="8"/>
  <c r="T23" i="8"/>
  <c r="AC22" i="8"/>
  <c r="AB22" i="8"/>
  <c r="X22" i="8"/>
  <c r="U22" i="8"/>
  <c r="T22" i="8"/>
  <c r="AC21" i="8"/>
  <c r="AB21" i="8"/>
  <c r="X21" i="8"/>
  <c r="U21" i="8"/>
  <c r="T21" i="8"/>
  <c r="AC20" i="8"/>
  <c r="AB20" i="8"/>
  <c r="X20" i="8"/>
  <c r="U20" i="8"/>
  <c r="T20" i="8"/>
  <c r="AC19" i="8"/>
  <c r="AB19" i="8"/>
  <c r="X19" i="8"/>
  <c r="U19" i="8"/>
  <c r="T19" i="8"/>
  <c r="AC18" i="8"/>
  <c r="AB18" i="8"/>
  <c r="X18" i="8"/>
  <c r="U18" i="8"/>
  <c r="T18" i="8"/>
  <c r="AC17" i="8"/>
  <c r="AB17" i="8"/>
  <c r="X17" i="8"/>
  <c r="U17" i="8"/>
  <c r="T17" i="8"/>
  <c r="AC16" i="8"/>
  <c r="AB16" i="8"/>
  <c r="X16" i="8"/>
  <c r="U16" i="8"/>
  <c r="T16" i="8"/>
  <c r="AC15" i="8"/>
  <c r="AB15" i="8"/>
  <c r="X15" i="8"/>
  <c r="U15" i="8"/>
  <c r="T15" i="8"/>
  <c r="AC14" i="8"/>
  <c r="AB14" i="8"/>
  <c r="X14" i="8"/>
  <c r="U14" i="8"/>
  <c r="T14" i="8"/>
  <c r="AC13" i="8"/>
  <c r="AB13" i="8"/>
  <c r="X13" i="8"/>
  <c r="U13" i="8"/>
  <c r="T13" i="8"/>
  <c r="AC12" i="8"/>
  <c r="AB12" i="8"/>
  <c r="X12" i="8"/>
  <c r="U12" i="8"/>
  <c r="T12" i="8"/>
  <c r="AC11" i="8"/>
  <c r="AB11" i="8"/>
  <c r="X11" i="8"/>
  <c r="U11" i="8"/>
  <c r="T11" i="8"/>
  <c r="AC10" i="8"/>
  <c r="AB10" i="8"/>
  <c r="X10" i="8"/>
  <c r="U10" i="8"/>
  <c r="T10" i="8"/>
  <c r="AC9" i="8"/>
  <c r="AB9" i="8"/>
  <c r="X9" i="8"/>
  <c r="U9" i="8"/>
  <c r="T9" i="8"/>
  <c r="AC8" i="8"/>
  <c r="AB8" i="8"/>
  <c r="X8" i="8"/>
  <c r="U8" i="8"/>
  <c r="T8" i="8"/>
  <c r="AC7" i="8"/>
  <c r="AB7" i="8"/>
  <c r="X7" i="8"/>
  <c r="U7" i="8"/>
  <c r="T7" i="8"/>
</calcChain>
</file>

<file path=xl/sharedStrings.xml><?xml version="1.0" encoding="utf-8"?>
<sst xmlns="http://schemas.openxmlformats.org/spreadsheetml/2006/main" count="2792" uniqueCount="1004">
  <si>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</si>
  <si>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</si>
  <si>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</si>
  <si>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</si>
  <si>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</si>
  <si>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</si>
  <si>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</si>
  <si>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sb="0" eb="2">
      <t>トリヒキ</t>
    </rPh>
    <rPh sb="2" eb="4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</si>
  <si>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</si>
  <si>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</si>
  <si>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</si>
  <si>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</si>
  <si>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</si>
  <si>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</si>
  <si>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</si>
  <si>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</si>
  <si>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sb="0" eb="2">
      <t>シスウ</t>
    </rPh>
    <phoneticPr fontId="6"/>
  </si>
  <si>
    <t>Index Futures Quotations</t>
    <phoneticPr fontId="6"/>
  </si>
  <si>
    <t>Trading 
Value(￥)</t>
    <phoneticPr fontId="6"/>
  </si>
  <si>
    <t>年</t>
    <phoneticPr fontId="6"/>
  </si>
  <si>
    <t>Year</t>
    <phoneticPr fontId="6"/>
  </si>
  <si>
    <t>平均清算数値
（円/ポイント）</t>
    <rPh sb="4" eb="6">
      <t>スウチ</t>
    </rPh>
    <phoneticPr fontId="6"/>
  </si>
  <si>
    <t>うちJ-NET取引
（円/ポイント）</t>
    <phoneticPr fontId="6"/>
  </si>
  <si>
    <t>J-NET(￥/point)</t>
    <phoneticPr fontId="6"/>
  </si>
  <si>
    <t>Average
Settlement
Price(￥/point)</t>
    <phoneticPr fontId="6"/>
  </si>
  <si>
    <t>日</t>
    <rPh sb="0" eb="1">
      <t>ヒ</t>
    </rPh>
    <phoneticPr fontId="6"/>
  </si>
  <si>
    <t>始　値
（円/ポイント）</t>
    <phoneticPr fontId="6"/>
  </si>
  <si>
    <t>Open(￥/point)</t>
    <phoneticPr fontId="6"/>
  </si>
  <si>
    <t>高　値
（円/ポイント）</t>
    <phoneticPr fontId="6"/>
  </si>
  <si>
    <t>High(￥/point)</t>
    <phoneticPr fontId="6"/>
  </si>
  <si>
    <t>日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</si>
  <si>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</si>
  <si>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</si>
  <si>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</si>
  <si>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</si>
  <si>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</si>
  <si>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Days 
Traded</t>
    <phoneticPr fontId="6"/>
  </si>
  <si>
    <t>商品等</t>
    <phoneticPr fontId="6"/>
  </si>
  <si>
    <t>Products</t>
    <phoneticPr fontId="6"/>
  </si>
  <si>
    <t>値  段  Price</t>
    <phoneticPr fontId="6"/>
  </si>
  <si>
    <t>Date</t>
    <phoneticPr fontId="6"/>
  </si>
  <si>
    <t>Date</t>
    <phoneticPr fontId="6"/>
  </si>
  <si>
    <t>フレックス
決済区分</t>
    <phoneticPr fontId="6"/>
  </si>
  <si>
    <t>FLEX
Settlement
Type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</si>
  <si>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</si>
  <si>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</si>
  <si>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</si>
  <si>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</si>
  <si>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2021</t>
  </si>
  <si>
    <t>日経225先物</t>
  </si>
  <si>
    <t>Nikkei 225 Futures</t>
  </si>
  <si>
    <t>2021/03</t>
  </si>
  <si>
    <t>2019/09/13</t>
  </si>
  <si>
    <t>2021/03/11</t>
  </si>
  <si>
    <t>1/4</t>
  </si>
  <si>
    <t>27,510</t>
  </si>
  <si>
    <t>2/16</t>
  </si>
  <si>
    <t>30,720</t>
  </si>
  <si>
    <t>30,710.0000</t>
  </si>
  <si>
    <t>1/7</t>
  </si>
  <si>
    <t>26,920</t>
  </si>
  <si>
    <t>26,930.0000</t>
  </si>
  <si>
    <t>3/11</t>
  </si>
  <si>
    <t>29,230</t>
  </si>
  <si>
    <t>*</t>
  </si>
  <si>
    <t>2021/06</t>
  </si>
  <si>
    <t>2016/06/10</t>
  </si>
  <si>
    <t>2021/06/10</t>
  </si>
  <si>
    <t>27,320</t>
  </si>
  <si>
    <t>30,500</t>
  </si>
  <si>
    <t>30,480.0000</t>
  </si>
  <si>
    <t>26,750</t>
  </si>
  <si>
    <t>5/21</t>
  </si>
  <si>
    <t>26,700.0000</t>
  </si>
  <si>
    <t>6/10</t>
  </si>
  <si>
    <t>28,980</t>
  </si>
  <si>
    <t>2021/09</t>
  </si>
  <si>
    <t>2020/03/13</t>
  </si>
  <si>
    <t>2021/09/09</t>
  </si>
  <si>
    <t>1/8</t>
  </si>
  <si>
    <t>27,800</t>
  </si>
  <si>
    <t>30,400</t>
  </si>
  <si>
    <t>30,270.0000</t>
  </si>
  <si>
    <t>8/23</t>
  </si>
  <si>
    <t>26,850</t>
  </si>
  <si>
    <t>8/5</t>
  </si>
  <si>
    <t>26,120.0000</t>
  </si>
  <si>
    <t>9/9</t>
  </si>
  <si>
    <t>29,990</t>
  </si>
  <si>
    <t>2021/12</t>
  </si>
  <si>
    <t>2016/12/09</t>
  </si>
  <si>
    <t>2021/12/09</t>
  </si>
  <si>
    <t>1/5</t>
  </si>
  <si>
    <t>27,000</t>
  </si>
  <si>
    <t>9/14</t>
  </si>
  <si>
    <t>30,620</t>
  </si>
  <si>
    <t>11/12</t>
  </si>
  <si>
    <t>31,498.0000</t>
  </si>
  <si>
    <t>1/6</t>
  </si>
  <si>
    <t>26,500</t>
  </si>
  <si>
    <t>26,000.0000</t>
  </si>
  <si>
    <t>12/9</t>
  </si>
  <si>
    <t>28,750</t>
  </si>
  <si>
    <t>2022/03</t>
  </si>
  <si>
    <t>2020/09/11</t>
  </si>
  <si>
    <t>2022/03/10</t>
  </si>
  <si>
    <t>26,930</t>
  </si>
  <si>
    <t>30,550</t>
  </si>
  <si>
    <t>30,605.0000</t>
  </si>
  <si>
    <t>26,420</t>
  </si>
  <si>
    <t>10/7</t>
  </si>
  <si>
    <t>27,070.0000</t>
  </si>
  <si>
    <t>12/30</t>
  </si>
  <si>
    <t>28,870</t>
  </si>
  <si>
    <t>2022/06</t>
  </si>
  <si>
    <t>2017/06/09</t>
  </si>
  <si>
    <t>2022/06/09</t>
  </si>
  <si>
    <t>26,380</t>
  </si>
  <si>
    <t>9/15</t>
  </si>
  <si>
    <t>30,100</t>
  </si>
  <si>
    <t>30,250.0000</t>
  </si>
  <si>
    <t>26,400.0000</t>
  </si>
  <si>
    <t>28,590</t>
  </si>
  <si>
    <t>2022/09</t>
  </si>
  <si>
    <t>2021/03/12</t>
  </si>
  <si>
    <t>2022/09/08</t>
  </si>
  <si>
    <t>3/18</t>
  </si>
  <si>
    <t>29,520</t>
  </si>
  <si>
    <t>9/10</t>
  </si>
  <si>
    <t>29,840</t>
  </si>
  <si>
    <t>29,800.0000</t>
  </si>
  <si>
    <t>8/20</t>
  </si>
  <si>
    <t>5/20</t>
  </si>
  <si>
    <t>27,500.0000</t>
  </si>
  <si>
    <t>12/29</t>
  </si>
  <si>
    <t>28,490</t>
  </si>
  <si>
    <t>2022/12</t>
  </si>
  <si>
    <t>2017/12/08</t>
  </si>
  <si>
    <t>2022/12/08</t>
  </si>
  <si>
    <t>1/15</t>
  </si>
  <si>
    <t>28,000</t>
  </si>
  <si>
    <t>29,820</t>
  </si>
  <si>
    <t>30,052.0000</t>
  </si>
  <si>
    <t>8/19</t>
  </si>
  <si>
    <t>26,490</t>
  </si>
  <si>
    <t>26,050.0000</t>
  </si>
  <si>
    <t>12/24</t>
  </si>
  <si>
    <t>28,200</t>
  </si>
  <si>
    <t>2023/03</t>
  </si>
  <si>
    <t>2021/09/10</t>
  </si>
  <si>
    <t>2023/03/09</t>
  </si>
  <si>
    <t>29,260</t>
  </si>
  <si>
    <t>29,810</t>
  </si>
  <si>
    <t>12/17</t>
  </si>
  <si>
    <t>27,940.0000</t>
  </si>
  <si>
    <t>12/2</t>
  </si>
  <si>
    <t>26,970</t>
  </si>
  <si>
    <t>12/21</t>
  </si>
  <si>
    <t>27,700</t>
  </si>
  <si>
    <t>2023/06</t>
  </si>
  <si>
    <t>2018/06/08</t>
  </si>
  <si>
    <t>2023/06/08</t>
  </si>
  <si>
    <t>5/11</t>
  </si>
  <si>
    <t>28,520</t>
  </si>
  <si>
    <t>11/1</t>
  </si>
  <si>
    <t>28,770</t>
  </si>
  <si>
    <t>29,600.0000</t>
  </si>
  <si>
    <t>5/14</t>
  </si>
  <si>
    <t>26,430</t>
  </si>
  <si>
    <t>8/31</t>
  </si>
  <si>
    <t>26,735.0000</t>
  </si>
  <si>
    <t>28,010</t>
  </si>
  <si>
    <t>2023/12</t>
  </si>
  <si>
    <t>2018/07/17</t>
  </si>
  <si>
    <t>2023/12/07</t>
  </si>
  <si>
    <t>2/8</t>
  </si>
  <si>
    <t>27,390</t>
  </si>
  <si>
    <t>2/17</t>
  </si>
  <si>
    <t>29,020</t>
  </si>
  <si>
    <t>29,405.0000</t>
  </si>
  <si>
    <t>5/18</t>
  </si>
  <si>
    <t>26,450</t>
  </si>
  <si>
    <t>25,635.0000</t>
  </si>
  <si>
    <t>12/27</t>
  </si>
  <si>
    <t>27,610</t>
  </si>
  <si>
    <t>2024/06</t>
  </si>
  <si>
    <t>2024/06/13</t>
  </si>
  <si>
    <t>6/21</t>
  </si>
  <si>
    <t>27,340</t>
  </si>
  <si>
    <t>28,950.0000</t>
  </si>
  <si>
    <t>6/22</t>
  </si>
  <si>
    <t>26,440</t>
  </si>
  <si>
    <t>7/19</t>
  </si>
  <si>
    <t>26,100.0000</t>
  </si>
  <si>
    <t>9/3</t>
  </si>
  <si>
    <t>27,240</t>
  </si>
  <si>
    <t>2024/12</t>
  </si>
  <si>
    <t>2024/12/12</t>
  </si>
  <si>
    <t>9/2</t>
  </si>
  <si>
    <t>26,950</t>
  </si>
  <si>
    <t>9/6</t>
  </si>
  <si>
    <t>27,220</t>
  </si>
  <si>
    <t>28,600.0000</t>
  </si>
  <si>
    <t>25,650.0000</t>
  </si>
  <si>
    <t>27,020</t>
  </si>
  <si>
    <t>2025/06</t>
  </si>
  <si>
    <t>2025/06/12</t>
  </si>
  <si>
    <t>－</t>
  </si>
  <si>
    <t>28,097.0000</t>
  </si>
  <si>
    <t>2025/12</t>
  </si>
  <si>
    <t>2025/12/11</t>
  </si>
  <si>
    <t>2/19</t>
  </si>
  <si>
    <t>27,500</t>
  </si>
  <si>
    <t>2/26</t>
  </si>
  <si>
    <t>27,600.0000</t>
  </si>
  <si>
    <t>24,790</t>
  </si>
  <si>
    <t>8/30</t>
  </si>
  <si>
    <t>25,150.0000</t>
  </si>
  <si>
    <t>8/24</t>
  </si>
  <si>
    <t>24,890</t>
  </si>
  <si>
    <t>2026/06</t>
  </si>
  <si>
    <t>2026/06/11</t>
  </si>
  <si>
    <t>9/16</t>
  </si>
  <si>
    <t>27,680</t>
  </si>
  <si>
    <t>12/1</t>
  </si>
  <si>
    <t>25,140</t>
  </si>
  <si>
    <t>12/3</t>
  </si>
  <si>
    <t>25,490</t>
  </si>
  <si>
    <t>2026/12</t>
  </si>
  <si>
    <t>2018/12/14</t>
  </si>
  <si>
    <t>2026/12/10</t>
  </si>
  <si>
    <t>11/5</t>
  </si>
  <si>
    <t>26,730.0000</t>
  </si>
  <si>
    <t>24,000.0000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</si>
  <si>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</si>
  <si>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</si>
  <si>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</si>
  <si>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</si>
  <si>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</si>
  <si>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</si>
  <si>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</si>
  <si>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</si>
  <si>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</si>
  <si>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</si>
  <si>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</si>
  <si>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</si>
  <si>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2/24</t>
  </si>
  <si>
    <t>26,000</t>
  </si>
  <si>
    <t>5/6</t>
  </si>
  <si>
    <t>26,350</t>
  </si>
  <si>
    <t>10/5</t>
  </si>
  <si>
    <t>24,220.0000</t>
  </si>
  <si>
    <t>7/21</t>
  </si>
  <si>
    <t>22,170</t>
  </si>
  <si>
    <t>2029/06</t>
  </si>
  <si>
    <t>2021/06/11</t>
  </si>
  <si>
    <t>2029/06/07</t>
  </si>
  <si>
    <t>2029/12</t>
  </si>
  <si>
    <t>2021/12/10</t>
  </si>
  <si>
    <t>2029/12/13</t>
  </si>
  <si>
    <t>日経225mini</t>
  </si>
  <si>
    <t>Nikkei 225 mini</t>
  </si>
  <si>
    <t>2021/01</t>
  </si>
  <si>
    <t>2020/08/14</t>
  </si>
  <si>
    <t>2021/01/07</t>
  </si>
  <si>
    <t>27,525</t>
  </si>
  <si>
    <t>27,680.0000</t>
  </si>
  <si>
    <t>26,950.0000</t>
  </si>
  <si>
    <t>27,530</t>
  </si>
  <si>
    <t>2021/02</t>
  </si>
  <si>
    <t>2020/10/09</t>
  </si>
  <si>
    <t>2021/02/10</t>
  </si>
  <si>
    <t>27,535</t>
  </si>
  <si>
    <t>2/9</t>
  </si>
  <si>
    <t>29,595</t>
  </si>
  <si>
    <t>29,595.0000</t>
  </si>
  <si>
    <t>26,945</t>
  </si>
  <si>
    <t>26,945.0000</t>
  </si>
  <si>
    <t>2/10</t>
  </si>
  <si>
    <t>29,445</t>
  </si>
  <si>
    <t>27,515</t>
  </si>
  <si>
    <t>30,710</t>
  </si>
  <si>
    <t>26,925</t>
  </si>
  <si>
    <t>26,925.0000</t>
  </si>
  <si>
    <t>2021/04</t>
  </si>
  <si>
    <t>2020/11/13</t>
  </si>
  <si>
    <t>2021/04/08</t>
  </si>
  <si>
    <t>27,370</t>
  </si>
  <si>
    <t>30,520</t>
  </si>
  <si>
    <t>30,515.0000</t>
  </si>
  <si>
    <t>26,775</t>
  </si>
  <si>
    <t>26,918.5000</t>
  </si>
  <si>
    <t>4/8</t>
  </si>
  <si>
    <t>29,680</t>
  </si>
  <si>
    <t>2021/05</t>
  </si>
  <si>
    <t>2021/01/08</t>
  </si>
  <si>
    <t>2021/05/13</t>
  </si>
  <si>
    <t>27,770</t>
  </si>
  <si>
    <t>30,495</t>
  </si>
  <si>
    <t>30,510.0000</t>
  </si>
  <si>
    <t>5/13</t>
  </si>
  <si>
    <t>27,385</t>
  </si>
  <si>
    <t>27,385.0000</t>
  </si>
  <si>
    <t>27,450</t>
  </si>
  <si>
    <t>27,330</t>
  </si>
  <si>
    <t>30,510</t>
  </si>
  <si>
    <t>30,505.0000</t>
  </si>
  <si>
    <t>26,740</t>
  </si>
  <si>
    <t>27,130.0000</t>
  </si>
  <si>
    <t>28,975</t>
  </si>
  <si>
    <t>2021/07</t>
  </si>
  <si>
    <t>2021/02/12</t>
  </si>
  <si>
    <t>2021/07/08</t>
  </si>
  <si>
    <t>2/12</t>
  </si>
  <si>
    <t>29,225</t>
  </si>
  <si>
    <t>30,390</t>
  </si>
  <si>
    <t>4/9</t>
  </si>
  <si>
    <t>29,990.0000</t>
  </si>
  <si>
    <t>27,095</t>
  </si>
  <si>
    <t>7/8</t>
  </si>
  <si>
    <t>28,170</t>
  </si>
  <si>
    <t>2021/08</t>
  </si>
  <si>
    <t>2021/04/09</t>
  </si>
  <si>
    <t>2021/08/12</t>
  </si>
  <si>
    <t>29,795</t>
  </si>
  <si>
    <t>4/12</t>
  </si>
  <si>
    <t>29,825</t>
  </si>
  <si>
    <t>6/15</t>
  </si>
  <si>
    <t>29,450.0000</t>
  </si>
  <si>
    <t>7/20</t>
  </si>
  <si>
    <t>27,065</t>
  </si>
  <si>
    <t>27,065.0000</t>
  </si>
  <si>
    <t>8/12</t>
  </si>
  <si>
    <t>28,050</t>
  </si>
  <si>
    <t>27,265</t>
  </si>
  <si>
    <t>30,430</t>
  </si>
  <si>
    <t>30,260.0000</t>
  </si>
  <si>
    <t>26,700</t>
  </si>
  <si>
    <t>26,850.0000</t>
  </si>
  <si>
    <t>29,995</t>
  </si>
  <si>
    <t>2021/10</t>
  </si>
  <si>
    <t>2021/05/14</t>
  </si>
  <si>
    <t>2021/10/07</t>
  </si>
  <si>
    <t>27,790</t>
  </si>
  <si>
    <t>6/18</t>
  </si>
  <si>
    <t>30,895</t>
  </si>
  <si>
    <t>30,625.0000</t>
  </si>
  <si>
    <t>26,620</t>
  </si>
  <si>
    <t>26,690.0000</t>
  </si>
  <si>
    <t>2021/11</t>
  </si>
  <si>
    <t>2021/07/09</t>
  </si>
  <si>
    <t>2021/11/11</t>
  </si>
  <si>
    <t>7/9</t>
  </si>
  <si>
    <t>27,315</t>
  </si>
  <si>
    <t>30,600</t>
  </si>
  <si>
    <t>30,590.0000</t>
  </si>
  <si>
    <t>26,675</t>
  </si>
  <si>
    <t>26,680.0000</t>
  </si>
  <si>
    <t>11/11</t>
  </si>
  <si>
    <t>29,350</t>
  </si>
  <si>
    <t>27,060</t>
  </si>
  <si>
    <t>30,620.0000</t>
  </si>
  <si>
    <t>26,495</t>
  </si>
  <si>
    <t>26,650.0000</t>
  </si>
  <si>
    <t>28,745</t>
  </si>
  <si>
    <t>2022/01</t>
  </si>
  <si>
    <t>2021/08/13</t>
  </si>
  <si>
    <t>2022/01/13</t>
  </si>
  <si>
    <t>8/13</t>
  </si>
  <si>
    <t>27,725</t>
  </si>
  <si>
    <t>30,555</t>
  </si>
  <si>
    <t>11/16</t>
  </si>
  <si>
    <t>29,925.0000</t>
  </si>
  <si>
    <t>26,525</t>
  </si>
  <si>
    <t>27,340.0000</t>
  </si>
  <si>
    <t>28,895</t>
  </si>
  <si>
    <t>2022/02</t>
  </si>
  <si>
    <t>2021/10/08</t>
  </si>
  <si>
    <t>2022/02/09</t>
  </si>
  <si>
    <t>10/8</t>
  </si>
  <si>
    <t>28,230</t>
  </si>
  <si>
    <t>29,920</t>
  </si>
  <si>
    <t>29,910.0000</t>
  </si>
  <si>
    <t>27,350</t>
  </si>
  <si>
    <t>27,350.0000</t>
  </si>
  <si>
    <t>27,030</t>
  </si>
  <si>
    <t>30,560</t>
  </si>
  <si>
    <t>29,905.0000</t>
  </si>
  <si>
    <t>27,325.0000</t>
  </si>
  <si>
    <t>2022/04</t>
  </si>
  <si>
    <t>2021/11/12</t>
  </si>
  <si>
    <t>2022/04/07</t>
  </si>
  <si>
    <t>29,300</t>
  </si>
  <si>
    <t>29,670</t>
  </si>
  <si>
    <t>27,170</t>
  </si>
  <si>
    <t>28,610</t>
  </si>
  <si>
    <t>26,760</t>
  </si>
  <si>
    <t>30,330</t>
  </si>
  <si>
    <t>27,963.0000</t>
  </si>
  <si>
    <t>26,250</t>
  </si>
  <si>
    <t>28,620</t>
  </si>
  <si>
    <t>3/16</t>
  </si>
  <si>
    <t>29,050</t>
  </si>
  <si>
    <t>30,250</t>
  </si>
  <si>
    <t>27,920.0000</t>
  </si>
  <si>
    <t>26,340</t>
  </si>
  <si>
    <t>28,505</t>
  </si>
  <si>
    <t>26,575</t>
  </si>
  <si>
    <t>28,320.0000</t>
  </si>
  <si>
    <t>25,800</t>
  </si>
  <si>
    <t>27,712.0000</t>
  </si>
  <si>
    <t>28,350</t>
  </si>
  <si>
    <t>29,250</t>
  </si>
  <si>
    <t>29,890</t>
  </si>
  <si>
    <t>27,655.0000</t>
  </si>
  <si>
    <t>26,650</t>
  </si>
  <si>
    <t>28,215</t>
  </si>
  <si>
    <t>26,300</t>
  </si>
  <si>
    <t>29,700</t>
  </si>
  <si>
    <t>27,415.0000</t>
  </si>
  <si>
    <t>26,600.0000</t>
  </si>
  <si>
    <t>28,040</t>
  </si>
  <si>
    <t>25,850</t>
  </si>
  <si>
    <t>29,495</t>
  </si>
  <si>
    <t>27,150.0000</t>
  </si>
  <si>
    <t>25,455</t>
  </si>
  <si>
    <t>28,865</t>
  </si>
  <si>
    <t>26,830.0000</t>
  </si>
  <si>
    <t>25,215</t>
  </si>
  <si>
    <t>25,305</t>
  </si>
  <si>
    <t>28,810</t>
  </si>
  <si>
    <t>26,540.0000</t>
  </si>
  <si>
    <t>25,100</t>
  </si>
  <si>
    <t>27,165</t>
  </si>
  <si>
    <t>24,760</t>
  </si>
  <si>
    <t>28,500</t>
  </si>
  <si>
    <t>26,230.0000</t>
  </si>
  <si>
    <t>7/26</t>
  </si>
  <si>
    <t>23,625</t>
  </si>
  <si>
    <t>12/28</t>
  </si>
  <si>
    <t>24,700</t>
  </si>
  <si>
    <t>28,220</t>
  </si>
  <si>
    <t>25,955.0000</t>
  </si>
  <si>
    <t>24,600</t>
  </si>
  <si>
    <t>26,550</t>
  </si>
  <si>
    <t>6/17</t>
  </si>
  <si>
    <t>27,740</t>
  </si>
  <si>
    <t>25,655.0000</t>
  </si>
  <si>
    <t>24,150</t>
  </si>
  <si>
    <t>26,100</t>
  </si>
  <si>
    <t>25,030</t>
  </si>
  <si>
    <t>25,900</t>
  </si>
  <si>
    <t>TOPIX先物</t>
  </si>
  <si>
    <t>TOPIX Futures</t>
  </si>
  <si>
    <t>1,807.0</t>
  </si>
  <si>
    <t>1,978.0</t>
  </si>
  <si>
    <t>1,978.5000</t>
  </si>
  <si>
    <t>1,774.0</t>
  </si>
  <si>
    <t>1,773.5500</t>
  </si>
  <si>
    <t>1,926.5</t>
  </si>
  <si>
    <t>1,795.0</t>
  </si>
  <si>
    <t>3/22</t>
  </si>
  <si>
    <t>2,012.0</t>
  </si>
  <si>
    <t>2,010.5000</t>
  </si>
  <si>
    <t>1,832.7500</t>
  </si>
  <si>
    <t>1,958.0</t>
  </si>
  <si>
    <t>1,985.0</t>
  </si>
  <si>
    <t>9/7</t>
  </si>
  <si>
    <t>2,085.5</t>
  </si>
  <si>
    <t>2,084.0000</t>
  </si>
  <si>
    <t>1,855.0</t>
  </si>
  <si>
    <t>1,859.0000</t>
  </si>
  <si>
    <t>2,066.5</t>
  </si>
  <si>
    <t>6/25</t>
  </si>
  <si>
    <t>1,935.5</t>
  </si>
  <si>
    <t>2,104.5</t>
  </si>
  <si>
    <t>2,110.0000</t>
  </si>
  <si>
    <t>1,861.0</t>
  </si>
  <si>
    <t>1,867.3500</t>
  </si>
  <si>
    <t>1,994.5</t>
  </si>
  <si>
    <t>9/22</t>
  </si>
  <si>
    <t>2,063.0</t>
  </si>
  <si>
    <t>2,018.0000</t>
  </si>
  <si>
    <t>1,892.0</t>
  </si>
  <si>
    <t>1,921.8500</t>
  </si>
  <si>
    <t>1,996.0</t>
  </si>
  <si>
    <t>12/13</t>
  </si>
  <si>
    <t>1,963.0</t>
  </si>
  <si>
    <t>1,977.0</t>
  </si>
  <si>
    <t>12/23</t>
  </si>
  <si>
    <t>1,942.0</t>
  </si>
  <si>
    <t>1,827.5</t>
  </si>
  <si>
    <t>1,871.0</t>
  </si>
  <si>
    <t>12/16</t>
  </si>
  <si>
    <t>2,009.3800</t>
  </si>
  <si>
    <t>ミニTOPIX先物</t>
  </si>
  <si>
    <t>mini-TOPIX Futures</t>
  </si>
  <si>
    <t>1,807.50</t>
  </si>
  <si>
    <t>1,977.00</t>
  </si>
  <si>
    <t>1,974.7500</t>
  </si>
  <si>
    <t>1,774.25</t>
  </si>
  <si>
    <t>1,774.0000</t>
  </si>
  <si>
    <t>1,921.00</t>
  </si>
  <si>
    <t>1,805.75</t>
  </si>
  <si>
    <t>2,011.75</t>
  </si>
  <si>
    <t>2,011.5000</t>
  </si>
  <si>
    <t>1,757.00</t>
  </si>
  <si>
    <t>1,832.3000</t>
  </si>
  <si>
    <t>1,957.50</t>
  </si>
  <si>
    <t>1/25</t>
  </si>
  <si>
    <t>1,835.00</t>
  </si>
  <si>
    <t>2,085.50</t>
  </si>
  <si>
    <t>2,085.2500</t>
  </si>
  <si>
    <t>1,830.25</t>
  </si>
  <si>
    <t>1,867.2500</t>
  </si>
  <si>
    <t>2,066.00</t>
  </si>
  <si>
    <t>1,983.00</t>
  </si>
  <si>
    <t>2,104.25</t>
  </si>
  <si>
    <t>2,104.2500</t>
  </si>
  <si>
    <t>1,830.00</t>
  </si>
  <si>
    <t>1,890.7500</t>
  </si>
  <si>
    <t>1,988.50</t>
  </si>
  <si>
    <t>1,877.75</t>
  </si>
  <si>
    <t>2,098.00</t>
  </si>
  <si>
    <t>2,022.7500</t>
  </si>
  <si>
    <t>1,931.0000</t>
  </si>
  <si>
    <t>1,995.75</t>
  </si>
  <si>
    <t>10/6</t>
  </si>
  <si>
    <t>1,911.00</t>
  </si>
  <si>
    <t>11/9</t>
  </si>
  <si>
    <t>2,022.25</t>
  </si>
  <si>
    <t>1,876.25</t>
  </si>
  <si>
    <t>1,975.00</t>
  </si>
  <si>
    <t>JPX日経インデックス400先物</t>
  </si>
  <si>
    <t>JPX-Nikkei Index 400 Futures</t>
  </si>
  <si>
    <t>16,380</t>
  </si>
  <si>
    <t>17,885</t>
  </si>
  <si>
    <t>17,885.0000</t>
  </si>
  <si>
    <t>16,070</t>
  </si>
  <si>
    <t>16,070.0000</t>
  </si>
  <si>
    <t>17,350</t>
  </si>
  <si>
    <t>16,200</t>
  </si>
  <si>
    <t>18,105</t>
  </si>
  <si>
    <t>18,105.0000</t>
  </si>
  <si>
    <t>16,545.0000</t>
  </si>
  <si>
    <t>17,680</t>
  </si>
  <si>
    <t>6/7</t>
  </si>
  <si>
    <t>17,505</t>
  </si>
  <si>
    <t>18,875</t>
  </si>
  <si>
    <t>18,875.0000</t>
  </si>
  <si>
    <t>16,790</t>
  </si>
  <si>
    <t>16,810.0000</t>
  </si>
  <si>
    <t>18,685</t>
  </si>
  <si>
    <t>7/12</t>
  </si>
  <si>
    <t>17,450</t>
  </si>
  <si>
    <t>19,025</t>
  </si>
  <si>
    <t>19,015.0000</t>
  </si>
  <si>
    <t>16,945</t>
  </si>
  <si>
    <t>17,085.0000</t>
  </si>
  <si>
    <t>18,145</t>
  </si>
  <si>
    <t>9/28</t>
  </si>
  <si>
    <t>18,650</t>
  </si>
  <si>
    <t>18,265.0000</t>
  </si>
  <si>
    <t>16,505</t>
  </si>
  <si>
    <t>12/7</t>
  </si>
  <si>
    <t>17,465.0000</t>
  </si>
  <si>
    <t>18,030</t>
  </si>
  <si>
    <t>10/14</t>
  </si>
  <si>
    <t>17,700</t>
  </si>
  <si>
    <t>11/15</t>
  </si>
  <si>
    <t>18,215</t>
  </si>
  <si>
    <t>17,295</t>
  </si>
  <si>
    <t>17,300</t>
  </si>
  <si>
    <t>TOPIX Core30先物</t>
  </si>
  <si>
    <t>TOPIX Core30 Futures</t>
  </si>
  <si>
    <t>1/28</t>
  </si>
  <si>
    <t>860.0</t>
  </si>
  <si>
    <t>3/9</t>
  </si>
  <si>
    <t>895.0000</t>
  </si>
  <si>
    <t>888.0000</t>
  </si>
  <si>
    <t>3/30</t>
  </si>
  <si>
    <t>923.0</t>
  </si>
  <si>
    <t>3/31</t>
  </si>
  <si>
    <t>996.0</t>
  </si>
  <si>
    <t>6/8</t>
  </si>
  <si>
    <t>932.5000</t>
  </si>
  <si>
    <t>921.0</t>
  </si>
  <si>
    <t>880.0000</t>
  </si>
  <si>
    <t>927.5</t>
  </si>
  <si>
    <t>978.0000</t>
  </si>
  <si>
    <t>7/15</t>
  </si>
  <si>
    <t>925.9900</t>
  </si>
  <si>
    <t>9/29</t>
  </si>
  <si>
    <t>965.0</t>
  </si>
  <si>
    <t>970.0000</t>
  </si>
  <si>
    <t>930.1000</t>
  </si>
  <si>
    <t>957.0000</t>
  </si>
  <si>
    <t>東証銀行業株価指数先物</t>
  </si>
  <si>
    <t>TOPIX Banks Index Futures</t>
  </si>
  <si>
    <t>3/10</t>
  </si>
  <si>
    <t>147.5200</t>
  </si>
  <si>
    <t>126.7502</t>
  </si>
  <si>
    <t>6/3</t>
  </si>
  <si>
    <t>150.0</t>
  </si>
  <si>
    <t>150.7</t>
  </si>
  <si>
    <t>159.5000</t>
  </si>
  <si>
    <t>146.4</t>
  </si>
  <si>
    <t>3/8</t>
  </si>
  <si>
    <t>138.8500</t>
  </si>
  <si>
    <t>6/11</t>
  </si>
  <si>
    <t>144.9</t>
  </si>
  <si>
    <t>150.0000</t>
  </si>
  <si>
    <t>6/14</t>
  </si>
  <si>
    <t>143.3</t>
  </si>
  <si>
    <t>136.4000</t>
  </si>
  <si>
    <t>145.2</t>
  </si>
  <si>
    <t>151.6</t>
  </si>
  <si>
    <t>9/30</t>
  </si>
  <si>
    <t>152.9958</t>
  </si>
  <si>
    <t>11/22</t>
  </si>
  <si>
    <t>141.5</t>
  </si>
  <si>
    <t>140.9000</t>
  </si>
  <si>
    <t>12/8</t>
  </si>
  <si>
    <t>145.4000</t>
  </si>
  <si>
    <t>12/6</t>
  </si>
  <si>
    <t>141.9000</t>
  </si>
  <si>
    <t>東証REIT指数先物</t>
  </si>
  <si>
    <t>TSE REIT Index Futures</t>
  </si>
  <si>
    <t>1,769.0</t>
  </si>
  <si>
    <t>1,996.5</t>
  </si>
  <si>
    <t>2,006.0000</t>
  </si>
  <si>
    <t>1,732.5</t>
  </si>
  <si>
    <t>1,730.4500</t>
  </si>
  <si>
    <t>1,909.4</t>
  </si>
  <si>
    <t>1,896.0</t>
  </si>
  <si>
    <t>6/9</t>
  </si>
  <si>
    <t>2,164.0</t>
  </si>
  <si>
    <t>2,160.5000</t>
  </si>
  <si>
    <t>1,861.2</t>
  </si>
  <si>
    <t>1,860.0500</t>
  </si>
  <si>
    <t>2,155.1</t>
  </si>
  <si>
    <t>2,096.0</t>
  </si>
  <si>
    <t>7/13</t>
  </si>
  <si>
    <t>2,180.5</t>
  </si>
  <si>
    <t>2,179.6800</t>
  </si>
  <si>
    <t>2,023.5</t>
  </si>
  <si>
    <t>6/1</t>
  </si>
  <si>
    <t>2,037.0000</t>
  </si>
  <si>
    <t>2,134.5</t>
  </si>
  <si>
    <t>2,146.0</t>
  </si>
  <si>
    <t>10/26</t>
  </si>
  <si>
    <t>2,150.5</t>
  </si>
  <si>
    <t>2,150.0000</t>
  </si>
  <si>
    <t>2,001.0000</t>
  </si>
  <si>
    <t>2,064.0</t>
  </si>
  <si>
    <t>2,004.0</t>
  </si>
  <si>
    <t>2,056.0</t>
  </si>
  <si>
    <t>2,065.0000</t>
  </si>
  <si>
    <t>12/22</t>
  </si>
  <si>
    <t>1,960.0</t>
  </si>
  <si>
    <t>1,985.0000</t>
  </si>
  <si>
    <t>2,047.0</t>
  </si>
  <si>
    <t>RNプライム指数先物</t>
  </si>
  <si>
    <t>RN Prime Index Futures</t>
  </si>
  <si>
    <t>東証マザーズ指数先物</t>
  </si>
  <si>
    <t>TSE Mothers Index Futures</t>
  </si>
  <si>
    <t>1,180.0</t>
  </si>
  <si>
    <t>1,332.0</t>
  </si>
  <si>
    <t>1,330.0000</t>
  </si>
  <si>
    <t>1,117.0</t>
  </si>
  <si>
    <t>1,118.0000</t>
  </si>
  <si>
    <t>1,171.0</t>
  </si>
  <si>
    <t>1,170.0</t>
  </si>
  <si>
    <t>1,308.0</t>
  </si>
  <si>
    <t>4/19</t>
  </si>
  <si>
    <t>1,258.8900</t>
  </si>
  <si>
    <t>1,022.0</t>
  </si>
  <si>
    <t>1,022.0000</t>
  </si>
  <si>
    <t>1,183.0</t>
  </si>
  <si>
    <t>3/3</t>
  </si>
  <si>
    <t>1,167.0</t>
  </si>
  <si>
    <t>4/5</t>
  </si>
  <si>
    <t>1,225.0</t>
  </si>
  <si>
    <t>6/28</t>
  </si>
  <si>
    <t>1,208.8100</t>
  </si>
  <si>
    <t>8/18</t>
  </si>
  <si>
    <t>996.0000</t>
  </si>
  <si>
    <t>1,145.0</t>
  </si>
  <si>
    <t>1/27</t>
  </si>
  <si>
    <t>1,244.0</t>
  </si>
  <si>
    <t>11/17</t>
  </si>
  <si>
    <t>1,193.0000</t>
  </si>
  <si>
    <t>981.0</t>
  </si>
  <si>
    <t>1,000.0000</t>
  </si>
  <si>
    <t>1,052.0</t>
  </si>
  <si>
    <t>1,078.0</t>
  </si>
  <si>
    <t>1,174.0</t>
  </si>
  <si>
    <t>1,063.5900</t>
  </si>
  <si>
    <t>940.0</t>
  </si>
  <si>
    <t>939.0000</t>
  </si>
  <si>
    <t>975.0</t>
  </si>
  <si>
    <t>1,110.0</t>
  </si>
  <si>
    <t>12/20</t>
  </si>
  <si>
    <t>930.0</t>
  </si>
  <si>
    <t>970.0</t>
  </si>
  <si>
    <t>1,111.0</t>
  </si>
  <si>
    <t>NYダウ先物</t>
  </si>
  <si>
    <t>DJIA Futures</t>
  </si>
  <si>
    <t>2020/03/23</t>
  </si>
  <si>
    <t>2021/03/19</t>
  </si>
  <si>
    <t>30,315</t>
  </si>
  <si>
    <t>33,245</t>
  </si>
  <si>
    <t>3/19</t>
  </si>
  <si>
    <t>33,183.0000</t>
  </si>
  <si>
    <t>2/1</t>
  </si>
  <si>
    <t>29,671</t>
  </si>
  <si>
    <t>29,777.0000</t>
  </si>
  <si>
    <t>33,032</t>
  </si>
  <si>
    <t>2020/06/22</t>
  </si>
  <si>
    <t>2021/06/18</t>
  </si>
  <si>
    <t>34,988</t>
  </si>
  <si>
    <t>34,985.0000</t>
  </si>
  <si>
    <t>3/26</t>
  </si>
  <si>
    <t>31,955.0000</t>
  </si>
  <si>
    <t>33,868</t>
  </si>
  <si>
    <t>2020/09/23</t>
  </si>
  <si>
    <t>2021/09/17</t>
  </si>
  <si>
    <t>32,802</t>
  </si>
  <si>
    <t>8/17</t>
  </si>
  <si>
    <t>35,518</t>
  </si>
  <si>
    <t>35,520.0000</t>
  </si>
  <si>
    <t>32,890.0000</t>
  </si>
  <si>
    <t>9/17</t>
  </si>
  <si>
    <t>34,785</t>
  </si>
  <si>
    <t>2020/12/21</t>
  </si>
  <si>
    <t>2021/12/17</t>
  </si>
  <si>
    <t>34,070</t>
  </si>
  <si>
    <t>36,411</t>
  </si>
  <si>
    <t>36,397.0000</t>
  </si>
  <si>
    <t>33,000</t>
  </si>
  <si>
    <t>10/4</t>
  </si>
  <si>
    <t>33,398.0000</t>
  </si>
  <si>
    <t>35,878</t>
  </si>
  <si>
    <t>2021/03/22</t>
  </si>
  <si>
    <t>2022/03/18</t>
  </si>
  <si>
    <t>4/21</t>
  </si>
  <si>
    <t>33,333</t>
  </si>
  <si>
    <t>36,400</t>
  </si>
  <si>
    <t>36,250.0000</t>
  </si>
  <si>
    <t>34,574.0000</t>
  </si>
  <si>
    <t>36,302</t>
  </si>
  <si>
    <t>2021/06/21</t>
  </si>
  <si>
    <t>2022/06/17</t>
  </si>
  <si>
    <t>7/27</t>
  </si>
  <si>
    <t>34,400</t>
  </si>
  <si>
    <t>37,769</t>
  </si>
  <si>
    <t>36,100</t>
  </si>
  <si>
    <t>2021/09/21</t>
  </si>
  <si>
    <t>2022/09/16</t>
  </si>
  <si>
    <t>35,350</t>
  </si>
  <si>
    <t>11/4</t>
  </si>
  <si>
    <t>35,850</t>
  </si>
  <si>
    <t>2021/12/20</t>
  </si>
  <si>
    <t>2022/12/16</t>
  </si>
  <si>
    <t>台湾加権指数先物</t>
  </si>
  <si>
    <t>TAIEX Futures</t>
  </si>
  <si>
    <t>2020/11/18</t>
  </si>
  <si>
    <t>2021/01/19</t>
  </si>
  <si>
    <t>15,081</t>
  </si>
  <si>
    <t>1/13</t>
  </si>
  <si>
    <t>15,774</t>
  </si>
  <si>
    <t>14,805</t>
  </si>
  <si>
    <t>1/18</t>
  </si>
  <si>
    <t>15,444</t>
  </si>
  <si>
    <t>2020/12/16</t>
  </si>
  <si>
    <t>2021/02/16</t>
  </si>
  <si>
    <t>1/20</t>
  </si>
  <si>
    <t>15,707</t>
  </si>
  <si>
    <t>1/21</t>
  </si>
  <si>
    <t>16,046</t>
  </si>
  <si>
    <t>1/29</t>
  </si>
  <si>
    <t>15,319</t>
  </si>
  <si>
    <t>2/5</t>
  </si>
  <si>
    <t>15,788</t>
  </si>
  <si>
    <t>2020/04/15</t>
  </si>
  <si>
    <t>2021/03/16</t>
  </si>
  <si>
    <t>16,151</t>
  </si>
  <si>
    <t>2/22</t>
  </si>
  <si>
    <t>16,540</t>
  </si>
  <si>
    <t>15,736</t>
  </si>
  <si>
    <t>15,833</t>
  </si>
  <si>
    <t>2021/02/17</t>
  </si>
  <si>
    <t>2021/04/20</t>
  </si>
  <si>
    <t>4/15</t>
  </si>
  <si>
    <t>16,888</t>
  </si>
  <si>
    <t>4/16</t>
  </si>
  <si>
    <t>17,088</t>
  </si>
  <si>
    <t>2021/03/17</t>
  </si>
  <si>
    <t>2021/05/18</t>
  </si>
  <si>
    <t>2020/07/15</t>
  </si>
  <si>
    <t>2021/06/15</t>
  </si>
  <si>
    <t>2021/05/19</t>
  </si>
  <si>
    <t>2021/07/20</t>
  </si>
  <si>
    <t>2021/06/16</t>
  </si>
  <si>
    <t>2021/08/17</t>
  </si>
  <si>
    <t>2020/10/21</t>
  </si>
  <si>
    <t>2021/09/14</t>
  </si>
  <si>
    <t>2021/08/18</t>
  </si>
  <si>
    <t>2021/10/19</t>
  </si>
  <si>
    <t>2021/09/15</t>
  </si>
  <si>
    <t>2021/11/16</t>
  </si>
  <si>
    <t>2021/01/20</t>
  </si>
  <si>
    <t>2021/12/14</t>
  </si>
  <si>
    <t>2021/11/17</t>
  </si>
  <si>
    <t>2022/01/18</t>
  </si>
  <si>
    <t>2021/12/15</t>
  </si>
  <si>
    <t>2022/02/15</t>
  </si>
  <si>
    <t>2021/04/21</t>
  </si>
  <si>
    <t>2022/03/15</t>
  </si>
  <si>
    <t>2021/07/21</t>
  </si>
  <si>
    <t>2022/06/14</t>
  </si>
  <si>
    <t>2021/10/20</t>
  </si>
  <si>
    <t>2022/09/20</t>
  </si>
  <si>
    <t>FTSE中国50指数先物</t>
  </si>
  <si>
    <t>FTSE China 50 Index Futures</t>
  </si>
  <si>
    <t>2020/11/30</t>
  </si>
  <si>
    <t>2021/01/28</t>
  </si>
  <si>
    <t>1/12</t>
  </si>
  <si>
    <t>21,350</t>
  </si>
  <si>
    <t>23,535</t>
  </si>
  <si>
    <t>23,205</t>
  </si>
  <si>
    <t>2021/01/04</t>
  </si>
  <si>
    <t>2021/02/25</t>
  </si>
  <si>
    <t>2/2</t>
  </si>
  <si>
    <t>22,685</t>
  </si>
  <si>
    <t>24,400</t>
  </si>
  <si>
    <t>23,225</t>
  </si>
  <si>
    <t>2020/07/31</t>
  </si>
  <si>
    <t>2021/03/30</t>
  </si>
  <si>
    <t>2021/02/26</t>
  </si>
  <si>
    <t>2021/04/28</t>
  </si>
  <si>
    <t>2021/03/31</t>
  </si>
  <si>
    <t>2021/05/28</t>
  </si>
  <si>
    <t>2020/10/30</t>
  </si>
  <si>
    <t>2021/06/29</t>
  </si>
  <si>
    <t>2021/05/31</t>
  </si>
  <si>
    <t>2021/07/29</t>
  </si>
  <si>
    <t>2021/06/30</t>
  </si>
  <si>
    <t>2021/08/30</t>
  </si>
  <si>
    <t>2021/01/29</t>
  </si>
  <si>
    <t>2021/09/29</t>
  </si>
  <si>
    <t>2021/08/31</t>
  </si>
  <si>
    <t>2021/10/28</t>
  </si>
  <si>
    <t>2021/09/30</t>
  </si>
  <si>
    <t>2021/11/29</t>
  </si>
  <si>
    <t>2021/04/30</t>
  </si>
  <si>
    <t>2021/12/30</t>
  </si>
  <si>
    <t>2021/11/30</t>
  </si>
  <si>
    <t>2022/01/28</t>
  </si>
  <si>
    <t>2021/07/30</t>
  </si>
  <si>
    <t>2022/03/30</t>
  </si>
  <si>
    <t>2021/10/29</t>
  </si>
  <si>
    <t>2022/06/29</t>
  </si>
  <si>
    <t>日経平均・配当指数先物</t>
  </si>
  <si>
    <t>Nikkei 225 Dividend Index Futures</t>
  </si>
  <si>
    <t>2020/12</t>
  </si>
  <si>
    <t>2013/01/04</t>
  </si>
  <si>
    <t>2014/01/06</t>
  </si>
  <si>
    <t>2022/03/31</t>
  </si>
  <si>
    <t>1/14</t>
  </si>
  <si>
    <t>433.0</t>
  </si>
  <si>
    <t>454.5</t>
  </si>
  <si>
    <t>9/1</t>
  </si>
  <si>
    <t>486.1000</t>
  </si>
  <si>
    <t>3/17</t>
  </si>
  <si>
    <t>469.4000</t>
  </si>
  <si>
    <t>2015/01/05</t>
  </si>
  <si>
    <t>2023/03/31</t>
  </si>
  <si>
    <t>469.4</t>
  </si>
  <si>
    <t>2/18</t>
  </si>
  <si>
    <t>482.0</t>
  </si>
  <si>
    <t>2016/01/04</t>
  </si>
  <si>
    <t>2024/03/29</t>
  </si>
  <si>
    <t>576.0000</t>
  </si>
  <si>
    <t>557.9000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</si>
  <si>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</si>
  <si>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</si>
  <si>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</si>
  <si>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</si>
  <si>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</si>
  <si>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</si>
  <si>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</si>
  <si>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</si>
  <si>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2029/03/30</t>
  </si>
  <si>
    <t>日経平均VI先物</t>
  </si>
  <si>
    <t>Nikkei 225 VI Futures</t>
  </si>
  <si>
    <t>2020/05/13</t>
  </si>
  <si>
    <t>2021/01/12</t>
  </si>
  <si>
    <t>19.85</t>
  </si>
  <si>
    <t>22.25</t>
  </si>
  <si>
    <t>21.85</t>
  </si>
  <si>
    <t>2020/06/10</t>
  </si>
  <si>
    <t>2021/02/09</t>
  </si>
  <si>
    <t>21.80</t>
  </si>
  <si>
    <t>28.60</t>
  </si>
  <si>
    <t>1/26</t>
  </si>
  <si>
    <t>21.05</t>
  </si>
  <si>
    <t>22.55</t>
  </si>
  <si>
    <t>2021/03/09</t>
  </si>
  <si>
    <t>23.65</t>
  </si>
  <si>
    <t>30.50</t>
  </si>
  <si>
    <t>2/15</t>
  </si>
  <si>
    <t>23.00</t>
  </si>
  <si>
    <t>26.05</t>
  </si>
  <si>
    <t>2020/08/12</t>
  </si>
  <si>
    <t>2021/04/13</t>
  </si>
  <si>
    <t>24.60</t>
  </si>
  <si>
    <t>28.05</t>
  </si>
  <si>
    <t>4/13</t>
  </si>
  <si>
    <t>16.60</t>
  </si>
  <si>
    <t>2020/09/09</t>
  </si>
  <si>
    <t>2021/05/11</t>
  </si>
  <si>
    <t>25.70</t>
  </si>
  <si>
    <t>25.80</t>
  </si>
  <si>
    <t>5/10</t>
  </si>
  <si>
    <t>17.55</t>
  </si>
  <si>
    <t>22.45</t>
  </si>
  <si>
    <t>2020/10/14</t>
  </si>
  <si>
    <t>2021/06/08</t>
  </si>
  <si>
    <t>4/14</t>
  </si>
  <si>
    <t>21.90</t>
  </si>
  <si>
    <t>24.45</t>
  </si>
  <si>
    <t>18.60</t>
  </si>
  <si>
    <t>19.50</t>
  </si>
  <si>
    <t>2020/11/11</t>
  </si>
  <si>
    <t>2021/07/13</t>
  </si>
  <si>
    <t>22.00</t>
  </si>
  <si>
    <t>24.35</t>
  </si>
  <si>
    <t>16.35</t>
  </si>
  <si>
    <t>16.80</t>
  </si>
  <si>
    <t>2020/12/09</t>
  </si>
  <si>
    <t>2021/08/10</t>
  </si>
  <si>
    <t>23.70</t>
  </si>
  <si>
    <t>8/10</t>
  </si>
  <si>
    <t>19.10</t>
  </si>
  <si>
    <t>19.70</t>
  </si>
  <si>
    <t>2021/01/13</t>
  </si>
  <si>
    <t>2021/09/07</t>
  </si>
  <si>
    <t>7/30</t>
  </si>
  <si>
    <t>23.30</t>
  </si>
  <si>
    <t>16.30</t>
  </si>
  <si>
    <t>20.45</t>
  </si>
  <si>
    <t>2021/10/12</t>
  </si>
  <si>
    <t>8/11</t>
  </si>
  <si>
    <t>22.05</t>
  </si>
  <si>
    <t>25.15</t>
  </si>
  <si>
    <t>19.80</t>
  </si>
  <si>
    <t>10/12</t>
  </si>
  <si>
    <t>22.75</t>
  </si>
  <si>
    <t>2021/03/10</t>
  </si>
  <si>
    <t>2021/11/09</t>
  </si>
  <si>
    <t>9/8</t>
  </si>
  <si>
    <t>26.45</t>
  </si>
  <si>
    <t>11/2</t>
  </si>
  <si>
    <t>18.50</t>
  </si>
  <si>
    <t>19.75</t>
  </si>
  <si>
    <t>2021/04/14</t>
  </si>
  <si>
    <t>9/27</t>
  </si>
  <si>
    <t>24.00</t>
  </si>
  <si>
    <t>25.45</t>
  </si>
  <si>
    <t>18.15</t>
  </si>
  <si>
    <t>12/14</t>
  </si>
  <si>
    <t>20.50</t>
  </si>
  <si>
    <t>2021/05/12</t>
  </si>
  <si>
    <t>2022/01/07</t>
  </si>
  <si>
    <t>24.75</t>
  </si>
  <si>
    <t>19.65</t>
  </si>
  <si>
    <t>19.95</t>
  </si>
  <si>
    <t>2021/06/09</t>
  </si>
  <si>
    <t>2022/02/08</t>
  </si>
  <si>
    <t>11/29</t>
  </si>
  <si>
    <t>24.40</t>
  </si>
  <si>
    <t>25.00</t>
  </si>
  <si>
    <t>21.50</t>
  </si>
  <si>
    <t>21.70</t>
  </si>
  <si>
    <t>2021/07/14</t>
  </si>
  <si>
    <t>2022/03/08</t>
  </si>
  <si>
    <t>24.50</t>
  </si>
  <si>
    <t>24.55</t>
  </si>
  <si>
    <t>21.00</t>
  </si>
  <si>
    <t>2021/08/11</t>
  </si>
  <si>
    <t>2022/04/12</t>
  </si>
  <si>
    <t>12/15</t>
  </si>
  <si>
    <t>23.15</t>
  </si>
  <si>
    <t>2022/05</t>
  </si>
  <si>
    <t>2021/09/08</t>
  </si>
  <si>
    <t>2022/05/10</t>
  </si>
  <si>
    <t>2021/10/13</t>
  </si>
  <si>
    <t>2022/06/07</t>
  </si>
  <si>
    <t>2022/07</t>
  </si>
  <si>
    <t>2021/11/10</t>
  </si>
  <si>
    <t>2022/07/12</t>
  </si>
  <si>
    <t>2022/08</t>
  </si>
  <si>
    <t>2022/08/09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</si>
</sst>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95" fillId="0" borderId="0" xfId="1946" applyFont="1">
      <alignment vertical="center"/>
    </xf>
    <xf numFmtId="0" fontId="19" fillId="0" borderId="9" xfId="1946" applyFont="1" applyFill="1" applyBorder="1">
      <alignment vertical="center"/>
    </xf>
    <xf numFmtId="0" fontId="19" fillId="0" borderId="20" xfId="1946" applyFont="1" applyFill="1" applyBorder="1">
      <alignment vertical="center"/>
    </xf>
    <xf numFmtId="0" fontId="19" fillId="0" borderId="8" xfId="1946" applyFont="1" applyFill="1" applyBorder="1">
      <alignment vertical="center"/>
    </xf>
    <xf numFmtId="0" fontId="7" fillId="0" borderId="41" xfId="1946" applyNumberFormat="1" applyFont="1" applyFill="1" applyBorder="1" applyAlignment="1">
      <alignment horizontal="center" vertical="center" wrapText="1"/>
    </xf>
    <xf numFmtId="0" fontId="7" fillId="0" borderId="4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49" fontId="7" fillId="0" borderId="36" xfId="1946" applyNumberFormat="1" applyFont="1" applyFill="1" applyBorder="1" applyAlignment="1">
      <alignment vertical="center"/>
    </xf>
    <xf numFmtId="49" fontId="7" fillId="0" borderId="21" xfId="1946" applyNumberFormat="1" applyFont="1" applyFill="1" applyBorder="1" applyAlignment="1">
      <alignment vertical="center"/>
    </xf>
    <xf numFmtId="49" fontId="7" fillId="0" borderId="22" xfId="1946" applyNumberFormat="1" applyFont="1" applyFill="1" applyBorder="1" applyAlignment="1">
      <alignment vertical="center"/>
    </xf>
    <xf numFmtId="49" fontId="7" fillId="0" borderId="22" xfId="1946" applyNumberFormat="1" applyFont="1" applyFill="1" applyBorder="1" applyAlignment="1">
      <alignment horizontal="right" vertical="center"/>
    </xf>
    <xf numFmtId="49" fontId="7" fillId="0" borderId="23" xfId="1946" applyNumberFormat="1" applyFont="1" applyFill="1" applyBorder="1" applyAlignment="1">
      <alignment horizontal="right" vertical="center"/>
    </xf>
    <xf numFmtId="4" fontId="7" fillId="0" borderId="21" xfId="1946" applyNumberFormat="1" applyFont="1" applyFill="1" applyBorder="1" applyAlignment="1">
      <alignment horizontal="right" vertical="center"/>
    </xf>
    <xf numFmtId="3" fontId="7" fillId="0" borderId="21" xfId="1946" applyNumberFormat="1" applyFont="1" applyFill="1" applyBorder="1" applyAlignment="1">
      <alignment horizontal="right" vertical="center"/>
    </xf>
    <xf numFmtId="3" fontId="7" fillId="0" borderId="23" xfId="1946" applyNumberFormat="1" applyFont="1" applyFill="1" applyBorder="1" applyAlignment="1">
      <alignment horizontal="right" vertical="center"/>
    </xf>
    <xf numFmtId="189" fontId="7" fillId="0" borderId="37" xfId="1946" applyNumberFormat="1" applyFont="1" applyFill="1" applyBorder="1" applyAlignment="1">
      <alignment horizontal="right" vertical="center"/>
    </xf>
    <xf numFmtId="0" fontId="94" fillId="0" borderId="9" xfId="1946" applyFont="1" applyFill="1" applyBorder="1" applyAlignment="1">
      <alignment vertical="center"/>
    </xf>
    <xf numFmtId="0" fontId="94" fillId="0" borderId="6" xfId="1946" applyFont="1" applyFill="1" applyBorder="1" applyAlignment="1">
      <alignment vertical="center"/>
    </xf>
    <xf numFmtId="0" fontId="93" fillId="0" borderId="20" xfId="1946" applyFont="1" applyFill="1" applyBorder="1" applyAlignment="1">
      <alignment vertical="center" wrapText="1"/>
    </xf>
    <xf numFmtId="0" fontId="7" fillId="0" borderId="21" xfId="1946" applyFont="1" applyFill="1" applyBorder="1" applyAlignment="1">
      <alignment horizontal="center" vertical="center" wrapText="1"/>
    </xf>
    <xf numFmtId="49" fontId="7" fillId="0" borderId="21" xfId="1946" applyNumberFormat="1" applyFont="1" applyFill="1" applyBorder="1">
      <alignment vertical="center"/>
    </xf>
    <xf numFmtId="3" fontId="7" fillId="0" borderId="21" xfId="1946" applyNumberFormat="1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  <xf numFmtId="0" fontId="7" fillId="0" borderId="22" xfId="1946" applyFont="1" applyFill="1" applyBorder="1" applyAlignment="1">
      <alignment horizontal="center" vertical="center" wrapText="1"/>
    </xf>
    <xf numFmtId="0" fontId="95" fillId="0" borderId="0" xfId="1946" applyFont="1" applyFill="1">
      <alignment vertical="center"/>
    </xf>
    <xf numFmtId="0" fontId="93" fillId="0" borderId="5" xfId="1946" applyFont="1" applyFill="1" applyBorder="1" applyAlignment="1">
      <alignment vertical="center" wrapText="1"/>
    </xf>
    <xf numFmtId="0" fontId="93" fillId="0" borderId="9" xfId="1946" applyFont="1" applyFill="1" applyBorder="1" applyAlignment="1">
      <alignment vertical="center" wrapText="1"/>
    </xf>
    <xf numFmtId="0" fontId="7" fillId="0" borderId="3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30" xfId="1946" applyNumberFormat="1" applyFont="1" applyFill="1" applyBorder="1" applyAlignment="1">
      <alignment horizontal="center" vertical="top" wrapText="1"/>
    </xf>
    <xf numFmtId="0" fontId="7" fillId="0" borderId="31" xfId="1946" applyNumberFormat="1" applyFont="1" applyFill="1" applyBorder="1" applyAlignment="1">
      <alignment horizontal="center" vertical="top" wrapText="1"/>
    </xf>
    <xf numFmtId="0" fontId="7" fillId="0" borderId="38" xfId="1946" applyNumberFormat="1" applyFont="1" applyFill="1" applyBorder="1" applyAlignment="1">
      <alignment horizontal="center" vertical="center" wrapText="1"/>
    </xf>
    <xf numFmtId="0" fontId="7" fillId="0" borderId="40" xfId="1946" applyNumberFormat="1" applyFont="1" applyFill="1" applyBorder="1" applyAlignment="1">
      <alignment horizontal="center" vertical="center" wrapText="1"/>
    </xf>
    <xf numFmtId="0" fontId="7" fillId="0" borderId="42" xfId="1946" applyNumberFormat="1" applyFont="1" applyFill="1" applyBorder="1" applyAlignment="1">
      <alignment horizontal="center" vertical="center" wrapText="1"/>
    </xf>
    <xf numFmtId="0" fontId="7" fillId="0" borderId="43" xfId="1946" applyNumberFormat="1" applyFont="1" applyFill="1" applyBorder="1" applyAlignment="1">
      <alignment horizontal="center" vertical="center" wrapText="1"/>
    </xf>
    <xf numFmtId="0" fontId="7" fillId="0" borderId="39" xfId="1946" applyNumberFormat="1" applyFont="1" applyFill="1" applyBorder="1" applyAlignment="1">
      <alignment horizontal="center" vertical="center" wrapText="1"/>
    </xf>
    <xf numFmtId="0" fontId="7" fillId="0" borderId="29" xfId="1946" applyNumberFormat="1" applyFont="1" applyFill="1" applyBorder="1" applyAlignment="1">
      <alignment horizontal="center" vertical="center" wrapText="1"/>
    </xf>
    <xf numFmtId="0" fontId="7" fillId="0" borderId="45" xfId="1946" applyNumberFormat="1" applyFont="1" applyFill="1" applyBorder="1" applyAlignment="1">
      <alignment horizontal="center" vertical="center" wrapText="1"/>
    </xf>
    <xf numFmtId="0" fontId="7" fillId="0" borderId="27" xfId="1946" applyNumberFormat="1" applyFont="1" applyFill="1" applyBorder="1" applyAlignment="1">
      <alignment horizontal="center" vertical="center" wrapText="1"/>
    </xf>
    <xf numFmtId="0" fontId="7" fillId="0" borderId="24" xfId="1946" applyNumberFormat="1" applyFont="1" applyFill="1" applyBorder="1" applyAlignment="1">
      <alignment horizontal="center" vertical="center" wrapText="1"/>
    </xf>
    <xf numFmtId="0" fontId="7" fillId="0" borderId="24" xfId="1946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center" wrapText="1"/>
    </xf>
    <xf numFmtId="0" fontId="7" fillId="0" borderId="33" xfId="1946" applyNumberFormat="1" applyFont="1" applyFill="1" applyBorder="1" applyAlignment="1">
      <alignment horizontal="center" vertical="center" wrapText="1"/>
    </xf>
    <xf numFmtId="0" fontId="7" fillId="0" borderId="25" xfId="1946" applyNumberFormat="1" applyFont="1" applyFill="1" applyBorder="1" applyAlignment="1">
      <alignment horizontal="center" vertical="center" wrapText="1"/>
    </xf>
    <xf numFmtId="0" fontId="7" fillId="0" borderId="28" xfId="1946" applyNumberFormat="1" applyFont="1" applyFill="1" applyBorder="1" applyAlignment="1">
      <alignment horizontal="center" vertical="center" wrapText="1"/>
    </xf>
    <xf numFmtId="0" fontId="7" fillId="0" borderId="26" xfId="1946" applyNumberFormat="1" applyFont="1" applyFill="1" applyBorder="1" applyAlignment="1">
      <alignment horizontal="center" vertical="center" wrapText="1"/>
    </xf>
    <xf numFmtId="0" fontId="96" fillId="0" borderId="23" xfId="1946" applyNumberFormat="1" applyFont="1" applyFill="1" applyBorder="1" applyAlignment="1">
      <alignment horizontal="center" vertical="center" wrapText="1"/>
    </xf>
    <xf numFmtId="0" fontId="7" fillId="0" borderId="35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22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93" fillId="0" borderId="7" xfId="1946" applyFont="1" applyFill="1" applyBorder="1" applyAlignment="1">
      <alignment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2" xfId="1946" applyNumberFormat="1" applyFont="1" applyFill="1" applyBorder="1" applyAlignment="1">
      <alignment horizontal="center" vertical="top" wrapText="1"/>
    </xf>
    <xf numFmtId="0" fontId="7" fillId="0" borderId="9" xfId="1946" applyNumberFormat="1" applyFont="1" applyFill="1" applyBorder="1" applyAlignment="1">
      <alignment horizontal="center" vertical="top" wrapText="1"/>
    </xf>
    <xf numFmtId="0" fontId="7" fillId="0" borderId="33" xfId="1946" applyNumberFormat="1" applyFont="1" applyFill="1" applyBorder="1" applyAlignment="1">
      <alignment horizontal="center" vertical="top" wrapText="1"/>
    </xf>
  </cellXfs>
  <cellStyles count="1953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542925</xdr:colOff>
      <xdr:row>0</xdr:row>
      <xdr:rowOff>9525</xdr:rowOff>
    </xdr:from>
    <xdr:ext cx="4181475" cy="285750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D2B15F9-69B0-4D5D-A028-8A2AF57DC6A9}"/>
            </a:ext>
          </a:extLst>
        </xdr:cNvPr>
        <xdr:cNvSpPr/>
      </xdr:nvSpPr>
      <xdr:spPr>
        <a:xfrm>
          <a:off x="25117425" y="95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建玉現在高は年末現在。ただし、*印は限月到来銘柄の最終建玉高。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year. * is a final position of the contract month.</a:t>
          </a:r>
          <a:endParaRPr kumimoji="1" lang="ja-JP" altLang="en-US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90"/>
  <sheetViews>
    <sheetView showGridLines="0" tabSelected="1" zoomScaleNormal="100" zoomScaleSheetLayoutView="85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" customWidth="1"/>
    <col min="2" max="2" width="25.75" style="1" bestFit="1" customWidth="1"/>
    <col min="3" max="3" width="34.5" style="1" bestFit="1" customWidth="1"/>
    <col min="4" max="5" width="10.25" style="1" bestFit="1" customWidth="1"/>
    <col min="6" max="7" width="10.75" style="1" bestFit="1" customWidth="1"/>
    <col min="8" max="8" width="6.125" style="1" bestFit="1" customWidth="1"/>
    <col min="9" max="9" width="15.25" style="1" customWidth="1"/>
    <col min="10" max="10" width="6.125" style="1" bestFit="1" customWidth="1"/>
    <col min="11" max="11" width="15.25" style="1" customWidth="1"/>
    <col min="12" max="12" width="6.125" style="1" bestFit="1" customWidth="1"/>
    <col min="13" max="13" width="15.25" style="1" customWidth="1"/>
    <col min="14" max="14" width="6.125" style="1" bestFit="1" customWidth="1"/>
    <col min="15" max="15" width="15.25" style="1" customWidth="1"/>
    <col min="16" max="16" width="6.125" style="1" bestFit="1" customWidth="1"/>
    <col min="17" max="17" width="15.25" style="1" customWidth="1"/>
    <col min="18" max="18" width="6.125" style="1" bestFit="1" customWidth="1"/>
    <col min="19" max="19" width="15.25" style="1" customWidth="1"/>
    <col min="20" max="20" width="15.125" style="1" bestFit="1" customWidth="1"/>
    <col min="21" max="23" width="15" style="1" customWidth="1"/>
    <col min="24" max="26" width="21.25" style="1" customWidth="1"/>
    <col min="27" max="27" width="2.375" style="1" bestFit="1" customWidth="1"/>
    <col min="28" max="28" width="15.25" style="1" customWidth="1"/>
    <col min="29" max="29" width="6.75" style="1" bestFit="1" customWidth="1"/>
    <col min="30" max="30" width="9" style="1" customWidth="1"/>
    <col min="31" max="16384" width="9" style="1"/>
  </cols>
  <sheetData>
    <row r="1" spans="1:29" s="28" customFormat="1" ht="30" customHeight="1">
      <c r="A1" s="29" t="s">
        <v>16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0"/>
      <c r="Y1" s="20"/>
      <c r="Z1" s="20"/>
      <c r="AA1" s="20"/>
      <c r="AB1" s="20"/>
      <c r="AC1" s="21"/>
    </row>
    <row r="2" spans="1:29" s="28" customFormat="1" ht="30" customHeight="1">
      <c r="A2" s="57" t="s">
        <v>17</v>
      </c>
      <c r="B2" s="58"/>
      <c r="C2" s="58"/>
      <c r="D2" s="22"/>
      <c r="E2" s="22"/>
      <c r="F2" s="22"/>
      <c r="G2" s="22"/>
      <c r="H2" s="22"/>
      <c r="I2" s="22"/>
      <c r="J2" s="22"/>
      <c r="K2" s="2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r="3" spans="1:29" ht="14.1" customHeight="1">
      <c r="A3" s="31" t="s">
        <v>19</v>
      </c>
      <c r="B3" s="41" t="s">
        <v>37</v>
      </c>
      <c r="C3" s="41" t="s">
        <v>38</v>
      </c>
      <c r="D3" s="44" t="s">
        <v>42</v>
      </c>
      <c r="E3" s="43" t="s">
        <v>0</v>
      </c>
      <c r="F3" s="47" t="s">
        <v>7</v>
      </c>
      <c r="G3" s="48"/>
      <c r="H3" s="33" t="s">
        <v>39</v>
      </c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43" t="s">
        <v>21</v>
      </c>
      <c r="U3" s="59" t="s">
        <v>10</v>
      </c>
      <c r="V3" s="60"/>
      <c r="W3" s="61"/>
      <c r="X3" s="59" t="s">
        <v>9</v>
      </c>
      <c r="Y3" s="60"/>
      <c r="Z3" s="61"/>
      <c r="AA3" s="49" t="s">
        <v>14</v>
      </c>
      <c r="AB3" s="50"/>
      <c r="AC3" s="53" t="s">
        <v>15</v>
      </c>
    </row>
    <row r="4" spans="1:29" ht="9" customHeight="1">
      <c r="A4" s="32"/>
      <c r="B4" s="42"/>
      <c r="C4" s="42"/>
      <c r="D4" s="45"/>
      <c r="E4" s="46"/>
      <c r="F4" s="49"/>
      <c r="G4" s="50"/>
      <c r="H4" s="35" t="s">
        <v>25</v>
      </c>
      <c r="I4" s="39" t="s">
        <v>26</v>
      </c>
      <c r="J4" s="35" t="s">
        <v>25</v>
      </c>
      <c r="K4" s="37" t="s">
        <v>28</v>
      </c>
      <c r="L4" s="52" t="s">
        <v>1</v>
      </c>
      <c r="M4" s="52"/>
      <c r="N4" s="35" t="s">
        <v>25</v>
      </c>
      <c r="O4" s="37" t="s">
        <v>32</v>
      </c>
      <c r="P4" s="52" t="s">
        <v>1</v>
      </c>
      <c r="Q4" s="52"/>
      <c r="R4" s="35" t="s">
        <v>25</v>
      </c>
      <c r="S4" s="39" t="s">
        <v>34</v>
      </c>
      <c r="T4" s="46"/>
      <c r="U4" s="43" t="s">
        <v>2</v>
      </c>
      <c r="V4" s="46" t="s">
        <v>11</v>
      </c>
      <c r="W4" s="45" t="s">
        <v>44</v>
      </c>
      <c r="X4" s="43" t="s">
        <v>2</v>
      </c>
      <c r="Y4" s="46" t="s">
        <v>12</v>
      </c>
      <c r="Z4" s="45" t="s">
        <v>46</v>
      </c>
      <c r="AA4" s="49"/>
      <c r="AB4" s="50"/>
      <c r="AC4" s="54"/>
    </row>
    <row r="5" spans="1:29" ht="27" customHeight="1">
      <c r="A5" s="32"/>
      <c r="B5" s="42"/>
      <c r="C5" s="42"/>
      <c r="D5" s="45"/>
      <c r="E5" s="46"/>
      <c r="F5" s="51"/>
      <c r="G5" s="40"/>
      <c r="H5" s="36"/>
      <c r="I5" s="40"/>
      <c r="J5" s="36"/>
      <c r="K5" s="38"/>
      <c r="L5" s="5" t="s">
        <v>30</v>
      </c>
      <c r="M5" s="6" t="s">
        <v>22</v>
      </c>
      <c r="N5" s="36"/>
      <c r="O5" s="38"/>
      <c r="P5" s="5" t="s">
        <v>30</v>
      </c>
      <c r="Q5" s="6" t="s">
        <v>22</v>
      </c>
      <c r="R5" s="36"/>
      <c r="S5" s="40"/>
      <c r="T5" s="46"/>
      <c r="U5" s="43"/>
      <c r="V5" s="46"/>
      <c r="W5" s="45"/>
      <c r="X5" s="43"/>
      <c r="Y5" s="46"/>
      <c r="Z5" s="45"/>
      <c r="AA5" s="49"/>
      <c r="AB5" s="40"/>
      <c r="AC5" s="54"/>
    </row>
    <row r="6" spans="1:29" ht="36" customHeight="1">
      <c r="A6" s="7" t="s">
        <v>20</v>
      </c>
      <c r="B6" s="43"/>
      <c r="C6" s="43"/>
      <c r="D6" s="23" t="s">
        <v>43</v>
      </c>
      <c r="E6" s="8" t="s">
        <v>3</v>
      </c>
      <c r="F6" s="55" t="s">
        <v>8</v>
      </c>
      <c r="G6" s="56"/>
      <c r="H6" s="5" t="s">
        <v>40</v>
      </c>
      <c r="I6" s="9" t="s">
        <v>27</v>
      </c>
      <c r="J6" s="5" t="s">
        <v>41</v>
      </c>
      <c r="K6" s="6" t="s">
        <v>29</v>
      </c>
      <c r="L6" s="5" t="s">
        <v>41</v>
      </c>
      <c r="M6" s="6" t="s">
        <v>31</v>
      </c>
      <c r="N6" s="5" t="s">
        <v>41</v>
      </c>
      <c r="O6" s="6" t="s">
        <v>33</v>
      </c>
      <c r="P6" s="5" t="s">
        <v>41</v>
      </c>
      <c r="Q6" s="6" t="s">
        <v>23</v>
      </c>
      <c r="R6" s="5" t="s">
        <v>41</v>
      </c>
      <c r="S6" s="6" t="s">
        <v>35</v>
      </c>
      <c r="T6" s="8" t="s">
        <v>24</v>
      </c>
      <c r="U6" s="8" t="s">
        <v>4</v>
      </c>
      <c r="V6" s="8" t="s">
        <v>5</v>
      </c>
      <c r="W6" s="23" t="s">
        <v>45</v>
      </c>
      <c r="X6" s="8" t="s">
        <v>18</v>
      </c>
      <c r="Y6" s="8" t="s">
        <v>6</v>
      </c>
      <c r="Z6" s="27" t="s">
        <v>47</v>
      </c>
      <c r="AA6" s="55" t="s">
        <v>13</v>
      </c>
      <c r="AB6" s="56"/>
      <c r="AC6" s="10" t="s">
        <v>36</v>
      </c>
    </row>
    <row r="7" spans="1:29" ht="13.5" customHeight="1">
      <c r="A7" s="11" t="s">
        <v>48</v>
      </c>
      <c r="B7" s="12" t="s">
        <v>49</v>
      </c>
      <c r="C7" s="12" t="s">
        <v>50</v>
      </c>
      <c r="D7" s="24"/>
      <c r="E7" s="12" t="s">
        <v>51</v>
      </c>
      <c r="F7" s="13" t="s">
        <v>52</v>
      </c>
      <c r="G7" s="13" t="s">
        <v>53</v>
      </c>
      <c r="H7" s="14" t="s">
        <v>54</v>
      </c>
      <c r="I7" s="15" t="s">
        <v>55</v>
      </c>
      <c r="J7" s="14" t="s">
        <v>56</v>
      </c>
      <c r="K7" s="15" t="s">
        <v>57</v>
      </c>
      <c r="L7" s="14" t="s">
        <v>56</v>
      </c>
      <c r="M7" s="15" t="s">
        <v>58</v>
      </c>
      <c r="N7" s="14" t="s">
        <v>59</v>
      </c>
      <c r="O7" s="15" t="s">
        <v>60</v>
      </c>
      <c r="P7" s="14" t="s">
        <v>59</v>
      </c>
      <c r="Q7" s="15" t="s">
        <v>61</v>
      </c>
      <c r="R7" s="14" t="s">
        <v>62</v>
      </c>
      <c r="S7" s="15" t="s">
        <v>63</v>
      </c>
      <c r="T7" s="16">
        <f>28874.13</f>
        <v>28874.13</v>
      </c>
      <c r="U7" s="17">
        <f>3657369</f>
        <v>3657369</v>
      </c>
      <c r="V7" s="17">
        <v>741351</v>
      </c>
      <c r="W7" s="25">
        <v>192763</v>
      </c>
      <c r="X7" s="17">
        <f>105566921904511</f>
        <v>105566921904511</v>
      </c>
      <c r="Y7" s="17">
        <v>21446223074511</v>
      </c>
      <c r="Z7" s="26">
        <v>5592324020000</v>
      </c>
      <c r="AA7" s="14" t="s">
        <v>64</v>
      </c>
      <c r="AB7" s="18">
        <f>91072</f>
        <v>91072</v>
      </c>
      <c r="AC7" s="19">
        <f>46</f>
        <v>46</v>
      </c>
    </row>
    <row r="8" spans="1:29">
      <c r="A8" s="11" t="s">
        <v>48</v>
      </c>
      <c r="B8" s="12" t="s">
        <v>49</v>
      </c>
      <c r="C8" s="12" t="s">
        <v>50</v>
      </c>
      <c r="D8" s="24"/>
      <c r="E8" s="12" t="s">
        <v>65</v>
      </c>
      <c r="F8" s="13" t="s">
        <v>66</v>
      </c>
      <c r="G8" s="13" t="s">
        <v>67</v>
      </c>
      <c r="H8" s="14" t="s">
        <v>54</v>
      </c>
      <c r="I8" s="15" t="s">
        <v>68</v>
      </c>
      <c r="J8" s="14" t="s">
        <v>56</v>
      </c>
      <c r="K8" s="15" t="s">
        <v>69</v>
      </c>
      <c r="L8" s="14" t="s">
        <v>56</v>
      </c>
      <c r="M8" s="15" t="s">
        <v>70</v>
      </c>
      <c r="N8" s="14" t="s">
        <v>59</v>
      </c>
      <c r="O8" s="15" t="s">
        <v>71</v>
      </c>
      <c r="P8" s="14" t="s">
        <v>72</v>
      </c>
      <c r="Q8" s="15" t="s">
        <v>73</v>
      </c>
      <c r="R8" s="14" t="s">
        <v>74</v>
      </c>
      <c r="S8" s="15" t="s">
        <v>75</v>
      </c>
      <c r="T8" s="16">
        <f>28896.26</f>
        <v>28896.26</v>
      </c>
      <c r="U8" s="17">
        <f>4172916</f>
        <v>4172916</v>
      </c>
      <c r="V8" s="17">
        <v>1039996</v>
      </c>
      <c r="W8" s="25">
        <v>334764</v>
      </c>
      <c r="X8" s="17">
        <f>120898324977891</f>
        <v>120898324977891</v>
      </c>
      <c r="Y8" s="17">
        <v>30126150142891</v>
      </c>
      <c r="Z8" s="26">
        <v>9673306965000</v>
      </c>
      <c r="AA8" s="14" t="s">
        <v>64</v>
      </c>
      <c r="AB8" s="18">
        <f>83786</f>
        <v>83786</v>
      </c>
      <c r="AC8" s="19">
        <f>107</f>
        <v>107</v>
      </c>
    </row>
    <row r="9" spans="1:29">
      <c r="A9" s="11" t="s">
        <v>48</v>
      </c>
      <c r="B9" s="12" t="s">
        <v>49</v>
      </c>
      <c r="C9" s="12" t="s">
        <v>50</v>
      </c>
      <c r="D9" s="24"/>
      <c r="E9" s="12" t="s">
        <v>76</v>
      </c>
      <c r="F9" s="13" t="s">
        <v>77</v>
      </c>
      <c r="G9" s="13" t="s">
        <v>78</v>
      </c>
      <c r="H9" s="14" t="s">
        <v>79</v>
      </c>
      <c r="I9" s="15" t="s">
        <v>80</v>
      </c>
      <c r="J9" s="14" t="s">
        <v>56</v>
      </c>
      <c r="K9" s="15" t="s">
        <v>81</v>
      </c>
      <c r="L9" s="14" t="s">
        <v>56</v>
      </c>
      <c r="M9" s="15" t="s">
        <v>82</v>
      </c>
      <c r="N9" s="14" t="s">
        <v>83</v>
      </c>
      <c r="O9" s="15" t="s">
        <v>84</v>
      </c>
      <c r="P9" s="14" t="s">
        <v>85</v>
      </c>
      <c r="Q9" s="15" t="s">
        <v>86</v>
      </c>
      <c r="R9" s="14" t="s">
        <v>87</v>
      </c>
      <c r="S9" s="15" t="s">
        <v>88</v>
      </c>
      <c r="T9" s="16">
        <f>28635.27</f>
        <v>28635.27</v>
      </c>
      <c r="U9" s="17">
        <f>3889507</f>
        <v>3889507</v>
      </c>
      <c r="V9" s="17">
        <v>987483</v>
      </c>
      <c r="W9" s="25">
        <v>312874</v>
      </c>
      <c r="X9" s="17">
        <f>110659665218696</f>
        <v>110659665218696</v>
      </c>
      <c r="Y9" s="17">
        <v>28308103644696</v>
      </c>
      <c r="Z9" s="26">
        <v>9190633194000</v>
      </c>
      <c r="AA9" s="14" t="s">
        <v>64</v>
      </c>
      <c r="AB9" s="18">
        <f>86427</f>
        <v>86427</v>
      </c>
      <c r="AC9" s="19">
        <f>148</f>
        <v>148</v>
      </c>
    </row>
    <row r="10" spans="1:29">
      <c r="A10" s="11" t="s">
        <v>48</v>
      </c>
      <c r="B10" s="12" t="s">
        <v>49</v>
      </c>
      <c r="C10" s="12" t="s">
        <v>50</v>
      </c>
      <c r="D10" s="24"/>
      <c r="E10" s="12" t="s">
        <v>89</v>
      </c>
      <c r="F10" s="13" t="s">
        <v>90</v>
      </c>
      <c r="G10" s="13" t="s">
        <v>91</v>
      </c>
      <c r="H10" s="14" t="s">
        <v>92</v>
      </c>
      <c r="I10" s="15" t="s">
        <v>93</v>
      </c>
      <c r="J10" s="14" t="s">
        <v>94</v>
      </c>
      <c r="K10" s="15" t="s">
        <v>95</v>
      </c>
      <c r="L10" s="14" t="s">
        <v>96</v>
      </c>
      <c r="M10" s="15" t="s">
        <v>97</v>
      </c>
      <c r="N10" s="14" t="s">
        <v>98</v>
      </c>
      <c r="O10" s="15" t="s">
        <v>99</v>
      </c>
      <c r="P10" s="14" t="s">
        <v>54</v>
      </c>
      <c r="Q10" s="15" t="s">
        <v>100</v>
      </c>
      <c r="R10" s="14" t="s">
        <v>101</v>
      </c>
      <c r="S10" s="15" t="s">
        <v>102</v>
      </c>
      <c r="T10" s="16">
        <f>28615.74</f>
        <v>28615.74</v>
      </c>
      <c r="U10" s="17">
        <f>4944530</f>
        <v>4944530</v>
      </c>
      <c r="V10" s="17">
        <v>1259941</v>
      </c>
      <c r="W10" s="25">
        <v>337347</v>
      </c>
      <c r="X10" s="17">
        <f>143165977694356</f>
        <v>143165977694356</v>
      </c>
      <c r="Y10" s="17">
        <v>36487955893356</v>
      </c>
      <c r="Z10" s="26">
        <v>9780079931000</v>
      </c>
      <c r="AA10" s="14" t="s">
        <v>64</v>
      </c>
      <c r="AB10" s="18">
        <f>106465</f>
        <v>106465</v>
      </c>
      <c r="AC10" s="19">
        <f>199</f>
        <v>199</v>
      </c>
    </row>
    <row r="11" spans="1:29">
      <c r="A11" s="11" t="s">
        <v>48</v>
      </c>
      <c r="B11" s="12" t="s">
        <v>49</v>
      </c>
      <c r="C11" s="12" t="s">
        <v>50</v>
      </c>
      <c r="D11" s="24"/>
      <c r="E11" s="12" t="s">
        <v>103</v>
      </c>
      <c r="F11" s="13" t="s">
        <v>104</v>
      </c>
      <c r="G11" s="13" t="s">
        <v>105</v>
      </c>
      <c r="H11" s="14" t="s">
        <v>54</v>
      </c>
      <c r="I11" s="15" t="s">
        <v>106</v>
      </c>
      <c r="J11" s="14" t="s">
        <v>94</v>
      </c>
      <c r="K11" s="15" t="s">
        <v>107</v>
      </c>
      <c r="L11" s="14" t="s">
        <v>94</v>
      </c>
      <c r="M11" s="15" t="s">
        <v>108</v>
      </c>
      <c r="N11" s="14" t="s">
        <v>98</v>
      </c>
      <c r="O11" s="15" t="s">
        <v>109</v>
      </c>
      <c r="P11" s="14" t="s">
        <v>110</v>
      </c>
      <c r="Q11" s="15" t="s">
        <v>111</v>
      </c>
      <c r="R11" s="14" t="s">
        <v>112</v>
      </c>
      <c r="S11" s="15" t="s">
        <v>113</v>
      </c>
      <c r="T11" s="16">
        <f>28554.69</f>
        <v>28554.69</v>
      </c>
      <c r="U11" s="17">
        <f>1257069</f>
        <v>1257069</v>
      </c>
      <c r="V11" s="17">
        <v>376236</v>
      </c>
      <c r="W11" s="25">
        <v>166551</v>
      </c>
      <c r="X11" s="17">
        <f>35852213602818</f>
        <v>35852213602818</v>
      </c>
      <c r="Y11" s="17">
        <v>10737390621818</v>
      </c>
      <c r="Z11" s="26">
        <v>4726535751000</v>
      </c>
      <c r="AA11" s="14"/>
      <c r="AB11" s="18">
        <f>187854</f>
        <v>187854</v>
      </c>
      <c r="AC11" s="19">
        <f>210</f>
        <v>210</v>
      </c>
    </row>
    <row r="12" spans="1:29">
      <c r="A12" s="11" t="s">
        <v>48</v>
      </c>
      <c r="B12" s="12" t="s">
        <v>49</v>
      </c>
      <c r="C12" s="12" t="s">
        <v>50</v>
      </c>
      <c r="D12" s="24"/>
      <c r="E12" s="12" t="s">
        <v>114</v>
      </c>
      <c r="F12" s="13" t="s">
        <v>115</v>
      </c>
      <c r="G12" s="13" t="s">
        <v>116</v>
      </c>
      <c r="H12" s="14" t="s">
        <v>98</v>
      </c>
      <c r="I12" s="15" t="s">
        <v>117</v>
      </c>
      <c r="J12" s="14" t="s">
        <v>118</v>
      </c>
      <c r="K12" s="15" t="s">
        <v>119</v>
      </c>
      <c r="L12" s="14" t="s">
        <v>94</v>
      </c>
      <c r="M12" s="15" t="s">
        <v>120</v>
      </c>
      <c r="N12" s="14" t="s">
        <v>98</v>
      </c>
      <c r="O12" s="15" t="s">
        <v>117</v>
      </c>
      <c r="P12" s="14" t="s">
        <v>59</v>
      </c>
      <c r="Q12" s="15" t="s">
        <v>121</v>
      </c>
      <c r="R12" s="14" t="s">
        <v>112</v>
      </c>
      <c r="S12" s="15" t="s">
        <v>122</v>
      </c>
      <c r="T12" s="16">
        <f>28337.76</f>
        <v>28337.759999999998</v>
      </c>
      <c r="U12" s="17">
        <f>21293</f>
        <v>21293</v>
      </c>
      <c r="V12" s="17">
        <v>16979</v>
      </c>
      <c r="W12" s="25">
        <v>95</v>
      </c>
      <c r="X12" s="17">
        <f>600833646000</f>
        <v>600833646000</v>
      </c>
      <c r="Y12" s="17">
        <v>478669150000</v>
      </c>
      <c r="Z12" s="26">
        <v>2708926000</v>
      </c>
      <c r="AA12" s="14"/>
      <c r="AB12" s="18">
        <f>9212</f>
        <v>9212</v>
      </c>
      <c r="AC12" s="19">
        <f>127</f>
        <v>127</v>
      </c>
    </row>
    <row r="13" spans="1:29">
      <c r="A13" s="11" t="s">
        <v>48</v>
      </c>
      <c r="B13" s="12" t="s">
        <v>49</v>
      </c>
      <c r="C13" s="12" t="s">
        <v>50</v>
      </c>
      <c r="D13" s="24"/>
      <c r="E13" s="12" t="s">
        <v>123</v>
      </c>
      <c r="F13" s="13" t="s">
        <v>124</v>
      </c>
      <c r="G13" s="13" t="s">
        <v>125</v>
      </c>
      <c r="H13" s="14" t="s">
        <v>126</v>
      </c>
      <c r="I13" s="15" t="s">
        <v>127</v>
      </c>
      <c r="J13" s="14" t="s">
        <v>128</v>
      </c>
      <c r="K13" s="15" t="s">
        <v>129</v>
      </c>
      <c r="L13" s="14" t="s">
        <v>128</v>
      </c>
      <c r="M13" s="15" t="s">
        <v>130</v>
      </c>
      <c r="N13" s="14" t="s">
        <v>131</v>
      </c>
      <c r="O13" s="15" t="s">
        <v>99</v>
      </c>
      <c r="P13" s="14" t="s">
        <v>132</v>
      </c>
      <c r="Q13" s="15" t="s">
        <v>133</v>
      </c>
      <c r="R13" s="14" t="s">
        <v>134</v>
      </c>
      <c r="S13" s="15" t="s">
        <v>135</v>
      </c>
      <c r="T13" s="16">
        <f>28326.98</f>
        <v>28326.98</v>
      </c>
      <c r="U13" s="17">
        <f>1851</f>
        <v>1851</v>
      </c>
      <c r="V13" s="17">
        <v>1707</v>
      </c>
      <c r="W13" s="25"/>
      <c r="X13" s="17">
        <f>52606070000</f>
        <v>52606070000</v>
      </c>
      <c r="Y13" s="17">
        <v>48552340000</v>
      </c>
      <c r="Z13" s="26"/>
      <c r="AA13" s="14"/>
      <c r="AB13" s="18">
        <f>1331</f>
        <v>1331</v>
      </c>
      <c r="AC13" s="19">
        <f>39</f>
        <v>39</v>
      </c>
    </row>
    <row r="14" spans="1:29">
      <c r="A14" s="11" t="s">
        <v>48</v>
      </c>
      <c r="B14" s="12" t="s">
        <v>49</v>
      </c>
      <c r="C14" s="12" t="s">
        <v>50</v>
      </c>
      <c r="D14" s="24"/>
      <c r="E14" s="12" t="s">
        <v>136</v>
      </c>
      <c r="F14" s="13" t="s">
        <v>137</v>
      </c>
      <c r="G14" s="13" t="s">
        <v>138</v>
      </c>
      <c r="H14" s="14" t="s">
        <v>139</v>
      </c>
      <c r="I14" s="15" t="s">
        <v>140</v>
      </c>
      <c r="J14" s="14" t="s">
        <v>118</v>
      </c>
      <c r="K14" s="15" t="s">
        <v>141</v>
      </c>
      <c r="L14" s="14" t="s">
        <v>94</v>
      </c>
      <c r="M14" s="15" t="s">
        <v>142</v>
      </c>
      <c r="N14" s="14" t="s">
        <v>143</v>
      </c>
      <c r="O14" s="15" t="s">
        <v>144</v>
      </c>
      <c r="P14" s="14" t="s">
        <v>98</v>
      </c>
      <c r="Q14" s="15" t="s">
        <v>145</v>
      </c>
      <c r="R14" s="14" t="s">
        <v>146</v>
      </c>
      <c r="S14" s="15" t="s">
        <v>147</v>
      </c>
      <c r="T14" s="16">
        <f>28080.69</f>
        <v>28080.69</v>
      </c>
      <c r="U14" s="17">
        <f>87941</f>
        <v>87941</v>
      </c>
      <c r="V14" s="17">
        <v>87728</v>
      </c>
      <c r="W14" s="25">
        <v>16</v>
      </c>
      <c r="X14" s="17">
        <f>2461221178000</f>
        <v>2461221178000</v>
      </c>
      <c r="Y14" s="17">
        <v>2455177830000</v>
      </c>
      <c r="Z14" s="26">
        <v>456468000</v>
      </c>
      <c r="AA14" s="14"/>
      <c r="AB14" s="18">
        <f>23318</f>
        <v>23318</v>
      </c>
      <c r="AC14" s="19">
        <f>61</f>
        <v>61</v>
      </c>
    </row>
    <row r="15" spans="1:29">
      <c r="A15" s="11" t="s">
        <v>48</v>
      </c>
      <c r="B15" s="12" t="s">
        <v>49</v>
      </c>
      <c r="C15" s="12" t="s">
        <v>50</v>
      </c>
      <c r="D15" s="24"/>
      <c r="E15" s="12" t="s">
        <v>148</v>
      </c>
      <c r="F15" s="13" t="s">
        <v>149</v>
      </c>
      <c r="G15" s="13" t="s">
        <v>150</v>
      </c>
      <c r="H15" s="14" t="s">
        <v>128</v>
      </c>
      <c r="I15" s="15" t="s">
        <v>151</v>
      </c>
      <c r="J15" s="14" t="s">
        <v>94</v>
      </c>
      <c r="K15" s="15" t="s">
        <v>152</v>
      </c>
      <c r="L15" s="14" t="s">
        <v>153</v>
      </c>
      <c r="M15" s="15" t="s">
        <v>154</v>
      </c>
      <c r="N15" s="14" t="s">
        <v>155</v>
      </c>
      <c r="O15" s="15" t="s">
        <v>156</v>
      </c>
      <c r="P15" s="14" t="s">
        <v>153</v>
      </c>
      <c r="Q15" s="15" t="s">
        <v>154</v>
      </c>
      <c r="R15" s="14" t="s">
        <v>157</v>
      </c>
      <c r="S15" s="15" t="s">
        <v>158</v>
      </c>
      <c r="T15" s="16">
        <f>28393.82</f>
        <v>28393.82</v>
      </c>
      <c r="U15" s="17">
        <f>133</f>
        <v>133</v>
      </c>
      <c r="V15" s="17">
        <v>100</v>
      </c>
      <c r="W15" s="25"/>
      <c r="X15" s="17">
        <f>3741510000</f>
        <v>3741510000</v>
      </c>
      <c r="Y15" s="17">
        <v>2794000000</v>
      </c>
      <c r="Z15" s="26"/>
      <c r="AA15" s="14"/>
      <c r="AB15" s="18">
        <f>118</f>
        <v>118</v>
      </c>
      <c r="AC15" s="19">
        <f>15</f>
        <v>15</v>
      </c>
    </row>
    <row r="16" spans="1:29">
      <c r="A16" s="11" t="s">
        <v>48</v>
      </c>
      <c r="B16" s="12" t="s">
        <v>49</v>
      </c>
      <c r="C16" s="12" t="s">
        <v>50</v>
      </c>
      <c r="D16" s="24"/>
      <c r="E16" s="12" t="s">
        <v>159</v>
      </c>
      <c r="F16" s="13" t="s">
        <v>160</v>
      </c>
      <c r="G16" s="13" t="s">
        <v>161</v>
      </c>
      <c r="H16" s="14" t="s">
        <v>162</v>
      </c>
      <c r="I16" s="15" t="s">
        <v>163</v>
      </c>
      <c r="J16" s="14" t="s">
        <v>164</v>
      </c>
      <c r="K16" s="15" t="s">
        <v>165</v>
      </c>
      <c r="L16" s="14" t="s">
        <v>94</v>
      </c>
      <c r="M16" s="15" t="s">
        <v>166</v>
      </c>
      <c r="N16" s="14" t="s">
        <v>167</v>
      </c>
      <c r="O16" s="15" t="s">
        <v>168</v>
      </c>
      <c r="P16" s="14" t="s">
        <v>169</v>
      </c>
      <c r="Q16" s="15" t="s">
        <v>170</v>
      </c>
      <c r="R16" s="14" t="s">
        <v>112</v>
      </c>
      <c r="S16" s="15" t="s">
        <v>171</v>
      </c>
      <c r="T16" s="16">
        <f>27790.94</f>
        <v>27790.94</v>
      </c>
      <c r="U16" s="17">
        <f>3689</f>
        <v>3689</v>
      </c>
      <c r="V16" s="17">
        <v>3661</v>
      </c>
      <c r="W16" s="25"/>
      <c r="X16" s="17">
        <f>102739650000</f>
        <v>102739650000</v>
      </c>
      <c r="Y16" s="17">
        <v>101974100000</v>
      </c>
      <c r="Z16" s="26"/>
      <c r="AA16" s="14"/>
      <c r="AB16" s="18">
        <f>2874</f>
        <v>2874</v>
      </c>
      <c r="AC16" s="19">
        <f>17</f>
        <v>17</v>
      </c>
    </row>
    <row r="17" spans="1:29">
      <c r="A17" s="11" t="s">
        <v>48</v>
      </c>
      <c r="B17" s="12" t="s">
        <v>49</v>
      </c>
      <c r="C17" s="12" t="s">
        <v>50</v>
      </c>
      <c r="D17" s="24"/>
      <c r="E17" s="12" t="s">
        <v>172</v>
      </c>
      <c r="F17" s="13" t="s">
        <v>173</v>
      </c>
      <c r="G17" s="13" t="s">
        <v>174</v>
      </c>
      <c r="H17" s="14" t="s">
        <v>175</v>
      </c>
      <c r="I17" s="15" t="s">
        <v>176</v>
      </c>
      <c r="J17" s="14" t="s">
        <v>177</v>
      </c>
      <c r="K17" s="15" t="s">
        <v>178</v>
      </c>
      <c r="L17" s="14" t="s">
        <v>94</v>
      </c>
      <c r="M17" s="15" t="s">
        <v>179</v>
      </c>
      <c r="N17" s="14" t="s">
        <v>180</v>
      </c>
      <c r="O17" s="15" t="s">
        <v>181</v>
      </c>
      <c r="P17" s="14" t="s">
        <v>83</v>
      </c>
      <c r="Q17" s="15" t="s">
        <v>182</v>
      </c>
      <c r="R17" s="14" t="s">
        <v>183</v>
      </c>
      <c r="S17" s="15" t="s">
        <v>184</v>
      </c>
      <c r="T17" s="16">
        <f>27526.33</f>
        <v>27526.33</v>
      </c>
      <c r="U17" s="17">
        <f>25293</f>
        <v>25293</v>
      </c>
      <c r="V17" s="17">
        <v>25257</v>
      </c>
      <c r="W17" s="25"/>
      <c r="X17" s="17">
        <f>690695058070</f>
        <v>690695058070</v>
      </c>
      <c r="Y17" s="17">
        <v>689709978070</v>
      </c>
      <c r="Z17" s="26"/>
      <c r="AA17" s="14"/>
      <c r="AB17" s="18">
        <f>12325</f>
        <v>12325</v>
      </c>
      <c r="AC17" s="19">
        <f>17</f>
        <v>17</v>
      </c>
    </row>
    <row r="18" spans="1:29">
      <c r="A18" s="11" t="s">
        <v>48</v>
      </c>
      <c r="B18" s="12" t="s">
        <v>49</v>
      </c>
      <c r="C18" s="12" t="s">
        <v>50</v>
      </c>
      <c r="D18" s="24"/>
      <c r="E18" s="12" t="s">
        <v>185</v>
      </c>
      <c r="F18" s="13" t="s">
        <v>173</v>
      </c>
      <c r="G18" s="13" t="s">
        <v>186</v>
      </c>
      <c r="H18" s="14" t="s">
        <v>139</v>
      </c>
      <c r="I18" s="15" t="s">
        <v>93</v>
      </c>
      <c r="J18" s="14" t="s">
        <v>187</v>
      </c>
      <c r="K18" s="15" t="s">
        <v>188</v>
      </c>
      <c r="L18" s="14" t="s">
        <v>118</v>
      </c>
      <c r="M18" s="15" t="s">
        <v>189</v>
      </c>
      <c r="N18" s="14" t="s">
        <v>190</v>
      </c>
      <c r="O18" s="15" t="s">
        <v>191</v>
      </c>
      <c r="P18" s="14" t="s">
        <v>192</v>
      </c>
      <c r="Q18" s="15" t="s">
        <v>193</v>
      </c>
      <c r="R18" s="14" t="s">
        <v>194</v>
      </c>
      <c r="S18" s="15" t="s">
        <v>195</v>
      </c>
      <c r="T18" s="16">
        <f>27229.96</f>
        <v>27229.96</v>
      </c>
      <c r="U18" s="17">
        <f>1498</f>
        <v>1498</v>
      </c>
      <c r="V18" s="17">
        <v>1484</v>
      </c>
      <c r="W18" s="25"/>
      <c r="X18" s="17">
        <f>40823390016</f>
        <v>40823390016</v>
      </c>
      <c r="Y18" s="17">
        <v>40446580016</v>
      </c>
      <c r="Z18" s="26"/>
      <c r="AA18" s="14"/>
      <c r="AB18" s="18">
        <f>1252</f>
        <v>1252</v>
      </c>
      <c r="AC18" s="19">
        <f>10</f>
        <v>10</v>
      </c>
    </row>
    <row r="19" spans="1:29">
      <c r="A19" s="11" t="s">
        <v>48</v>
      </c>
      <c r="B19" s="12" t="s">
        <v>49</v>
      </c>
      <c r="C19" s="12" t="s">
        <v>50</v>
      </c>
      <c r="D19" s="24"/>
      <c r="E19" s="12" t="s">
        <v>196</v>
      </c>
      <c r="F19" s="13" t="s">
        <v>173</v>
      </c>
      <c r="G19" s="13" t="s">
        <v>197</v>
      </c>
      <c r="H19" s="14" t="s">
        <v>198</v>
      </c>
      <c r="I19" s="15" t="s">
        <v>199</v>
      </c>
      <c r="J19" s="14" t="s">
        <v>200</v>
      </c>
      <c r="K19" s="15" t="s">
        <v>201</v>
      </c>
      <c r="L19" s="14" t="s">
        <v>94</v>
      </c>
      <c r="M19" s="15" t="s">
        <v>202</v>
      </c>
      <c r="N19" s="14" t="s">
        <v>198</v>
      </c>
      <c r="O19" s="15" t="s">
        <v>199</v>
      </c>
      <c r="P19" s="14" t="s">
        <v>143</v>
      </c>
      <c r="Q19" s="15" t="s">
        <v>203</v>
      </c>
      <c r="R19" s="14" t="s">
        <v>183</v>
      </c>
      <c r="S19" s="15" t="s">
        <v>204</v>
      </c>
      <c r="T19" s="16">
        <f>26967.27</f>
        <v>26967.27</v>
      </c>
      <c r="U19" s="17">
        <f>7395</f>
        <v>7395</v>
      </c>
      <c r="V19" s="17">
        <v>7390</v>
      </c>
      <c r="W19" s="25"/>
      <c r="X19" s="17">
        <f>198016935000</f>
        <v>198016935000</v>
      </c>
      <c r="Y19" s="17">
        <v>197881575000</v>
      </c>
      <c r="Z19" s="26"/>
      <c r="AA19" s="14"/>
      <c r="AB19" s="18">
        <f>6412</f>
        <v>6412</v>
      </c>
      <c r="AC19" s="19">
        <f>3</f>
        <v>3</v>
      </c>
    </row>
    <row r="20" spans="1:29">
      <c r="A20" s="11" t="s">
        <v>48</v>
      </c>
      <c r="B20" s="12" t="s">
        <v>49</v>
      </c>
      <c r="C20" s="12" t="s">
        <v>50</v>
      </c>
      <c r="D20" s="24"/>
      <c r="E20" s="12" t="s">
        <v>205</v>
      </c>
      <c r="F20" s="13" t="s">
        <v>173</v>
      </c>
      <c r="G20" s="13" t="s">
        <v>206</v>
      </c>
      <c r="H20" s="14"/>
      <c r="I20" s="15" t="s">
        <v>207</v>
      </c>
      <c r="J20" s="14"/>
      <c r="K20" s="15" t="s">
        <v>207</v>
      </c>
      <c r="L20" s="14" t="s">
        <v>132</v>
      </c>
      <c r="M20" s="15" t="s">
        <v>208</v>
      </c>
      <c r="N20" s="14"/>
      <c r="O20" s="15" t="s">
        <v>207</v>
      </c>
      <c r="P20" s="14" t="s">
        <v>132</v>
      </c>
      <c r="Q20" s="15" t="s">
        <v>208</v>
      </c>
      <c r="R20" s="14"/>
      <c r="S20" s="15" t="s">
        <v>207</v>
      </c>
      <c r="T20" s="16">
        <f>27121.02</f>
        <v>27121.02</v>
      </c>
      <c r="U20" s="17">
        <f>100</f>
        <v>100</v>
      </c>
      <c r="V20" s="17">
        <v>100</v>
      </c>
      <c r="W20" s="25"/>
      <c r="X20" s="17">
        <f>2809700000</f>
        <v>2809700000</v>
      </c>
      <c r="Y20" s="17">
        <v>2809700000</v>
      </c>
      <c r="Z20" s="26"/>
      <c r="AA20" s="14"/>
      <c r="AB20" s="18" t="str">
        <f>"－"</f>
        <v>－</v>
      </c>
      <c r="AC20" s="19" t="str">
        <f>"－"</f>
        <v>－</v>
      </c>
    </row>
    <row r="21" spans="1:29">
      <c r="A21" s="11" t="s">
        <v>48</v>
      </c>
      <c r="B21" s="12" t="s">
        <v>49</v>
      </c>
      <c r="C21" s="12" t="s">
        <v>50</v>
      </c>
      <c r="D21" s="24"/>
      <c r="E21" s="12" t="s">
        <v>209</v>
      </c>
      <c r="F21" s="13" t="s">
        <v>173</v>
      </c>
      <c r="G21" s="13" t="s">
        <v>210</v>
      </c>
      <c r="H21" s="14" t="s">
        <v>211</v>
      </c>
      <c r="I21" s="15" t="s">
        <v>212</v>
      </c>
      <c r="J21" s="14" t="s">
        <v>126</v>
      </c>
      <c r="K21" s="15" t="s">
        <v>80</v>
      </c>
      <c r="L21" s="14" t="s">
        <v>213</v>
      </c>
      <c r="M21" s="15" t="s">
        <v>214</v>
      </c>
      <c r="N21" s="14" t="s">
        <v>131</v>
      </c>
      <c r="O21" s="15" t="s">
        <v>215</v>
      </c>
      <c r="P21" s="14" t="s">
        <v>216</v>
      </c>
      <c r="Q21" s="15" t="s">
        <v>217</v>
      </c>
      <c r="R21" s="14" t="s">
        <v>218</v>
      </c>
      <c r="S21" s="15" t="s">
        <v>219</v>
      </c>
      <c r="T21" s="16">
        <f>26414.61</f>
        <v>26414.61</v>
      </c>
      <c r="U21" s="17">
        <f>1872</f>
        <v>1872</v>
      </c>
      <c r="V21" s="17">
        <v>1868</v>
      </c>
      <c r="W21" s="25"/>
      <c r="X21" s="17">
        <f>49198280000</f>
        <v>49198280000</v>
      </c>
      <c r="Y21" s="17">
        <v>49093300000</v>
      </c>
      <c r="Z21" s="26"/>
      <c r="AA21" s="14"/>
      <c r="AB21" s="18">
        <f>1870</f>
        <v>1870</v>
      </c>
      <c r="AC21" s="19">
        <f>4</f>
        <v>4</v>
      </c>
    </row>
    <row r="22" spans="1:29">
      <c r="A22" s="11" t="s">
        <v>48</v>
      </c>
      <c r="B22" s="12" t="s">
        <v>49</v>
      </c>
      <c r="C22" s="12" t="s">
        <v>50</v>
      </c>
      <c r="D22" s="24"/>
      <c r="E22" s="12" t="s">
        <v>220</v>
      </c>
      <c r="F22" s="13" t="s">
        <v>173</v>
      </c>
      <c r="G22" s="13" t="s">
        <v>221</v>
      </c>
      <c r="H22" s="14" t="s">
        <v>222</v>
      </c>
      <c r="I22" s="15" t="s">
        <v>223</v>
      </c>
      <c r="J22" s="14" t="s">
        <v>222</v>
      </c>
      <c r="K22" s="15" t="s">
        <v>223</v>
      </c>
      <c r="L22" s="14"/>
      <c r="M22" s="15"/>
      <c r="N22" s="14" t="s">
        <v>224</v>
      </c>
      <c r="O22" s="15" t="s">
        <v>225</v>
      </c>
      <c r="P22" s="14"/>
      <c r="Q22" s="15"/>
      <c r="R22" s="14" t="s">
        <v>226</v>
      </c>
      <c r="S22" s="15" t="s">
        <v>227</v>
      </c>
      <c r="T22" s="16">
        <f>26122.04</f>
        <v>26122.04</v>
      </c>
      <c r="U22" s="17">
        <f>20</f>
        <v>20</v>
      </c>
      <c r="V22" s="17"/>
      <c r="W22" s="25"/>
      <c r="X22" s="17">
        <f>531260000</f>
        <v>531260000</v>
      </c>
      <c r="Y22" s="17"/>
      <c r="Z22" s="26"/>
      <c r="AA22" s="14"/>
      <c r="AB22" s="18">
        <f>10</f>
        <v>10</v>
      </c>
      <c r="AC22" s="19">
        <f>12</f>
        <v>12</v>
      </c>
    </row>
    <row r="23" spans="1:29">
      <c r="A23" s="11" t="s">
        <v>48</v>
      </c>
      <c r="B23" s="12" t="s">
        <v>49</v>
      </c>
      <c r="C23" s="12" t="s">
        <v>50</v>
      </c>
      <c r="D23" s="24"/>
      <c r="E23" s="12" t="s">
        <v>228</v>
      </c>
      <c r="F23" s="13" t="s">
        <v>229</v>
      </c>
      <c r="G23" s="13" t="s">
        <v>230</v>
      </c>
      <c r="H23" s="14"/>
      <c r="I23" s="15" t="s">
        <v>207</v>
      </c>
      <c r="J23" s="14"/>
      <c r="K23" s="15" t="s">
        <v>207</v>
      </c>
      <c r="L23" s="14" t="s">
        <v>231</v>
      </c>
      <c r="M23" s="15" t="s">
        <v>232</v>
      </c>
      <c r="N23" s="14"/>
      <c r="O23" s="15" t="s">
        <v>207</v>
      </c>
      <c r="P23" s="14" t="s">
        <v>83</v>
      </c>
      <c r="Q23" s="15" t="s">
        <v>233</v>
      </c>
      <c r="R23" s="14"/>
      <c r="S23" s="15" t="s">
        <v>207</v>
      </c>
      <c r="T23" s="16">
        <f>26418.9</f>
        <v>26418.9</v>
      </c>
      <c r="U23" s="17">
        <f>1070</f>
        <v>1070</v>
      </c>
      <c r="V23" s="17">
        <v>1070</v>
      </c>
      <c r="W23" s="25"/>
      <c r="X23" s="17">
        <f>27317250000</f>
        <v>27317250000</v>
      </c>
      <c r="Y23" s="17">
        <v>27317250000</v>
      </c>
      <c r="Z23" s="26"/>
      <c r="AA23" s="14"/>
      <c r="AB23" s="18">
        <f>1070</f>
        <v>1070</v>
      </c>
      <c r="AC23" s="19" t="str">
        <f>"－"</f>
        <v>－</v>
      </c>
    </row>
    <row r="24" spans="1:29">
      <c r="A24" s="11" t="s">
        <v>48</v>
      </c>
      <c r="B24" s="12" t="s">
        <v>49</v>
      </c>
      <c r="C24" s="12" t="s">
        <v>50</v>
      </c>
      <c r="D24" s="24"/>
      <c r="E24" s="12" t="s">
        <v>234</v>
      </c>
      <c r="F24" s="13" t="s">
        <v>235</v>
      </c>
      <c r="G24" s="13" t="s">
        <v>236</v>
      </c>
      <c r="H24" s="14"/>
      <c r="I24" s="15" t="s">
        <v>207</v>
      </c>
      <c r="J24" s="14"/>
      <c r="K24" s="15" t="s">
        <v>207</v>
      </c>
      <c r="L24" s="14"/>
      <c r="M24" s="15"/>
      <c r="N24" s="14"/>
      <c r="O24" s="15" t="s">
        <v>207</v>
      </c>
      <c r="P24" s="14"/>
      <c r="Q24" s="15"/>
      <c r="R24" s="14"/>
      <c r="S24" s="15" t="s">
        <v>207</v>
      </c>
      <c r="T24" s="16">
        <f>26265.1</f>
        <v>26265.1</v>
      </c>
      <c r="U24" s="17" t="str">
        <f>"－"</f>
        <v>－</v>
      </c>
      <c r="V24" s="17"/>
      <c r="W24" s="25"/>
      <c r="X24" s="17" t="str">
        <f>"－"</f>
        <v>－</v>
      </c>
      <c r="Y24" s="17"/>
      <c r="Z24" s="26"/>
      <c r="AA24" s="14"/>
      <c r="AB24" s="18" t="str">
        <f>"－"</f>
        <v>－</v>
      </c>
      <c r="AC24" s="19" t="str">
        <f>"－"</f>
        <v>－</v>
      </c>
    </row>
    <row r="25" spans="1:29">
      <c r="A25" s="11" t="s">
        <v>48</v>
      </c>
      <c r="B25" s="12" t="s">
        <v>49</v>
      </c>
      <c r="C25" s="12" t="s">
        <v>50</v>
      </c>
      <c r="D25" s="24"/>
      <c r="E25" s="12" t="s">
        <v>237</v>
      </c>
      <c r="F25" s="13" t="s">
        <v>238</v>
      </c>
      <c r="G25" s="13" t="s">
        <v>239</v>
      </c>
      <c r="H25" s="14"/>
      <c r="I25" s="15" t="s">
        <v>207</v>
      </c>
      <c r="J25" s="14"/>
      <c r="K25" s="15" t="s">
        <v>207</v>
      </c>
      <c r="L25" s="14"/>
      <c r="M25" s="15"/>
      <c r="N25" s="14"/>
      <c r="O25" s="15" t="s">
        <v>207</v>
      </c>
      <c r="P25" s="14"/>
      <c r="Q25" s="15"/>
      <c r="R25" s="14"/>
      <c r="S25" s="15" t="s">
        <v>207</v>
      </c>
      <c r="T25" s="16">
        <f>26068.12</f>
        <v>26068.12</v>
      </c>
      <c r="U25" s="17" t="str">
        <f>"－"</f>
        <v>－</v>
      </c>
      <c r="V25" s="17"/>
      <c r="W25" s="25"/>
      <c r="X25" s="17" t="str">
        <f>"－"</f>
        <v>－</v>
      </c>
      <c r="Y25" s="17"/>
      <c r="Z25" s="26"/>
      <c r="AA25" s="14"/>
      <c r="AB25" s="18" t="str">
        <f>"－"</f>
        <v>－</v>
      </c>
      <c r="AC25" s="19" t="str">
        <f>"－"</f>
        <v>－</v>
      </c>
    </row>
    <row r="26" spans="1:29">
      <c r="A26" s="11" t="s">
        <v>48</v>
      </c>
      <c r="B26" s="12" t="s">
        <v>49</v>
      </c>
      <c r="C26" s="12" t="s">
        <v>50</v>
      </c>
      <c r="D26" s="24"/>
      <c r="E26" s="12" t="s">
        <v>240</v>
      </c>
      <c r="F26" s="13" t="s">
        <v>241</v>
      </c>
      <c r="G26" s="13" t="s">
        <v>242</v>
      </c>
      <c r="H26" s="14"/>
      <c r="I26" s="15" t="s">
        <v>207</v>
      </c>
      <c r="J26" s="14"/>
      <c r="K26" s="15" t="s">
        <v>207</v>
      </c>
      <c r="L26" s="14"/>
      <c r="M26" s="15"/>
      <c r="N26" s="14"/>
      <c r="O26" s="15" t="s">
        <v>207</v>
      </c>
      <c r="P26" s="14"/>
      <c r="Q26" s="15"/>
      <c r="R26" s="14"/>
      <c r="S26" s="15" t="s">
        <v>207</v>
      </c>
      <c r="T26" s="16">
        <f>25851.06</f>
        <v>25851.06</v>
      </c>
      <c r="U26" s="17" t="str">
        <f>"－"</f>
        <v>－</v>
      </c>
      <c r="V26" s="17"/>
      <c r="W26" s="25"/>
      <c r="X26" s="17" t="str">
        <f>"－"</f>
        <v>－</v>
      </c>
      <c r="Y26" s="17"/>
      <c r="Z26" s="26"/>
      <c r="AA26" s="14"/>
      <c r="AB26" s="18" t="str">
        <f>"－"</f>
        <v>－</v>
      </c>
      <c r="AC26" s="19" t="str">
        <f>"－"</f>
        <v>－</v>
      </c>
    </row>
    <row r="27" spans="1:29">
      <c r="A27" s="11" t="s">
        <v>48</v>
      </c>
      <c r="B27" s="12" t="s">
        <v>49</v>
      </c>
      <c r="C27" s="12" t="s">
        <v>50</v>
      </c>
      <c r="D27" s="24"/>
      <c r="E27" s="12" t="s">
        <v>243</v>
      </c>
      <c r="F27" s="13" t="s">
        <v>244</v>
      </c>
      <c r="G27" s="13" t="s">
        <v>245</v>
      </c>
      <c r="H27" s="14" t="s">
        <v>246</v>
      </c>
      <c r="I27" s="15" t="s">
        <v>247</v>
      </c>
      <c r="J27" s="14" t="s">
        <v>248</v>
      </c>
      <c r="K27" s="15" t="s">
        <v>249</v>
      </c>
      <c r="L27" s="14" t="s">
        <v>250</v>
      </c>
      <c r="M27" s="15" t="s">
        <v>251</v>
      </c>
      <c r="N27" s="14" t="s">
        <v>252</v>
      </c>
      <c r="O27" s="15" t="s">
        <v>253</v>
      </c>
      <c r="P27" s="14" t="s">
        <v>250</v>
      </c>
      <c r="Q27" s="15" t="s">
        <v>251</v>
      </c>
      <c r="R27" s="14" t="s">
        <v>252</v>
      </c>
      <c r="S27" s="15" t="s">
        <v>253</v>
      </c>
      <c r="T27" s="16">
        <f>25655.27</f>
        <v>25655.27</v>
      </c>
      <c r="U27" s="17">
        <f>6</f>
        <v>6</v>
      </c>
      <c r="V27" s="17">
        <v>2</v>
      </c>
      <c r="W27" s="25"/>
      <c r="X27" s="17">
        <f>148380000</f>
        <v>148380000</v>
      </c>
      <c r="Y27" s="17">
        <v>48440000</v>
      </c>
      <c r="Z27" s="26"/>
      <c r="AA27" s="14"/>
      <c r="AB27" s="18">
        <f>2</f>
        <v>2</v>
      </c>
      <c r="AC27" s="19">
        <f>4</f>
        <v>4</v>
      </c>
    </row>
    <row r="28" spans="1:29">
      <c r="A28" s="11" t="s">
        <v>48</v>
      </c>
      <c r="B28" s="12" t="s">
        <v>49</v>
      </c>
      <c r="C28" s="12" t="s">
        <v>50</v>
      </c>
      <c r="D28" s="24"/>
      <c r="E28" s="12" t="s">
        <v>254</v>
      </c>
      <c r="F28" s="13" t="s">
        <v>255</v>
      </c>
      <c r="G28" s="13" t="s">
        <v>256</v>
      </c>
      <c r="H28" s="14"/>
      <c r="I28" s="15" t="s">
        <v>207</v>
      </c>
      <c r="J28" s="14"/>
      <c r="K28" s="15" t="s">
        <v>207</v>
      </c>
      <c r="L28" s="14"/>
      <c r="M28" s="15"/>
      <c r="N28" s="14"/>
      <c r="O28" s="15" t="s">
        <v>207</v>
      </c>
      <c r="P28" s="14"/>
      <c r="Q28" s="15"/>
      <c r="R28" s="14"/>
      <c r="S28" s="15" t="s">
        <v>207</v>
      </c>
      <c r="T28" s="16">
        <f>24975.8</f>
        <v>24975.8</v>
      </c>
      <c r="U28" s="17" t="str">
        <f>"－"</f>
        <v>－</v>
      </c>
      <c r="V28" s="17"/>
      <c r="W28" s="25"/>
      <c r="X28" s="17" t="str">
        <f>"－"</f>
        <v>－</v>
      </c>
      <c r="Y28" s="17"/>
      <c r="Z28" s="26"/>
      <c r="AA28" s="14"/>
      <c r="AB28" s="18" t="str">
        <f>"－"</f>
        <v>－</v>
      </c>
      <c r="AC28" s="19" t="str">
        <f>"－"</f>
        <v>－</v>
      </c>
    </row>
    <row r="29" spans="1:29">
      <c r="A29" s="11" t="s">
        <v>48</v>
      </c>
      <c r="B29" s="12" t="s">
        <v>49</v>
      </c>
      <c r="C29" s="12" t="s">
        <v>50</v>
      </c>
      <c r="D29" s="24"/>
      <c r="E29" s="12" t="s">
        <v>257</v>
      </c>
      <c r="F29" s="13" t="s">
        <v>258</v>
      </c>
      <c r="G29" s="13" t="s">
        <v>259</v>
      </c>
      <c r="H29" s="14"/>
      <c r="I29" s="15" t="s">
        <v>207</v>
      </c>
      <c r="J29" s="14"/>
      <c r="K29" s="15" t="s">
        <v>207</v>
      </c>
      <c r="L29" s="14"/>
      <c r="M29" s="15"/>
      <c r="N29" s="14"/>
      <c r="O29" s="15" t="s">
        <v>207</v>
      </c>
      <c r="P29" s="14"/>
      <c r="Q29" s="15"/>
      <c r="R29" s="14"/>
      <c r="S29" s="15" t="s">
        <v>207</v>
      </c>
      <c r="T29" s="16">
        <f>24022.67</f>
        <v>24022.67</v>
      </c>
      <c r="U29" s="17" t="str">
        <f>"－"</f>
        <v>－</v>
      </c>
      <c r="V29" s="17"/>
      <c r="W29" s="25"/>
      <c r="X29" s="17" t="str">
        <f>"－"</f>
        <v>－</v>
      </c>
      <c r="Y29" s="17"/>
      <c r="Z29" s="26"/>
      <c r="AA29" s="14"/>
      <c r="AB29" s="18" t="str">
        <f>"－"</f>
        <v>－</v>
      </c>
      <c r="AC29" s="19" t="str">
        <f>"－"</f>
        <v>－</v>
      </c>
    </row>
    <row r="30" spans="1:29">
      <c r="A30" s="11" t="s">
        <v>48</v>
      </c>
      <c r="B30" s="12" t="s">
        <v>260</v>
      </c>
      <c r="C30" s="12" t="s">
        <v>261</v>
      </c>
      <c r="D30" s="24"/>
      <c r="E30" s="12" t="s">
        <v>262</v>
      </c>
      <c r="F30" s="13" t="s">
        <v>263</v>
      </c>
      <c r="G30" s="13" t="s">
        <v>264</v>
      </c>
      <c r="H30" s="14" t="s">
        <v>54</v>
      </c>
      <c r="I30" s="15" t="s">
        <v>265</v>
      </c>
      <c r="J30" s="14" t="s">
        <v>54</v>
      </c>
      <c r="K30" s="15" t="s">
        <v>223</v>
      </c>
      <c r="L30" s="14" t="s">
        <v>54</v>
      </c>
      <c r="M30" s="15" t="s">
        <v>266</v>
      </c>
      <c r="N30" s="14" t="s">
        <v>59</v>
      </c>
      <c r="O30" s="15" t="s">
        <v>199</v>
      </c>
      <c r="P30" s="14" t="s">
        <v>59</v>
      </c>
      <c r="Q30" s="15" t="s">
        <v>267</v>
      </c>
      <c r="R30" s="14" t="s">
        <v>59</v>
      </c>
      <c r="S30" s="15" t="s">
        <v>268</v>
      </c>
      <c r="T30" s="16">
        <f>27252.5</f>
        <v>27252.5</v>
      </c>
      <c r="U30" s="17">
        <f>339671</f>
        <v>339671</v>
      </c>
      <c r="V30" s="17">
        <v>126620</v>
      </c>
      <c r="W30" s="25">
        <v>21646</v>
      </c>
      <c r="X30" s="17">
        <f>926128663447</f>
        <v>926128663447</v>
      </c>
      <c r="Y30" s="17">
        <v>345410246947</v>
      </c>
      <c r="Z30" s="26">
        <v>59361656000</v>
      </c>
      <c r="AA30" s="14" t="s">
        <v>64</v>
      </c>
      <c r="AB30" s="18">
        <f>144272</f>
        <v>144272</v>
      </c>
      <c r="AC30" s="19">
        <f>4</f>
        <v>4</v>
      </c>
    </row>
    <row r="31" spans="1:29">
      <c r="A31" s="11" t="s">
        <v>48</v>
      </c>
      <c r="B31" s="12" t="s">
        <v>260</v>
      </c>
      <c r="C31" s="12" t="s">
        <v>261</v>
      </c>
      <c r="D31" s="24"/>
      <c r="E31" s="12" t="s">
        <v>269</v>
      </c>
      <c r="F31" s="13" t="s">
        <v>270</v>
      </c>
      <c r="G31" s="13" t="s">
        <v>271</v>
      </c>
      <c r="H31" s="14" t="s">
        <v>54</v>
      </c>
      <c r="I31" s="15" t="s">
        <v>272</v>
      </c>
      <c r="J31" s="14" t="s">
        <v>273</v>
      </c>
      <c r="K31" s="15" t="s">
        <v>274</v>
      </c>
      <c r="L31" s="14" t="s">
        <v>273</v>
      </c>
      <c r="M31" s="15" t="s">
        <v>275</v>
      </c>
      <c r="N31" s="14" t="s">
        <v>59</v>
      </c>
      <c r="O31" s="15" t="s">
        <v>276</v>
      </c>
      <c r="P31" s="14" t="s">
        <v>59</v>
      </c>
      <c r="Q31" s="15" t="s">
        <v>277</v>
      </c>
      <c r="R31" s="14" t="s">
        <v>278</v>
      </c>
      <c r="S31" s="15" t="s">
        <v>279</v>
      </c>
      <c r="T31" s="16">
        <f>28378.15</f>
        <v>28378.15</v>
      </c>
      <c r="U31" s="17">
        <f>1444933</f>
        <v>1444933</v>
      </c>
      <c r="V31" s="17">
        <v>333973</v>
      </c>
      <c r="W31" s="25">
        <v>21747</v>
      </c>
      <c r="X31" s="17">
        <f>4128621435661</f>
        <v>4128621435661</v>
      </c>
      <c r="Y31" s="17">
        <v>965691061661</v>
      </c>
      <c r="Z31" s="26">
        <v>63244981000</v>
      </c>
      <c r="AA31" s="14" t="s">
        <v>64</v>
      </c>
      <c r="AB31" s="18">
        <f>128247</f>
        <v>128247</v>
      </c>
      <c r="AC31" s="19">
        <f>27</f>
        <v>27</v>
      </c>
    </row>
    <row r="32" spans="1:29">
      <c r="A32" s="11" t="s">
        <v>48</v>
      </c>
      <c r="B32" s="12" t="s">
        <v>260</v>
      </c>
      <c r="C32" s="12" t="s">
        <v>261</v>
      </c>
      <c r="D32" s="24"/>
      <c r="E32" s="12" t="s">
        <v>51</v>
      </c>
      <c r="F32" s="13" t="s">
        <v>52</v>
      </c>
      <c r="G32" s="13" t="s">
        <v>53</v>
      </c>
      <c r="H32" s="14" t="s">
        <v>54</v>
      </c>
      <c r="I32" s="15" t="s">
        <v>280</v>
      </c>
      <c r="J32" s="14" t="s">
        <v>56</v>
      </c>
      <c r="K32" s="15" t="s">
        <v>281</v>
      </c>
      <c r="L32" s="14" t="s">
        <v>56</v>
      </c>
      <c r="M32" s="15" t="s">
        <v>58</v>
      </c>
      <c r="N32" s="14" t="s">
        <v>59</v>
      </c>
      <c r="O32" s="15" t="s">
        <v>282</v>
      </c>
      <c r="P32" s="14" t="s">
        <v>59</v>
      </c>
      <c r="Q32" s="15" t="s">
        <v>283</v>
      </c>
      <c r="R32" s="14" t="s">
        <v>62</v>
      </c>
      <c r="S32" s="15" t="s">
        <v>63</v>
      </c>
      <c r="T32" s="16">
        <f>28874.13</f>
        <v>28874.13</v>
      </c>
      <c r="U32" s="17">
        <f>42502724</f>
        <v>42502724</v>
      </c>
      <c r="V32" s="17">
        <v>3435336</v>
      </c>
      <c r="W32" s="25">
        <v>135928</v>
      </c>
      <c r="X32" s="17">
        <f>122731796360826</f>
        <v>122731796360826</v>
      </c>
      <c r="Y32" s="17">
        <v>9934680327226</v>
      </c>
      <c r="Z32" s="26">
        <v>390859145100</v>
      </c>
      <c r="AA32" s="14" t="s">
        <v>64</v>
      </c>
      <c r="AB32" s="18">
        <f>209054</f>
        <v>209054</v>
      </c>
      <c r="AC32" s="19">
        <f>46</f>
        <v>46</v>
      </c>
    </row>
    <row r="33" spans="1:29">
      <c r="A33" s="11" t="s">
        <v>48</v>
      </c>
      <c r="B33" s="12" t="s">
        <v>260</v>
      </c>
      <c r="C33" s="12" t="s">
        <v>261</v>
      </c>
      <c r="D33" s="24"/>
      <c r="E33" s="12" t="s">
        <v>284</v>
      </c>
      <c r="F33" s="13" t="s">
        <v>285</v>
      </c>
      <c r="G33" s="13" t="s">
        <v>286</v>
      </c>
      <c r="H33" s="14" t="s">
        <v>54</v>
      </c>
      <c r="I33" s="15" t="s">
        <v>287</v>
      </c>
      <c r="J33" s="14" t="s">
        <v>56</v>
      </c>
      <c r="K33" s="15" t="s">
        <v>288</v>
      </c>
      <c r="L33" s="14" t="s">
        <v>56</v>
      </c>
      <c r="M33" s="15" t="s">
        <v>289</v>
      </c>
      <c r="N33" s="14" t="s">
        <v>59</v>
      </c>
      <c r="O33" s="15" t="s">
        <v>290</v>
      </c>
      <c r="P33" s="14" t="s">
        <v>59</v>
      </c>
      <c r="Q33" s="15" t="s">
        <v>291</v>
      </c>
      <c r="R33" s="14" t="s">
        <v>292</v>
      </c>
      <c r="S33" s="15" t="s">
        <v>293</v>
      </c>
      <c r="T33" s="16">
        <f>28906.74</f>
        <v>28906.74</v>
      </c>
      <c r="U33" s="17">
        <f>1674325</f>
        <v>1674325</v>
      </c>
      <c r="V33" s="17">
        <v>397373</v>
      </c>
      <c r="W33" s="25">
        <v>27458</v>
      </c>
      <c r="X33" s="17">
        <f>4913374306768</f>
        <v>4913374306768</v>
      </c>
      <c r="Y33" s="17">
        <v>1166516549968</v>
      </c>
      <c r="Z33" s="26">
        <v>81696776300</v>
      </c>
      <c r="AA33" s="14" t="s">
        <v>64</v>
      </c>
      <c r="AB33" s="18">
        <f>130487</f>
        <v>130487</v>
      </c>
      <c r="AC33" s="19">
        <f>66</f>
        <v>66</v>
      </c>
    </row>
    <row r="34" spans="1:29">
      <c r="A34" s="11" t="s">
        <v>48</v>
      </c>
      <c r="B34" s="12" t="s">
        <v>260</v>
      </c>
      <c r="C34" s="12" t="s">
        <v>261</v>
      </c>
      <c r="D34" s="24"/>
      <c r="E34" s="12" t="s">
        <v>294</v>
      </c>
      <c r="F34" s="13" t="s">
        <v>295</v>
      </c>
      <c r="G34" s="13" t="s">
        <v>296</v>
      </c>
      <c r="H34" s="14" t="s">
        <v>79</v>
      </c>
      <c r="I34" s="15" t="s">
        <v>297</v>
      </c>
      <c r="J34" s="14" t="s">
        <v>56</v>
      </c>
      <c r="K34" s="15" t="s">
        <v>298</v>
      </c>
      <c r="L34" s="14" t="s">
        <v>56</v>
      </c>
      <c r="M34" s="15" t="s">
        <v>299</v>
      </c>
      <c r="N34" s="14" t="s">
        <v>300</v>
      </c>
      <c r="O34" s="15" t="s">
        <v>301</v>
      </c>
      <c r="P34" s="14" t="s">
        <v>300</v>
      </c>
      <c r="Q34" s="15" t="s">
        <v>302</v>
      </c>
      <c r="R34" s="14" t="s">
        <v>300</v>
      </c>
      <c r="S34" s="15" t="s">
        <v>303</v>
      </c>
      <c r="T34" s="16">
        <f>29059.1</f>
        <v>29059.1</v>
      </c>
      <c r="U34" s="17">
        <f>1201282</f>
        <v>1201282</v>
      </c>
      <c r="V34" s="17">
        <v>228765</v>
      </c>
      <c r="W34" s="25">
        <v>36916</v>
      </c>
      <c r="X34" s="17">
        <f>3495762504070</f>
        <v>3495762504070</v>
      </c>
      <c r="Y34" s="17">
        <v>663837449070</v>
      </c>
      <c r="Z34" s="26">
        <v>103383870000</v>
      </c>
      <c r="AA34" s="14" t="s">
        <v>64</v>
      </c>
      <c r="AB34" s="18">
        <f>124177</f>
        <v>124177</v>
      </c>
      <c r="AC34" s="19">
        <f>83</f>
        <v>83</v>
      </c>
    </row>
    <row r="35" spans="1:29">
      <c r="A35" s="11" t="s">
        <v>48</v>
      </c>
      <c r="B35" s="12" t="s">
        <v>260</v>
      </c>
      <c r="C35" s="12" t="s">
        <v>261</v>
      </c>
      <c r="D35" s="24"/>
      <c r="E35" s="12" t="s">
        <v>65</v>
      </c>
      <c r="F35" s="13" t="s">
        <v>66</v>
      </c>
      <c r="G35" s="13" t="s">
        <v>67</v>
      </c>
      <c r="H35" s="14" t="s">
        <v>54</v>
      </c>
      <c r="I35" s="15" t="s">
        <v>304</v>
      </c>
      <c r="J35" s="14" t="s">
        <v>56</v>
      </c>
      <c r="K35" s="15" t="s">
        <v>305</v>
      </c>
      <c r="L35" s="14" t="s">
        <v>56</v>
      </c>
      <c r="M35" s="15" t="s">
        <v>306</v>
      </c>
      <c r="N35" s="14" t="s">
        <v>59</v>
      </c>
      <c r="O35" s="15" t="s">
        <v>307</v>
      </c>
      <c r="P35" s="14" t="s">
        <v>167</v>
      </c>
      <c r="Q35" s="15" t="s">
        <v>308</v>
      </c>
      <c r="R35" s="14" t="s">
        <v>74</v>
      </c>
      <c r="S35" s="15" t="s">
        <v>309</v>
      </c>
      <c r="T35" s="16">
        <f>28896.26</f>
        <v>28896.26</v>
      </c>
      <c r="U35" s="17">
        <f>51236604</f>
        <v>51236604</v>
      </c>
      <c r="V35" s="17">
        <v>3945960</v>
      </c>
      <c r="W35" s="25">
        <v>232712</v>
      </c>
      <c r="X35" s="17">
        <f>148362164755998</f>
        <v>148362164755998</v>
      </c>
      <c r="Y35" s="17">
        <v>11423279249298</v>
      </c>
      <c r="Z35" s="26">
        <v>671305153200</v>
      </c>
      <c r="AA35" s="14" t="s">
        <v>64</v>
      </c>
      <c r="AB35" s="18">
        <f>278123</f>
        <v>278123</v>
      </c>
      <c r="AC35" s="19">
        <f>107</f>
        <v>107</v>
      </c>
    </row>
    <row r="36" spans="1:29">
      <c r="A36" s="11" t="s">
        <v>48</v>
      </c>
      <c r="B36" s="12" t="s">
        <v>260</v>
      </c>
      <c r="C36" s="12" t="s">
        <v>261</v>
      </c>
      <c r="D36" s="24"/>
      <c r="E36" s="12" t="s">
        <v>310</v>
      </c>
      <c r="F36" s="13" t="s">
        <v>311</v>
      </c>
      <c r="G36" s="13" t="s">
        <v>312</v>
      </c>
      <c r="H36" s="14" t="s">
        <v>313</v>
      </c>
      <c r="I36" s="15" t="s">
        <v>314</v>
      </c>
      <c r="J36" s="14" t="s">
        <v>56</v>
      </c>
      <c r="K36" s="15" t="s">
        <v>315</v>
      </c>
      <c r="L36" s="14" t="s">
        <v>316</v>
      </c>
      <c r="M36" s="15" t="s">
        <v>317</v>
      </c>
      <c r="N36" s="14" t="s">
        <v>167</v>
      </c>
      <c r="O36" s="15" t="s">
        <v>318</v>
      </c>
      <c r="P36" s="14" t="s">
        <v>167</v>
      </c>
      <c r="Q36" s="15" t="s">
        <v>308</v>
      </c>
      <c r="R36" s="14" t="s">
        <v>319</v>
      </c>
      <c r="S36" s="15" t="s">
        <v>320</v>
      </c>
      <c r="T36" s="16">
        <f>29045.05</f>
        <v>29045.05</v>
      </c>
      <c r="U36" s="17">
        <f>1183511</f>
        <v>1183511</v>
      </c>
      <c r="V36" s="17">
        <v>162520</v>
      </c>
      <c r="W36" s="25">
        <v>24228</v>
      </c>
      <c r="X36" s="17">
        <f>3396551655500</f>
        <v>3396551655500</v>
      </c>
      <c r="Y36" s="17">
        <v>466630962500</v>
      </c>
      <c r="Z36" s="26">
        <v>68762628500</v>
      </c>
      <c r="AA36" s="14" t="s">
        <v>64</v>
      </c>
      <c r="AB36" s="18">
        <f>39420</f>
        <v>39420</v>
      </c>
      <c r="AC36" s="19">
        <f>100</f>
        <v>100</v>
      </c>
    </row>
    <row r="37" spans="1:29">
      <c r="A37" s="11" t="s">
        <v>48</v>
      </c>
      <c r="B37" s="12" t="s">
        <v>260</v>
      </c>
      <c r="C37" s="12" t="s">
        <v>261</v>
      </c>
      <c r="D37" s="24"/>
      <c r="E37" s="12" t="s">
        <v>321</v>
      </c>
      <c r="F37" s="13" t="s">
        <v>322</v>
      </c>
      <c r="G37" s="13" t="s">
        <v>323</v>
      </c>
      <c r="H37" s="14" t="s">
        <v>316</v>
      </c>
      <c r="I37" s="15" t="s">
        <v>324</v>
      </c>
      <c r="J37" s="14" t="s">
        <v>325</v>
      </c>
      <c r="K37" s="15" t="s">
        <v>326</v>
      </c>
      <c r="L37" s="14" t="s">
        <v>327</v>
      </c>
      <c r="M37" s="15" t="s">
        <v>328</v>
      </c>
      <c r="N37" s="14" t="s">
        <v>329</v>
      </c>
      <c r="O37" s="15" t="s">
        <v>330</v>
      </c>
      <c r="P37" s="14" t="s">
        <v>329</v>
      </c>
      <c r="Q37" s="15" t="s">
        <v>331</v>
      </c>
      <c r="R37" s="14" t="s">
        <v>332</v>
      </c>
      <c r="S37" s="15" t="s">
        <v>333</v>
      </c>
      <c r="T37" s="16">
        <f>28590.84</f>
        <v>28590.84</v>
      </c>
      <c r="U37" s="17">
        <f>1427027</f>
        <v>1427027</v>
      </c>
      <c r="V37" s="17">
        <v>250451</v>
      </c>
      <c r="W37" s="25">
        <v>32363</v>
      </c>
      <c r="X37" s="17">
        <f>3981374812122</f>
        <v>3981374812122</v>
      </c>
      <c r="Y37" s="17">
        <v>700348581022</v>
      </c>
      <c r="Z37" s="26">
        <v>90516871600</v>
      </c>
      <c r="AA37" s="14" t="s">
        <v>64</v>
      </c>
      <c r="AB37" s="18">
        <f>98939</f>
        <v>98939</v>
      </c>
      <c r="AC37" s="19">
        <f>83</f>
        <v>83</v>
      </c>
    </row>
    <row r="38" spans="1:29">
      <c r="A38" s="11" t="s">
        <v>48</v>
      </c>
      <c r="B38" s="12" t="s">
        <v>260</v>
      </c>
      <c r="C38" s="12" t="s">
        <v>261</v>
      </c>
      <c r="D38" s="24"/>
      <c r="E38" s="12" t="s">
        <v>76</v>
      </c>
      <c r="F38" s="13" t="s">
        <v>77</v>
      </c>
      <c r="G38" s="13" t="s">
        <v>78</v>
      </c>
      <c r="H38" s="14" t="s">
        <v>54</v>
      </c>
      <c r="I38" s="15" t="s">
        <v>334</v>
      </c>
      <c r="J38" s="14" t="s">
        <v>56</v>
      </c>
      <c r="K38" s="15" t="s">
        <v>335</v>
      </c>
      <c r="L38" s="14" t="s">
        <v>87</v>
      </c>
      <c r="M38" s="15" t="s">
        <v>336</v>
      </c>
      <c r="N38" s="14" t="s">
        <v>59</v>
      </c>
      <c r="O38" s="15" t="s">
        <v>337</v>
      </c>
      <c r="P38" s="14" t="s">
        <v>83</v>
      </c>
      <c r="Q38" s="15" t="s">
        <v>338</v>
      </c>
      <c r="R38" s="14" t="s">
        <v>87</v>
      </c>
      <c r="S38" s="15" t="s">
        <v>339</v>
      </c>
      <c r="T38" s="16">
        <f>28635.27</f>
        <v>28635.27</v>
      </c>
      <c r="U38" s="17">
        <f>49076689</f>
        <v>49076689</v>
      </c>
      <c r="V38" s="17">
        <v>3599154</v>
      </c>
      <c r="W38" s="25">
        <v>199012</v>
      </c>
      <c r="X38" s="17">
        <f>138617014665056</f>
        <v>138617014665056</v>
      </c>
      <c r="Y38" s="17">
        <v>10184343294756</v>
      </c>
      <c r="Z38" s="26">
        <v>577466804800</v>
      </c>
      <c r="AA38" s="14" t="s">
        <v>64</v>
      </c>
      <c r="AB38" s="18">
        <f>215526</f>
        <v>215526</v>
      </c>
      <c r="AC38" s="19">
        <f>169</f>
        <v>169</v>
      </c>
    </row>
    <row r="39" spans="1:29">
      <c r="A39" s="11" t="s">
        <v>48</v>
      </c>
      <c r="B39" s="12" t="s">
        <v>260</v>
      </c>
      <c r="C39" s="12" t="s">
        <v>261</v>
      </c>
      <c r="D39" s="24"/>
      <c r="E39" s="12" t="s">
        <v>340</v>
      </c>
      <c r="F39" s="13" t="s">
        <v>341</v>
      </c>
      <c r="G39" s="13" t="s">
        <v>342</v>
      </c>
      <c r="H39" s="14" t="s">
        <v>167</v>
      </c>
      <c r="I39" s="15" t="s">
        <v>343</v>
      </c>
      <c r="J39" s="14" t="s">
        <v>344</v>
      </c>
      <c r="K39" s="15" t="s">
        <v>345</v>
      </c>
      <c r="L39" s="14" t="s">
        <v>94</v>
      </c>
      <c r="M39" s="15" t="s">
        <v>346</v>
      </c>
      <c r="N39" s="14" t="s">
        <v>83</v>
      </c>
      <c r="O39" s="15" t="s">
        <v>347</v>
      </c>
      <c r="P39" s="14" t="s">
        <v>83</v>
      </c>
      <c r="Q39" s="15" t="s">
        <v>348</v>
      </c>
      <c r="R39" s="14" t="s">
        <v>110</v>
      </c>
      <c r="S39" s="15" t="s">
        <v>80</v>
      </c>
      <c r="T39" s="16">
        <f>28410.1</f>
        <v>28410.1</v>
      </c>
      <c r="U39" s="17">
        <f>2123701</f>
        <v>2123701</v>
      </c>
      <c r="V39" s="17">
        <v>509961</v>
      </c>
      <c r="W39" s="25">
        <v>31294</v>
      </c>
      <c r="X39" s="17">
        <f>6146267542235</f>
        <v>6146267542235</v>
      </c>
      <c r="Y39" s="17">
        <v>1461819695435</v>
      </c>
      <c r="Z39" s="26">
        <v>87009395800</v>
      </c>
      <c r="AA39" s="14" t="s">
        <v>64</v>
      </c>
      <c r="AB39" s="18">
        <f>181015</f>
        <v>181015</v>
      </c>
      <c r="AC39" s="19">
        <f>100</f>
        <v>100</v>
      </c>
    </row>
    <row r="40" spans="1:29">
      <c r="A40" s="11" t="s">
        <v>48</v>
      </c>
      <c r="B40" s="12" t="s">
        <v>260</v>
      </c>
      <c r="C40" s="12" t="s">
        <v>261</v>
      </c>
      <c r="D40" s="24"/>
      <c r="E40" s="12" t="s">
        <v>349</v>
      </c>
      <c r="F40" s="13" t="s">
        <v>350</v>
      </c>
      <c r="G40" s="13" t="s">
        <v>351</v>
      </c>
      <c r="H40" s="14" t="s">
        <v>352</v>
      </c>
      <c r="I40" s="15" t="s">
        <v>353</v>
      </c>
      <c r="J40" s="14" t="s">
        <v>94</v>
      </c>
      <c r="K40" s="15" t="s">
        <v>354</v>
      </c>
      <c r="L40" s="14" t="s">
        <v>94</v>
      </c>
      <c r="M40" s="15" t="s">
        <v>355</v>
      </c>
      <c r="N40" s="14" t="s">
        <v>83</v>
      </c>
      <c r="O40" s="15" t="s">
        <v>356</v>
      </c>
      <c r="P40" s="14" t="s">
        <v>83</v>
      </c>
      <c r="Q40" s="15" t="s">
        <v>357</v>
      </c>
      <c r="R40" s="14" t="s">
        <v>358</v>
      </c>
      <c r="S40" s="15" t="s">
        <v>359</v>
      </c>
      <c r="T40" s="16">
        <f>28524.52</f>
        <v>28524.52</v>
      </c>
      <c r="U40" s="17">
        <f>1159263</f>
        <v>1159263</v>
      </c>
      <c r="V40" s="17">
        <v>222471</v>
      </c>
      <c r="W40" s="25">
        <v>28645</v>
      </c>
      <c r="X40" s="17">
        <f>3351783351230</f>
        <v>3351783351230</v>
      </c>
      <c r="Y40" s="17">
        <v>646672857730</v>
      </c>
      <c r="Z40" s="26">
        <v>83853665500</v>
      </c>
      <c r="AA40" s="14" t="s">
        <v>64</v>
      </c>
      <c r="AB40" s="18">
        <f>81496</f>
        <v>81496</v>
      </c>
      <c r="AC40" s="19">
        <f>84</f>
        <v>84</v>
      </c>
    </row>
    <row r="41" spans="1:29">
      <c r="A41" s="11" t="s">
        <v>48</v>
      </c>
      <c r="B41" s="12" t="s">
        <v>260</v>
      </c>
      <c r="C41" s="12" t="s">
        <v>261</v>
      </c>
      <c r="D41" s="24"/>
      <c r="E41" s="12" t="s">
        <v>89</v>
      </c>
      <c r="F41" s="13" t="s">
        <v>90</v>
      </c>
      <c r="G41" s="13" t="s">
        <v>91</v>
      </c>
      <c r="H41" s="14" t="s">
        <v>54</v>
      </c>
      <c r="I41" s="15" t="s">
        <v>360</v>
      </c>
      <c r="J41" s="14" t="s">
        <v>94</v>
      </c>
      <c r="K41" s="15" t="s">
        <v>95</v>
      </c>
      <c r="L41" s="14" t="s">
        <v>94</v>
      </c>
      <c r="M41" s="15" t="s">
        <v>361</v>
      </c>
      <c r="N41" s="14" t="s">
        <v>59</v>
      </c>
      <c r="O41" s="15" t="s">
        <v>362</v>
      </c>
      <c r="P41" s="14" t="s">
        <v>83</v>
      </c>
      <c r="Q41" s="15" t="s">
        <v>363</v>
      </c>
      <c r="R41" s="14" t="s">
        <v>101</v>
      </c>
      <c r="S41" s="15" t="s">
        <v>364</v>
      </c>
      <c r="T41" s="16">
        <f>28615.74</f>
        <v>28615.74</v>
      </c>
      <c r="U41" s="17">
        <f>56872386</f>
        <v>56872386</v>
      </c>
      <c r="V41" s="17">
        <v>4009697</v>
      </c>
      <c r="W41" s="25">
        <v>232188</v>
      </c>
      <c r="X41" s="17">
        <f>164630543230378</f>
        <v>164630543230378</v>
      </c>
      <c r="Y41" s="17">
        <v>11613199686078</v>
      </c>
      <c r="Z41" s="26">
        <v>669000209300</v>
      </c>
      <c r="AA41" s="14" t="s">
        <v>64</v>
      </c>
      <c r="AB41" s="18">
        <f>247756</f>
        <v>247756</v>
      </c>
      <c r="AC41" s="19">
        <f>230</f>
        <v>230</v>
      </c>
    </row>
    <row r="42" spans="1:29">
      <c r="A42" s="11" t="s">
        <v>48</v>
      </c>
      <c r="B42" s="12" t="s">
        <v>260</v>
      </c>
      <c r="C42" s="12" t="s">
        <v>261</v>
      </c>
      <c r="D42" s="24"/>
      <c r="E42" s="12" t="s">
        <v>365</v>
      </c>
      <c r="F42" s="13" t="s">
        <v>366</v>
      </c>
      <c r="G42" s="13" t="s">
        <v>367</v>
      </c>
      <c r="H42" s="14" t="s">
        <v>368</v>
      </c>
      <c r="I42" s="15" t="s">
        <v>369</v>
      </c>
      <c r="J42" s="14" t="s">
        <v>94</v>
      </c>
      <c r="K42" s="15" t="s">
        <v>370</v>
      </c>
      <c r="L42" s="14" t="s">
        <v>371</v>
      </c>
      <c r="M42" s="15" t="s">
        <v>372</v>
      </c>
      <c r="N42" s="14" t="s">
        <v>131</v>
      </c>
      <c r="O42" s="15" t="s">
        <v>373</v>
      </c>
      <c r="P42" s="14" t="s">
        <v>224</v>
      </c>
      <c r="Q42" s="15" t="s">
        <v>374</v>
      </c>
      <c r="R42" s="14" t="s">
        <v>112</v>
      </c>
      <c r="S42" s="15" t="s">
        <v>375</v>
      </c>
      <c r="T42" s="16">
        <f>28770.63</f>
        <v>28770.63</v>
      </c>
      <c r="U42" s="17">
        <f>1158944</f>
        <v>1158944</v>
      </c>
      <c r="V42" s="17">
        <v>185260</v>
      </c>
      <c r="W42" s="25">
        <v>4</v>
      </c>
      <c r="X42" s="17">
        <f>3314119608200</f>
        <v>3314119608200</v>
      </c>
      <c r="Y42" s="17">
        <v>531611014200</v>
      </c>
      <c r="Z42" s="26">
        <v>11736000</v>
      </c>
      <c r="AA42" s="14"/>
      <c r="AB42" s="18">
        <f>55038</f>
        <v>55038</v>
      </c>
      <c r="AC42" s="19">
        <f>96</f>
        <v>96</v>
      </c>
    </row>
    <row r="43" spans="1:29">
      <c r="A43" s="11" t="s">
        <v>48</v>
      </c>
      <c r="B43" s="12" t="s">
        <v>260</v>
      </c>
      <c r="C43" s="12" t="s">
        <v>261</v>
      </c>
      <c r="D43" s="24"/>
      <c r="E43" s="12" t="s">
        <v>376</v>
      </c>
      <c r="F43" s="13" t="s">
        <v>377</v>
      </c>
      <c r="G43" s="13" t="s">
        <v>378</v>
      </c>
      <c r="H43" s="14" t="s">
        <v>379</v>
      </c>
      <c r="I43" s="15" t="s">
        <v>380</v>
      </c>
      <c r="J43" s="14" t="s">
        <v>371</v>
      </c>
      <c r="K43" s="15" t="s">
        <v>381</v>
      </c>
      <c r="L43" s="14" t="s">
        <v>371</v>
      </c>
      <c r="M43" s="15" t="s">
        <v>382</v>
      </c>
      <c r="N43" s="14" t="s">
        <v>224</v>
      </c>
      <c r="O43" s="15" t="s">
        <v>383</v>
      </c>
      <c r="P43" s="14" t="s">
        <v>224</v>
      </c>
      <c r="Q43" s="15" t="s">
        <v>384</v>
      </c>
      <c r="R43" s="14" t="s">
        <v>112</v>
      </c>
      <c r="S43" s="15" t="s">
        <v>113</v>
      </c>
      <c r="T43" s="16">
        <f>28837.76</f>
        <v>28837.759999999998</v>
      </c>
      <c r="U43" s="17">
        <f>39319</f>
        <v>39319</v>
      </c>
      <c r="V43" s="17">
        <v>4389</v>
      </c>
      <c r="W43" s="25"/>
      <c r="X43" s="17">
        <f>112278744100</f>
        <v>112278744100</v>
      </c>
      <c r="Y43" s="17">
        <v>12492150600</v>
      </c>
      <c r="Z43" s="26"/>
      <c r="AA43" s="14"/>
      <c r="AB43" s="18">
        <f>1076</f>
        <v>1076</v>
      </c>
      <c r="AC43" s="19">
        <f>58</f>
        <v>58</v>
      </c>
    </row>
    <row r="44" spans="1:29">
      <c r="A44" s="11" t="s">
        <v>48</v>
      </c>
      <c r="B44" s="12" t="s">
        <v>260</v>
      </c>
      <c r="C44" s="12" t="s">
        <v>261</v>
      </c>
      <c r="D44" s="24"/>
      <c r="E44" s="12" t="s">
        <v>103</v>
      </c>
      <c r="F44" s="13" t="s">
        <v>104</v>
      </c>
      <c r="G44" s="13" t="s">
        <v>105</v>
      </c>
      <c r="H44" s="14" t="s">
        <v>54</v>
      </c>
      <c r="I44" s="15" t="s">
        <v>385</v>
      </c>
      <c r="J44" s="14" t="s">
        <v>94</v>
      </c>
      <c r="K44" s="15" t="s">
        <v>386</v>
      </c>
      <c r="L44" s="14" t="s">
        <v>371</v>
      </c>
      <c r="M44" s="15" t="s">
        <v>387</v>
      </c>
      <c r="N44" s="14" t="s">
        <v>59</v>
      </c>
      <c r="O44" s="15" t="s">
        <v>181</v>
      </c>
      <c r="P44" s="14" t="s">
        <v>224</v>
      </c>
      <c r="Q44" s="15" t="s">
        <v>388</v>
      </c>
      <c r="R44" s="14" t="s">
        <v>112</v>
      </c>
      <c r="S44" s="15" t="s">
        <v>113</v>
      </c>
      <c r="T44" s="16">
        <f>28554.69</f>
        <v>28554.69</v>
      </c>
      <c r="U44" s="17">
        <f>12393119</f>
        <v>12393119</v>
      </c>
      <c r="V44" s="17">
        <v>776644</v>
      </c>
      <c r="W44" s="25">
        <v>106279</v>
      </c>
      <c r="X44" s="17">
        <f>35397538491838</f>
        <v>35397538491838</v>
      </c>
      <c r="Y44" s="17">
        <v>2216167306538</v>
      </c>
      <c r="Z44" s="26">
        <v>301873261800</v>
      </c>
      <c r="AA44" s="14"/>
      <c r="AB44" s="18">
        <f>263848</f>
        <v>263848</v>
      </c>
      <c r="AC44" s="19">
        <f>245</f>
        <v>245</v>
      </c>
    </row>
    <row r="45" spans="1:29">
      <c r="A45" s="11" t="s">
        <v>48</v>
      </c>
      <c r="B45" s="12" t="s">
        <v>260</v>
      </c>
      <c r="C45" s="12" t="s">
        <v>261</v>
      </c>
      <c r="D45" s="24"/>
      <c r="E45" s="12" t="s">
        <v>389</v>
      </c>
      <c r="F45" s="13" t="s">
        <v>390</v>
      </c>
      <c r="G45" s="13" t="s">
        <v>391</v>
      </c>
      <c r="H45" s="14" t="s">
        <v>96</v>
      </c>
      <c r="I45" s="15" t="s">
        <v>392</v>
      </c>
      <c r="J45" s="14" t="s">
        <v>371</v>
      </c>
      <c r="K45" s="15" t="s">
        <v>393</v>
      </c>
      <c r="L45" s="14"/>
      <c r="M45" s="15"/>
      <c r="N45" s="14" t="s">
        <v>224</v>
      </c>
      <c r="O45" s="15" t="s">
        <v>394</v>
      </c>
      <c r="P45" s="14"/>
      <c r="Q45" s="15"/>
      <c r="R45" s="14" t="s">
        <v>112</v>
      </c>
      <c r="S45" s="15" t="s">
        <v>395</v>
      </c>
      <c r="T45" s="16">
        <f>28527.35</f>
        <v>28527.35</v>
      </c>
      <c r="U45" s="17">
        <f>1367</f>
        <v>1367</v>
      </c>
      <c r="V45" s="17"/>
      <c r="W45" s="25"/>
      <c r="X45" s="17">
        <f>3868813500</f>
        <v>3868813500</v>
      </c>
      <c r="Y45" s="17"/>
      <c r="Z45" s="26"/>
      <c r="AA45" s="14"/>
      <c r="AB45" s="18">
        <f>220</f>
        <v>220</v>
      </c>
      <c r="AC45" s="19">
        <f>34</f>
        <v>34</v>
      </c>
    </row>
    <row r="46" spans="1:29">
      <c r="A46" s="11" t="s">
        <v>48</v>
      </c>
      <c r="B46" s="12" t="s">
        <v>260</v>
      </c>
      <c r="C46" s="12" t="s">
        <v>261</v>
      </c>
      <c r="D46" s="24"/>
      <c r="E46" s="12" t="s">
        <v>114</v>
      </c>
      <c r="F46" s="13" t="s">
        <v>115</v>
      </c>
      <c r="G46" s="13" t="s">
        <v>116</v>
      </c>
      <c r="H46" s="14" t="s">
        <v>54</v>
      </c>
      <c r="I46" s="15" t="s">
        <v>396</v>
      </c>
      <c r="J46" s="14" t="s">
        <v>94</v>
      </c>
      <c r="K46" s="15" t="s">
        <v>397</v>
      </c>
      <c r="L46" s="14" t="s">
        <v>250</v>
      </c>
      <c r="M46" s="15" t="s">
        <v>398</v>
      </c>
      <c r="N46" s="14" t="s">
        <v>59</v>
      </c>
      <c r="O46" s="15" t="s">
        <v>399</v>
      </c>
      <c r="P46" s="14" t="s">
        <v>250</v>
      </c>
      <c r="Q46" s="15" t="s">
        <v>398</v>
      </c>
      <c r="R46" s="14" t="s">
        <v>112</v>
      </c>
      <c r="S46" s="15" t="s">
        <v>400</v>
      </c>
      <c r="T46" s="16">
        <f>28337.76</f>
        <v>28337.759999999998</v>
      </c>
      <c r="U46" s="17">
        <f>139992</f>
        <v>139992</v>
      </c>
      <c r="V46" s="17">
        <v>452</v>
      </c>
      <c r="W46" s="25">
        <v>432</v>
      </c>
      <c r="X46" s="17">
        <f>396672487500</f>
        <v>396672487500</v>
      </c>
      <c r="Y46" s="17">
        <v>1263927600</v>
      </c>
      <c r="Z46" s="26">
        <v>1236577400</v>
      </c>
      <c r="AA46" s="14"/>
      <c r="AB46" s="18">
        <f>6011</f>
        <v>6011</v>
      </c>
      <c r="AC46" s="19">
        <f>245</f>
        <v>245</v>
      </c>
    </row>
    <row r="47" spans="1:29">
      <c r="A47" s="11" t="s">
        <v>48</v>
      </c>
      <c r="B47" s="12" t="s">
        <v>260</v>
      </c>
      <c r="C47" s="12" t="s">
        <v>261</v>
      </c>
      <c r="D47" s="24"/>
      <c r="E47" s="12" t="s">
        <v>123</v>
      </c>
      <c r="F47" s="13" t="s">
        <v>124</v>
      </c>
      <c r="G47" s="13" t="s">
        <v>125</v>
      </c>
      <c r="H47" s="14" t="s">
        <v>401</v>
      </c>
      <c r="I47" s="15" t="s">
        <v>402</v>
      </c>
      <c r="J47" s="14" t="s">
        <v>94</v>
      </c>
      <c r="K47" s="15" t="s">
        <v>403</v>
      </c>
      <c r="L47" s="14" t="s">
        <v>250</v>
      </c>
      <c r="M47" s="15" t="s">
        <v>404</v>
      </c>
      <c r="N47" s="14" t="s">
        <v>83</v>
      </c>
      <c r="O47" s="15" t="s">
        <v>405</v>
      </c>
      <c r="P47" s="14" t="s">
        <v>250</v>
      </c>
      <c r="Q47" s="15" t="s">
        <v>404</v>
      </c>
      <c r="R47" s="14" t="s">
        <v>112</v>
      </c>
      <c r="S47" s="15" t="s">
        <v>406</v>
      </c>
      <c r="T47" s="16">
        <f>28326.98</f>
        <v>28326.98</v>
      </c>
      <c r="U47" s="17">
        <f>5327</f>
        <v>5327</v>
      </c>
      <c r="V47" s="17">
        <v>34</v>
      </c>
      <c r="W47" s="25"/>
      <c r="X47" s="17">
        <f>15047568000</f>
        <v>15047568000</v>
      </c>
      <c r="Y47" s="17">
        <v>94928000</v>
      </c>
      <c r="Z47" s="26"/>
      <c r="AA47" s="14"/>
      <c r="AB47" s="18">
        <f>378</f>
        <v>378</v>
      </c>
      <c r="AC47" s="19">
        <f>186</f>
        <v>186</v>
      </c>
    </row>
    <row r="48" spans="1:29">
      <c r="A48" s="11" t="s">
        <v>48</v>
      </c>
      <c r="B48" s="12" t="s">
        <v>260</v>
      </c>
      <c r="C48" s="12" t="s">
        <v>261</v>
      </c>
      <c r="D48" s="24"/>
      <c r="E48" s="12" t="s">
        <v>136</v>
      </c>
      <c r="F48" s="13" t="s">
        <v>137</v>
      </c>
      <c r="G48" s="13" t="s">
        <v>138</v>
      </c>
      <c r="H48" s="14" t="s">
        <v>54</v>
      </c>
      <c r="I48" s="15" t="s">
        <v>407</v>
      </c>
      <c r="J48" s="14" t="s">
        <v>94</v>
      </c>
      <c r="K48" s="15" t="s">
        <v>403</v>
      </c>
      <c r="L48" s="14" t="s">
        <v>112</v>
      </c>
      <c r="M48" s="15" t="s">
        <v>408</v>
      </c>
      <c r="N48" s="14" t="s">
        <v>83</v>
      </c>
      <c r="O48" s="15" t="s">
        <v>409</v>
      </c>
      <c r="P48" s="14" t="s">
        <v>250</v>
      </c>
      <c r="Q48" s="15" t="s">
        <v>410</v>
      </c>
      <c r="R48" s="14" t="s">
        <v>112</v>
      </c>
      <c r="S48" s="15" t="s">
        <v>411</v>
      </c>
      <c r="T48" s="16">
        <f>28080.69</f>
        <v>28080.69</v>
      </c>
      <c r="U48" s="17">
        <f>22456</f>
        <v>22456</v>
      </c>
      <c r="V48" s="17">
        <v>619</v>
      </c>
      <c r="W48" s="25"/>
      <c r="X48" s="17">
        <f>63077018600</f>
        <v>63077018600</v>
      </c>
      <c r="Y48" s="17">
        <v>1715737600</v>
      </c>
      <c r="Z48" s="26"/>
      <c r="AA48" s="14"/>
      <c r="AB48" s="18">
        <f>2142</f>
        <v>2142</v>
      </c>
      <c r="AC48" s="19">
        <f>245</f>
        <v>245</v>
      </c>
    </row>
    <row r="49" spans="1:29">
      <c r="A49" s="11" t="s">
        <v>48</v>
      </c>
      <c r="B49" s="12" t="s">
        <v>260</v>
      </c>
      <c r="C49" s="12" t="s">
        <v>261</v>
      </c>
      <c r="D49" s="24"/>
      <c r="E49" s="12" t="s">
        <v>148</v>
      </c>
      <c r="F49" s="13" t="s">
        <v>149</v>
      </c>
      <c r="G49" s="13" t="s">
        <v>150</v>
      </c>
      <c r="H49" s="14" t="s">
        <v>128</v>
      </c>
      <c r="I49" s="15" t="s">
        <v>412</v>
      </c>
      <c r="J49" s="14" t="s">
        <v>94</v>
      </c>
      <c r="K49" s="15" t="s">
        <v>413</v>
      </c>
      <c r="L49" s="14" t="s">
        <v>250</v>
      </c>
      <c r="M49" s="15" t="s">
        <v>414</v>
      </c>
      <c r="N49" s="14" t="s">
        <v>110</v>
      </c>
      <c r="O49" s="15" t="s">
        <v>415</v>
      </c>
      <c r="P49" s="14" t="s">
        <v>250</v>
      </c>
      <c r="Q49" s="15" t="s">
        <v>414</v>
      </c>
      <c r="R49" s="14" t="s">
        <v>112</v>
      </c>
      <c r="S49" s="15" t="s">
        <v>416</v>
      </c>
      <c r="T49" s="16">
        <f>28393.82</f>
        <v>28393.82</v>
      </c>
      <c r="U49" s="17">
        <f>990</f>
        <v>990</v>
      </c>
      <c r="V49" s="17">
        <v>1</v>
      </c>
      <c r="W49" s="25"/>
      <c r="X49" s="17">
        <f>2788040500</f>
        <v>2788040500</v>
      </c>
      <c r="Y49" s="17">
        <v>2765500</v>
      </c>
      <c r="Z49" s="26"/>
      <c r="AA49" s="14"/>
      <c r="AB49" s="18">
        <f>155</f>
        <v>155</v>
      </c>
      <c r="AC49" s="19">
        <f>74</f>
        <v>74</v>
      </c>
    </row>
    <row r="50" spans="1:29">
      <c r="A50" s="11" t="s">
        <v>48</v>
      </c>
      <c r="B50" s="12" t="s">
        <v>260</v>
      </c>
      <c r="C50" s="12" t="s">
        <v>261</v>
      </c>
      <c r="D50" s="24"/>
      <c r="E50" s="12" t="s">
        <v>159</v>
      </c>
      <c r="F50" s="13" t="s">
        <v>160</v>
      </c>
      <c r="G50" s="13" t="s">
        <v>161</v>
      </c>
      <c r="H50" s="14" t="s">
        <v>54</v>
      </c>
      <c r="I50" s="15" t="s">
        <v>417</v>
      </c>
      <c r="J50" s="14" t="s">
        <v>94</v>
      </c>
      <c r="K50" s="15" t="s">
        <v>418</v>
      </c>
      <c r="L50" s="14" t="s">
        <v>250</v>
      </c>
      <c r="M50" s="15" t="s">
        <v>419</v>
      </c>
      <c r="N50" s="14" t="s">
        <v>59</v>
      </c>
      <c r="O50" s="15" t="s">
        <v>409</v>
      </c>
      <c r="P50" s="14" t="s">
        <v>110</v>
      </c>
      <c r="Q50" s="15" t="s">
        <v>420</v>
      </c>
      <c r="R50" s="14" t="s">
        <v>112</v>
      </c>
      <c r="S50" s="15" t="s">
        <v>421</v>
      </c>
      <c r="T50" s="16">
        <f>27790.94</f>
        <v>27790.94</v>
      </c>
      <c r="U50" s="17">
        <f>1475</f>
        <v>1475</v>
      </c>
      <c r="V50" s="17">
        <v>86</v>
      </c>
      <c r="W50" s="25"/>
      <c r="X50" s="17">
        <f>4098436000</f>
        <v>4098436000</v>
      </c>
      <c r="Y50" s="17">
        <v>235361500</v>
      </c>
      <c r="Z50" s="26"/>
      <c r="AA50" s="14"/>
      <c r="AB50" s="18">
        <f>352</f>
        <v>352</v>
      </c>
      <c r="AC50" s="19">
        <f>169</f>
        <v>169</v>
      </c>
    </row>
    <row r="51" spans="1:29">
      <c r="A51" s="11" t="s">
        <v>48</v>
      </c>
      <c r="B51" s="12" t="s">
        <v>260</v>
      </c>
      <c r="C51" s="12" t="s">
        <v>261</v>
      </c>
      <c r="D51" s="24"/>
      <c r="E51" s="12" t="s">
        <v>172</v>
      </c>
      <c r="F51" s="13" t="s">
        <v>229</v>
      </c>
      <c r="G51" s="13" t="s">
        <v>174</v>
      </c>
      <c r="H51" s="14" t="s">
        <v>54</v>
      </c>
      <c r="I51" s="15" t="s">
        <v>422</v>
      </c>
      <c r="J51" s="14" t="s">
        <v>94</v>
      </c>
      <c r="K51" s="15" t="s">
        <v>423</v>
      </c>
      <c r="L51" s="14" t="s">
        <v>250</v>
      </c>
      <c r="M51" s="15" t="s">
        <v>424</v>
      </c>
      <c r="N51" s="14" t="s">
        <v>98</v>
      </c>
      <c r="O51" s="15" t="s">
        <v>425</v>
      </c>
      <c r="P51" s="14" t="s">
        <v>250</v>
      </c>
      <c r="Q51" s="15" t="s">
        <v>424</v>
      </c>
      <c r="R51" s="14" t="s">
        <v>112</v>
      </c>
      <c r="S51" s="15" t="s">
        <v>223</v>
      </c>
      <c r="T51" s="16">
        <f>27526.33</f>
        <v>27526.33</v>
      </c>
      <c r="U51" s="17">
        <f>1945</f>
        <v>1945</v>
      </c>
      <c r="V51" s="17">
        <v>128</v>
      </c>
      <c r="W51" s="25"/>
      <c r="X51" s="17">
        <f>5349731000</f>
        <v>5349731000</v>
      </c>
      <c r="Y51" s="17">
        <v>347520000</v>
      </c>
      <c r="Z51" s="26"/>
      <c r="AA51" s="14"/>
      <c r="AB51" s="18">
        <f>923</f>
        <v>923</v>
      </c>
      <c r="AC51" s="19">
        <f>201</f>
        <v>201</v>
      </c>
    </row>
    <row r="52" spans="1:29">
      <c r="A52" s="11" t="s">
        <v>48</v>
      </c>
      <c r="B52" s="12" t="s">
        <v>260</v>
      </c>
      <c r="C52" s="12" t="s">
        <v>261</v>
      </c>
      <c r="D52" s="24"/>
      <c r="E52" s="12" t="s">
        <v>185</v>
      </c>
      <c r="F52" s="13" t="s">
        <v>235</v>
      </c>
      <c r="G52" s="13" t="s">
        <v>186</v>
      </c>
      <c r="H52" s="14" t="s">
        <v>92</v>
      </c>
      <c r="I52" s="15" t="s">
        <v>227</v>
      </c>
      <c r="J52" s="14" t="s">
        <v>177</v>
      </c>
      <c r="K52" s="15" t="s">
        <v>426</v>
      </c>
      <c r="L52" s="14" t="s">
        <v>250</v>
      </c>
      <c r="M52" s="15" t="s">
        <v>427</v>
      </c>
      <c r="N52" s="14" t="s">
        <v>83</v>
      </c>
      <c r="O52" s="15" t="s">
        <v>428</v>
      </c>
      <c r="P52" s="14" t="s">
        <v>250</v>
      </c>
      <c r="Q52" s="15" t="s">
        <v>427</v>
      </c>
      <c r="R52" s="14" t="s">
        <v>134</v>
      </c>
      <c r="S52" s="15" t="s">
        <v>303</v>
      </c>
      <c r="T52" s="16">
        <f>27229.96</f>
        <v>27229.96</v>
      </c>
      <c r="U52" s="17">
        <f>255</f>
        <v>255</v>
      </c>
      <c r="V52" s="17">
        <v>37</v>
      </c>
      <c r="W52" s="25"/>
      <c r="X52" s="17">
        <f>694463000</f>
        <v>694463000</v>
      </c>
      <c r="Y52" s="17">
        <v>99271000</v>
      </c>
      <c r="Z52" s="26"/>
      <c r="AA52" s="14"/>
      <c r="AB52" s="18">
        <f>198</f>
        <v>198</v>
      </c>
      <c r="AC52" s="19">
        <f>85</f>
        <v>85</v>
      </c>
    </row>
    <row r="53" spans="1:29">
      <c r="A53" s="11" t="s">
        <v>48</v>
      </c>
      <c r="B53" s="12" t="s">
        <v>260</v>
      </c>
      <c r="C53" s="12" t="s">
        <v>261</v>
      </c>
      <c r="D53" s="24"/>
      <c r="E53" s="12" t="s">
        <v>196</v>
      </c>
      <c r="F53" s="13" t="s">
        <v>238</v>
      </c>
      <c r="G53" s="13" t="s">
        <v>197</v>
      </c>
      <c r="H53" s="14" t="s">
        <v>92</v>
      </c>
      <c r="I53" s="15" t="s">
        <v>429</v>
      </c>
      <c r="J53" s="14" t="s">
        <v>94</v>
      </c>
      <c r="K53" s="15" t="s">
        <v>430</v>
      </c>
      <c r="L53" s="14" t="s">
        <v>250</v>
      </c>
      <c r="M53" s="15" t="s">
        <v>431</v>
      </c>
      <c r="N53" s="14" t="s">
        <v>131</v>
      </c>
      <c r="O53" s="15" t="s">
        <v>432</v>
      </c>
      <c r="P53" s="14" t="s">
        <v>250</v>
      </c>
      <c r="Q53" s="15" t="s">
        <v>431</v>
      </c>
      <c r="R53" s="14" t="s">
        <v>134</v>
      </c>
      <c r="S53" s="15" t="s">
        <v>433</v>
      </c>
      <c r="T53" s="16">
        <f>26967.27</f>
        <v>26967.27</v>
      </c>
      <c r="U53" s="17">
        <f>496</f>
        <v>496</v>
      </c>
      <c r="V53" s="17">
        <v>7</v>
      </c>
      <c r="W53" s="25"/>
      <c r="X53" s="17">
        <f>1336517500</f>
        <v>1336517500</v>
      </c>
      <c r="Y53" s="17">
        <v>18578000</v>
      </c>
      <c r="Z53" s="26"/>
      <c r="AA53" s="14"/>
      <c r="AB53" s="18">
        <f>444</f>
        <v>444</v>
      </c>
      <c r="AC53" s="19">
        <f>149</f>
        <v>149</v>
      </c>
    </row>
    <row r="54" spans="1:29">
      <c r="A54" s="11" t="s">
        <v>48</v>
      </c>
      <c r="B54" s="12" t="s">
        <v>260</v>
      </c>
      <c r="C54" s="12" t="s">
        <v>261</v>
      </c>
      <c r="D54" s="24"/>
      <c r="E54" s="12" t="s">
        <v>205</v>
      </c>
      <c r="F54" s="13" t="s">
        <v>241</v>
      </c>
      <c r="G54" s="13" t="s">
        <v>206</v>
      </c>
      <c r="H54" s="14" t="s">
        <v>92</v>
      </c>
      <c r="I54" s="15" t="s">
        <v>434</v>
      </c>
      <c r="J54" s="14" t="s">
        <v>94</v>
      </c>
      <c r="K54" s="15" t="s">
        <v>435</v>
      </c>
      <c r="L54" s="14" t="s">
        <v>250</v>
      </c>
      <c r="M54" s="15" t="s">
        <v>436</v>
      </c>
      <c r="N54" s="14" t="s">
        <v>437</v>
      </c>
      <c r="O54" s="15" t="s">
        <v>438</v>
      </c>
      <c r="P54" s="14" t="s">
        <v>250</v>
      </c>
      <c r="Q54" s="15" t="s">
        <v>436</v>
      </c>
      <c r="R54" s="14" t="s">
        <v>439</v>
      </c>
      <c r="S54" s="15" t="s">
        <v>356</v>
      </c>
      <c r="T54" s="16">
        <f>27121.02</f>
        <v>27121.02</v>
      </c>
      <c r="U54" s="17">
        <f>430</f>
        <v>430</v>
      </c>
      <c r="V54" s="17">
        <v>175</v>
      </c>
      <c r="W54" s="25"/>
      <c r="X54" s="17">
        <f>1141049000</f>
        <v>1141049000</v>
      </c>
      <c r="Y54" s="17">
        <v>459025000</v>
      </c>
      <c r="Z54" s="26"/>
      <c r="AA54" s="14"/>
      <c r="AB54" s="18">
        <f>270</f>
        <v>270</v>
      </c>
      <c r="AC54" s="19">
        <f>99</f>
        <v>99</v>
      </c>
    </row>
    <row r="55" spans="1:29">
      <c r="A55" s="11" t="s">
        <v>48</v>
      </c>
      <c r="B55" s="12" t="s">
        <v>260</v>
      </c>
      <c r="C55" s="12" t="s">
        <v>261</v>
      </c>
      <c r="D55" s="24"/>
      <c r="E55" s="12" t="s">
        <v>209</v>
      </c>
      <c r="F55" s="13" t="s">
        <v>244</v>
      </c>
      <c r="G55" s="13" t="s">
        <v>210</v>
      </c>
      <c r="H55" s="14" t="s">
        <v>54</v>
      </c>
      <c r="I55" s="15" t="s">
        <v>440</v>
      </c>
      <c r="J55" s="14" t="s">
        <v>94</v>
      </c>
      <c r="K55" s="15" t="s">
        <v>441</v>
      </c>
      <c r="L55" s="14" t="s">
        <v>250</v>
      </c>
      <c r="M55" s="15" t="s">
        <v>442</v>
      </c>
      <c r="N55" s="14" t="s">
        <v>131</v>
      </c>
      <c r="O55" s="15" t="s">
        <v>443</v>
      </c>
      <c r="P55" s="14" t="s">
        <v>250</v>
      </c>
      <c r="Q55" s="15" t="s">
        <v>442</v>
      </c>
      <c r="R55" s="14" t="s">
        <v>112</v>
      </c>
      <c r="S55" s="15" t="s">
        <v>444</v>
      </c>
      <c r="T55" s="16">
        <f>26414.61</f>
        <v>26414.61</v>
      </c>
      <c r="U55" s="17">
        <f>664</f>
        <v>664</v>
      </c>
      <c r="V55" s="17">
        <v>69</v>
      </c>
      <c r="W55" s="25"/>
      <c r="X55" s="17">
        <f>1757175000</f>
        <v>1757175000</v>
      </c>
      <c r="Y55" s="17">
        <v>179089500</v>
      </c>
      <c r="Z55" s="26"/>
      <c r="AA55" s="14"/>
      <c r="AB55" s="18">
        <f>182</f>
        <v>182</v>
      </c>
      <c r="AC55" s="19">
        <f>150</f>
        <v>150</v>
      </c>
    </row>
    <row r="56" spans="1:29">
      <c r="A56" s="11" t="s">
        <v>48</v>
      </c>
      <c r="B56" s="12" t="s">
        <v>260</v>
      </c>
      <c r="C56" s="12" t="s">
        <v>261</v>
      </c>
      <c r="D56" s="24"/>
      <c r="E56" s="12" t="s">
        <v>220</v>
      </c>
      <c r="F56" s="13" t="s">
        <v>255</v>
      </c>
      <c r="G56" s="13" t="s">
        <v>221</v>
      </c>
      <c r="H56" s="14" t="s">
        <v>445</v>
      </c>
      <c r="I56" s="15" t="s">
        <v>99</v>
      </c>
      <c r="J56" s="14" t="s">
        <v>118</v>
      </c>
      <c r="K56" s="15" t="s">
        <v>446</v>
      </c>
      <c r="L56" s="14" t="s">
        <v>250</v>
      </c>
      <c r="M56" s="15" t="s">
        <v>447</v>
      </c>
      <c r="N56" s="14" t="s">
        <v>83</v>
      </c>
      <c r="O56" s="15" t="s">
        <v>448</v>
      </c>
      <c r="P56" s="14" t="s">
        <v>250</v>
      </c>
      <c r="Q56" s="15" t="s">
        <v>447</v>
      </c>
      <c r="R56" s="14" t="s">
        <v>134</v>
      </c>
      <c r="S56" s="15" t="s">
        <v>249</v>
      </c>
      <c r="T56" s="16">
        <f>26025.22</f>
        <v>26025.22</v>
      </c>
      <c r="U56" s="17">
        <f>364</f>
        <v>364</v>
      </c>
      <c r="V56" s="17">
        <v>18</v>
      </c>
      <c r="W56" s="25"/>
      <c r="X56" s="17">
        <f>946005000</f>
        <v>946005000</v>
      </c>
      <c r="Y56" s="17">
        <v>46179000</v>
      </c>
      <c r="Z56" s="26"/>
      <c r="AA56" s="14"/>
      <c r="AB56" s="18">
        <f>168</f>
        <v>168</v>
      </c>
      <c r="AC56" s="19">
        <f>78</f>
        <v>78</v>
      </c>
    </row>
    <row r="57" spans="1:29">
      <c r="A57" s="11" t="s">
        <v>48</v>
      </c>
      <c r="B57" s="12" t="s">
        <v>260</v>
      </c>
      <c r="C57" s="12" t="s">
        <v>261</v>
      </c>
      <c r="D57" s="24"/>
      <c r="E57" s="12" t="s">
        <v>228</v>
      </c>
      <c r="F57" s="13" t="s">
        <v>258</v>
      </c>
      <c r="G57" s="13" t="s">
        <v>230</v>
      </c>
      <c r="H57" s="14" t="s">
        <v>153</v>
      </c>
      <c r="I57" s="15" t="s">
        <v>449</v>
      </c>
      <c r="J57" s="14" t="s">
        <v>153</v>
      </c>
      <c r="K57" s="15" t="s">
        <v>449</v>
      </c>
      <c r="L57" s="14"/>
      <c r="M57" s="15"/>
      <c r="N57" s="14" t="s">
        <v>157</v>
      </c>
      <c r="O57" s="15" t="s">
        <v>450</v>
      </c>
      <c r="P57" s="14"/>
      <c r="Q57" s="15"/>
      <c r="R57" s="14" t="s">
        <v>134</v>
      </c>
      <c r="S57" s="15" t="s">
        <v>451</v>
      </c>
      <c r="T57" s="16">
        <f>25708.67</f>
        <v>25708.67</v>
      </c>
      <c r="U57" s="17">
        <f>17</f>
        <v>17</v>
      </c>
      <c r="V57" s="17"/>
      <c r="W57" s="25"/>
      <c r="X57" s="17">
        <f>43687500</f>
        <v>43687500</v>
      </c>
      <c r="Y57" s="17"/>
      <c r="Z57" s="26"/>
      <c r="AA57" s="14"/>
      <c r="AB57" s="18">
        <f>8</f>
        <v>8</v>
      </c>
      <c r="AC57" s="19">
        <f>7</f>
        <v>7</v>
      </c>
    </row>
    <row r="58" spans="1:29">
      <c r="A58" s="11" t="s">
        <v>48</v>
      </c>
      <c r="B58" s="12" t="s">
        <v>452</v>
      </c>
      <c r="C58" s="12" t="s">
        <v>453</v>
      </c>
      <c r="D58" s="24"/>
      <c r="E58" s="12" t="s">
        <v>51</v>
      </c>
      <c r="F58" s="13" t="s">
        <v>238</v>
      </c>
      <c r="G58" s="13" t="s">
        <v>53</v>
      </c>
      <c r="H58" s="14" t="s">
        <v>54</v>
      </c>
      <c r="I58" s="15" t="s">
        <v>454</v>
      </c>
      <c r="J58" s="14" t="s">
        <v>56</v>
      </c>
      <c r="K58" s="15" t="s">
        <v>455</v>
      </c>
      <c r="L58" s="14" t="s">
        <v>56</v>
      </c>
      <c r="M58" s="15" t="s">
        <v>456</v>
      </c>
      <c r="N58" s="14" t="s">
        <v>54</v>
      </c>
      <c r="O58" s="15" t="s">
        <v>457</v>
      </c>
      <c r="P58" s="14" t="s">
        <v>92</v>
      </c>
      <c r="Q58" s="15" t="s">
        <v>458</v>
      </c>
      <c r="R58" s="14" t="s">
        <v>62</v>
      </c>
      <c r="S58" s="15" t="s">
        <v>459</v>
      </c>
      <c r="T58" s="16">
        <f>1881.77</f>
        <v>1881.77</v>
      </c>
      <c r="U58" s="17">
        <f>4025313</f>
        <v>4025313</v>
      </c>
      <c r="V58" s="17">
        <v>812200</v>
      </c>
      <c r="W58" s="25">
        <v>483941</v>
      </c>
      <c r="X58" s="17">
        <f>75925791963466</f>
        <v>75925791963466</v>
      </c>
      <c r="Y58" s="17">
        <v>15424672153466</v>
      </c>
      <c r="Z58" s="26">
        <v>9242473785000</v>
      </c>
      <c r="AA58" s="14" t="s">
        <v>64</v>
      </c>
      <c r="AB58" s="18">
        <f>83742</f>
        <v>83742</v>
      </c>
      <c r="AC58" s="19">
        <f>46</f>
        <v>46</v>
      </c>
    </row>
    <row r="59" spans="1:29">
      <c r="A59" s="11" t="s">
        <v>48</v>
      </c>
      <c r="B59" s="12" t="s">
        <v>452</v>
      </c>
      <c r="C59" s="12" t="s">
        <v>453</v>
      </c>
      <c r="D59" s="24"/>
      <c r="E59" s="12" t="s">
        <v>65</v>
      </c>
      <c r="F59" s="13" t="s">
        <v>77</v>
      </c>
      <c r="G59" s="13" t="s">
        <v>67</v>
      </c>
      <c r="H59" s="14" t="s">
        <v>54</v>
      </c>
      <c r="I59" s="15" t="s">
        <v>460</v>
      </c>
      <c r="J59" s="14" t="s">
        <v>461</v>
      </c>
      <c r="K59" s="15" t="s">
        <v>462</v>
      </c>
      <c r="L59" s="14" t="s">
        <v>461</v>
      </c>
      <c r="M59" s="15" t="s">
        <v>463</v>
      </c>
      <c r="N59" s="14" t="s">
        <v>54</v>
      </c>
      <c r="O59" s="15" t="s">
        <v>460</v>
      </c>
      <c r="P59" s="14" t="s">
        <v>167</v>
      </c>
      <c r="Q59" s="15" t="s">
        <v>464</v>
      </c>
      <c r="R59" s="14" t="s">
        <v>74</v>
      </c>
      <c r="S59" s="15" t="s">
        <v>465</v>
      </c>
      <c r="T59" s="16">
        <f>1906.03</f>
        <v>1906.03</v>
      </c>
      <c r="U59" s="17">
        <f>6194806</f>
        <v>6194806</v>
      </c>
      <c r="V59" s="17">
        <v>1549382</v>
      </c>
      <c r="W59" s="25">
        <v>1000262</v>
      </c>
      <c r="X59" s="17">
        <f>119811462859247</f>
        <v>119811462859247</v>
      </c>
      <c r="Y59" s="17">
        <v>29966857126247</v>
      </c>
      <c r="Z59" s="26">
        <v>19282189718000</v>
      </c>
      <c r="AA59" s="14" t="s">
        <v>64</v>
      </c>
      <c r="AB59" s="18">
        <f>101432</f>
        <v>101432</v>
      </c>
      <c r="AC59" s="19">
        <f>87</f>
        <v>87</v>
      </c>
    </row>
    <row r="60" spans="1:29">
      <c r="A60" s="11" t="s">
        <v>48</v>
      </c>
      <c r="B60" s="12" t="s">
        <v>452</v>
      </c>
      <c r="C60" s="12" t="s">
        <v>453</v>
      </c>
      <c r="D60" s="24"/>
      <c r="E60" s="12" t="s">
        <v>76</v>
      </c>
      <c r="F60" s="13" t="s">
        <v>241</v>
      </c>
      <c r="G60" s="13" t="s">
        <v>78</v>
      </c>
      <c r="H60" s="14" t="s">
        <v>461</v>
      </c>
      <c r="I60" s="15" t="s">
        <v>466</v>
      </c>
      <c r="J60" s="14" t="s">
        <v>467</v>
      </c>
      <c r="K60" s="15" t="s">
        <v>468</v>
      </c>
      <c r="L60" s="14" t="s">
        <v>467</v>
      </c>
      <c r="M60" s="15" t="s">
        <v>469</v>
      </c>
      <c r="N60" s="14" t="s">
        <v>167</v>
      </c>
      <c r="O60" s="15" t="s">
        <v>470</v>
      </c>
      <c r="P60" s="14" t="s">
        <v>190</v>
      </c>
      <c r="Q60" s="15" t="s">
        <v>471</v>
      </c>
      <c r="R60" s="14" t="s">
        <v>87</v>
      </c>
      <c r="S60" s="15" t="s">
        <v>472</v>
      </c>
      <c r="T60" s="16">
        <f>1920.07</f>
        <v>1920.07</v>
      </c>
      <c r="U60" s="17">
        <f>5280592</f>
        <v>5280592</v>
      </c>
      <c r="V60" s="17">
        <v>1237731</v>
      </c>
      <c r="W60" s="25">
        <v>981610</v>
      </c>
      <c r="X60" s="17">
        <f>103758833361756</f>
        <v>103758833361756</v>
      </c>
      <c r="Y60" s="17">
        <v>24604630476656</v>
      </c>
      <c r="Z60" s="26">
        <v>19652592245000</v>
      </c>
      <c r="AA60" s="14" t="s">
        <v>64</v>
      </c>
      <c r="AB60" s="18">
        <f>69882</f>
        <v>69882</v>
      </c>
      <c r="AC60" s="19">
        <f>92</f>
        <v>92</v>
      </c>
    </row>
    <row r="61" spans="1:29">
      <c r="A61" s="11" t="s">
        <v>48</v>
      </c>
      <c r="B61" s="12" t="s">
        <v>452</v>
      </c>
      <c r="C61" s="12" t="s">
        <v>453</v>
      </c>
      <c r="D61" s="24"/>
      <c r="E61" s="12" t="s">
        <v>89</v>
      </c>
      <c r="F61" s="13" t="s">
        <v>104</v>
      </c>
      <c r="G61" s="13" t="s">
        <v>91</v>
      </c>
      <c r="H61" s="14" t="s">
        <v>473</v>
      </c>
      <c r="I61" s="15" t="s">
        <v>474</v>
      </c>
      <c r="J61" s="14" t="s">
        <v>94</v>
      </c>
      <c r="K61" s="15" t="s">
        <v>475</v>
      </c>
      <c r="L61" s="14" t="s">
        <v>94</v>
      </c>
      <c r="M61" s="15" t="s">
        <v>476</v>
      </c>
      <c r="N61" s="14" t="s">
        <v>83</v>
      </c>
      <c r="O61" s="15" t="s">
        <v>477</v>
      </c>
      <c r="P61" s="14" t="s">
        <v>131</v>
      </c>
      <c r="Q61" s="15" t="s">
        <v>478</v>
      </c>
      <c r="R61" s="14" t="s">
        <v>101</v>
      </c>
      <c r="S61" s="15" t="s">
        <v>479</v>
      </c>
      <c r="T61" s="16">
        <f>1934.93</f>
        <v>1934.93</v>
      </c>
      <c r="U61" s="17">
        <f>6108287</f>
        <v>6108287</v>
      </c>
      <c r="V61" s="17">
        <v>1495213</v>
      </c>
      <c r="W61" s="25">
        <v>852042</v>
      </c>
      <c r="X61" s="17">
        <f>122818564439708</f>
        <v>122818564439708</v>
      </c>
      <c r="Y61" s="17">
        <v>30062415076708</v>
      </c>
      <c r="Z61" s="26">
        <v>17093661003000</v>
      </c>
      <c r="AA61" s="14" t="s">
        <v>64</v>
      </c>
      <c r="AB61" s="18">
        <f>82119</f>
        <v>82119</v>
      </c>
      <c r="AC61" s="19">
        <f>93</f>
        <v>93</v>
      </c>
    </row>
    <row r="62" spans="1:29">
      <c r="A62" s="11" t="s">
        <v>48</v>
      </c>
      <c r="B62" s="12" t="s">
        <v>452</v>
      </c>
      <c r="C62" s="12" t="s">
        <v>453</v>
      </c>
      <c r="D62" s="24"/>
      <c r="E62" s="12" t="s">
        <v>103</v>
      </c>
      <c r="F62" s="13" t="s">
        <v>244</v>
      </c>
      <c r="G62" s="13" t="s">
        <v>105</v>
      </c>
      <c r="H62" s="14" t="s">
        <v>480</v>
      </c>
      <c r="I62" s="15" t="s">
        <v>481</v>
      </c>
      <c r="J62" s="14" t="s">
        <v>480</v>
      </c>
      <c r="K62" s="15" t="s">
        <v>481</v>
      </c>
      <c r="L62" s="14" t="s">
        <v>153</v>
      </c>
      <c r="M62" s="15" t="s">
        <v>482</v>
      </c>
      <c r="N62" s="14" t="s">
        <v>224</v>
      </c>
      <c r="O62" s="15" t="s">
        <v>483</v>
      </c>
      <c r="P62" s="14" t="s">
        <v>155</v>
      </c>
      <c r="Q62" s="15" t="s">
        <v>484</v>
      </c>
      <c r="R62" s="14" t="s">
        <v>112</v>
      </c>
      <c r="S62" s="15" t="s">
        <v>485</v>
      </c>
      <c r="T62" s="16">
        <f>1935.49</f>
        <v>1935.49</v>
      </c>
      <c r="U62" s="17">
        <f>1700645</f>
        <v>1700645</v>
      </c>
      <c r="V62" s="17">
        <v>531958</v>
      </c>
      <c r="W62" s="25">
        <v>386753</v>
      </c>
      <c r="X62" s="17">
        <f>33580435153018</f>
        <v>33580435153018</v>
      </c>
      <c r="Y62" s="17">
        <v>10465822512018</v>
      </c>
      <c r="Z62" s="26">
        <v>7617249771000</v>
      </c>
      <c r="AA62" s="14"/>
      <c r="AB62" s="18">
        <f>422998</f>
        <v>422998</v>
      </c>
      <c r="AC62" s="19">
        <f>31</f>
        <v>31</v>
      </c>
    </row>
    <row r="63" spans="1:29">
      <c r="A63" s="11" t="s">
        <v>48</v>
      </c>
      <c r="B63" s="12" t="s">
        <v>452</v>
      </c>
      <c r="C63" s="12" t="s">
        <v>453</v>
      </c>
      <c r="D63" s="24"/>
      <c r="E63" s="12" t="s">
        <v>114</v>
      </c>
      <c r="F63" s="13" t="s">
        <v>124</v>
      </c>
      <c r="G63" s="13" t="s">
        <v>116</v>
      </c>
      <c r="H63" s="14" t="s">
        <v>486</v>
      </c>
      <c r="I63" s="15" t="s">
        <v>487</v>
      </c>
      <c r="J63" s="14" t="s">
        <v>146</v>
      </c>
      <c r="K63" s="15" t="s">
        <v>488</v>
      </c>
      <c r="L63" s="14"/>
      <c r="M63" s="15"/>
      <c r="N63" s="14" t="s">
        <v>489</v>
      </c>
      <c r="O63" s="15" t="s">
        <v>490</v>
      </c>
      <c r="P63" s="14"/>
      <c r="Q63" s="15"/>
      <c r="R63" s="14" t="s">
        <v>146</v>
      </c>
      <c r="S63" s="15" t="s">
        <v>488</v>
      </c>
      <c r="T63" s="16">
        <f>1938.08</f>
        <v>1938.08</v>
      </c>
      <c r="U63" s="17">
        <f>7</f>
        <v>7</v>
      </c>
      <c r="V63" s="17"/>
      <c r="W63" s="25"/>
      <c r="X63" s="17">
        <f>137290000</f>
        <v>137290000</v>
      </c>
      <c r="Y63" s="17"/>
      <c r="Z63" s="26"/>
      <c r="AA63" s="14"/>
      <c r="AB63" s="18">
        <f>6</f>
        <v>6</v>
      </c>
      <c r="AC63" s="19">
        <f>3</f>
        <v>3</v>
      </c>
    </row>
    <row r="64" spans="1:29">
      <c r="A64" s="11" t="s">
        <v>48</v>
      </c>
      <c r="B64" s="12" t="s">
        <v>452</v>
      </c>
      <c r="C64" s="12" t="s">
        <v>453</v>
      </c>
      <c r="D64" s="24"/>
      <c r="E64" s="12" t="s">
        <v>123</v>
      </c>
      <c r="F64" s="13" t="s">
        <v>255</v>
      </c>
      <c r="G64" s="13" t="s">
        <v>125</v>
      </c>
      <c r="H64" s="14" t="s">
        <v>192</v>
      </c>
      <c r="I64" s="15" t="s">
        <v>491</v>
      </c>
      <c r="J64" s="14" t="s">
        <v>329</v>
      </c>
      <c r="K64" s="15" t="s">
        <v>492</v>
      </c>
      <c r="L64" s="14"/>
      <c r="M64" s="15"/>
      <c r="N64" s="14" t="s">
        <v>192</v>
      </c>
      <c r="O64" s="15" t="s">
        <v>491</v>
      </c>
      <c r="P64" s="14"/>
      <c r="Q64" s="15"/>
      <c r="R64" s="14" t="s">
        <v>329</v>
      </c>
      <c r="S64" s="15" t="s">
        <v>492</v>
      </c>
      <c r="T64" s="16">
        <f>1951.24</f>
        <v>1951.24</v>
      </c>
      <c r="U64" s="17">
        <f>2</f>
        <v>2</v>
      </c>
      <c r="V64" s="17"/>
      <c r="W64" s="25"/>
      <c r="X64" s="17">
        <f>36985000</f>
        <v>36985000</v>
      </c>
      <c r="Y64" s="17"/>
      <c r="Z64" s="26"/>
      <c r="AA64" s="14"/>
      <c r="AB64" s="18" t="str">
        <f>"－"</f>
        <v>－</v>
      </c>
      <c r="AC64" s="19">
        <f>2</f>
        <v>2</v>
      </c>
    </row>
    <row r="65" spans="1:29">
      <c r="A65" s="11" t="s">
        <v>48</v>
      </c>
      <c r="B65" s="12" t="s">
        <v>452</v>
      </c>
      <c r="C65" s="12" t="s">
        <v>453</v>
      </c>
      <c r="D65" s="24"/>
      <c r="E65" s="12" t="s">
        <v>136</v>
      </c>
      <c r="F65" s="13" t="s">
        <v>149</v>
      </c>
      <c r="G65" s="13" t="s">
        <v>138</v>
      </c>
      <c r="H65" s="14"/>
      <c r="I65" s="15" t="s">
        <v>207</v>
      </c>
      <c r="J65" s="14"/>
      <c r="K65" s="15" t="s">
        <v>207</v>
      </c>
      <c r="L65" s="14" t="s">
        <v>493</v>
      </c>
      <c r="M65" s="15" t="s">
        <v>494</v>
      </c>
      <c r="N65" s="14"/>
      <c r="O65" s="15" t="s">
        <v>207</v>
      </c>
      <c r="P65" s="14" t="s">
        <v>493</v>
      </c>
      <c r="Q65" s="15" t="s">
        <v>494</v>
      </c>
      <c r="R65" s="14"/>
      <c r="S65" s="15" t="s">
        <v>207</v>
      </c>
      <c r="T65" s="16">
        <f>1968.93</f>
        <v>1968.93</v>
      </c>
      <c r="U65" s="17">
        <f>80</f>
        <v>80</v>
      </c>
      <c r="V65" s="17">
        <v>80</v>
      </c>
      <c r="W65" s="25"/>
      <c r="X65" s="17">
        <f>1607504000</f>
        <v>1607504000</v>
      </c>
      <c r="Y65" s="17">
        <v>1607504000</v>
      </c>
      <c r="Z65" s="26"/>
      <c r="AA65" s="14"/>
      <c r="AB65" s="18" t="str">
        <f>"－"</f>
        <v>－</v>
      </c>
      <c r="AC65" s="19" t="str">
        <f>"－"</f>
        <v>－</v>
      </c>
    </row>
    <row r="66" spans="1:29">
      <c r="A66" s="11" t="s">
        <v>48</v>
      </c>
      <c r="B66" s="12" t="s">
        <v>452</v>
      </c>
      <c r="C66" s="12" t="s">
        <v>453</v>
      </c>
      <c r="D66" s="24"/>
      <c r="E66" s="12" t="s">
        <v>148</v>
      </c>
      <c r="F66" s="13" t="s">
        <v>258</v>
      </c>
      <c r="G66" s="13" t="s">
        <v>150</v>
      </c>
      <c r="H66" s="14"/>
      <c r="I66" s="15" t="s">
        <v>207</v>
      </c>
      <c r="J66" s="14"/>
      <c r="K66" s="15" t="s">
        <v>207</v>
      </c>
      <c r="L66" s="14"/>
      <c r="M66" s="15"/>
      <c r="N66" s="14"/>
      <c r="O66" s="15" t="s">
        <v>207</v>
      </c>
      <c r="P66" s="14"/>
      <c r="Q66" s="15"/>
      <c r="R66" s="14"/>
      <c r="S66" s="15" t="s">
        <v>207</v>
      </c>
      <c r="T66" s="16">
        <f>1940</f>
        <v>1940</v>
      </c>
      <c r="U66" s="17" t="str">
        <f>"－"</f>
        <v>－</v>
      </c>
      <c r="V66" s="17"/>
      <c r="W66" s="25"/>
      <c r="X66" s="17" t="str">
        <f>"－"</f>
        <v>－</v>
      </c>
      <c r="Y66" s="17"/>
      <c r="Z66" s="26"/>
      <c r="AA66" s="14"/>
      <c r="AB66" s="18" t="str">
        <f>"－"</f>
        <v>－</v>
      </c>
      <c r="AC66" s="19" t="str">
        <f>"－"</f>
        <v>－</v>
      </c>
    </row>
    <row r="67" spans="1:29">
      <c r="A67" s="11" t="s">
        <v>48</v>
      </c>
      <c r="B67" s="12" t="s">
        <v>495</v>
      </c>
      <c r="C67" s="12" t="s">
        <v>496</v>
      </c>
      <c r="D67" s="24"/>
      <c r="E67" s="12" t="s">
        <v>51</v>
      </c>
      <c r="F67" s="13" t="s">
        <v>241</v>
      </c>
      <c r="G67" s="13" t="s">
        <v>53</v>
      </c>
      <c r="H67" s="14" t="s">
        <v>54</v>
      </c>
      <c r="I67" s="15" t="s">
        <v>497</v>
      </c>
      <c r="J67" s="14" t="s">
        <v>56</v>
      </c>
      <c r="K67" s="15" t="s">
        <v>498</v>
      </c>
      <c r="L67" s="14" t="s">
        <v>56</v>
      </c>
      <c r="M67" s="15" t="s">
        <v>499</v>
      </c>
      <c r="N67" s="14" t="s">
        <v>54</v>
      </c>
      <c r="O67" s="15" t="s">
        <v>500</v>
      </c>
      <c r="P67" s="14" t="s">
        <v>54</v>
      </c>
      <c r="Q67" s="15" t="s">
        <v>501</v>
      </c>
      <c r="R67" s="14" t="s">
        <v>62</v>
      </c>
      <c r="S67" s="15" t="s">
        <v>502</v>
      </c>
      <c r="T67" s="16">
        <f>1881.77</f>
        <v>1881.77</v>
      </c>
      <c r="U67" s="17">
        <f>1617383</f>
        <v>1617383</v>
      </c>
      <c r="V67" s="17">
        <v>28290</v>
      </c>
      <c r="W67" s="25">
        <v>19569</v>
      </c>
      <c r="X67" s="17">
        <f>3039141501234</f>
        <v>3039141501234</v>
      </c>
      <c r="Y67" s="17">
        <v>53339505284</v>
      </c>
      <c r="Z67" s="26">
        <v>37391899950</v>
      </c>
      <c r="AA67" s="14" t="s">
        <v>64</v>
      </c>
      <c r="AB67" s="18">
        <f>73426</f>
        <v>73426</v>
      </c>
      <c r="AC67" s="19">
        <f>46</f>
        <v>46</v>
      </c>
    </row>
    <row r="68" spans="1:29">
      <c r="A68" s="11" t="s">
        <v>48</v>
      </c>
      <c r="B68" s="12" t="s">
        <v>495</v>
      </c>
      <c r="C68" s="12" t="s">
        <v>496</v>
      </c>
      <c r="D68" s="24"/>
      <c r="E68" s="12" t="s">
        <v>65</v>
      </c>
      <c r="F68" s="13" t="s">
        <v>104</v>
      </c>
      <c r="G68" s="13" t="s">
        <v>67</v>
      </c>
      <c r="H68" s="14" t="s">
        <v>54</v>
      </c>
      <c r="I68" s="15" t="s">
        <v>503</v>
      </c>
      <c r="J68" s="14" t="s">
        <v>461</v>
      </c>
      <c r="K68" s="15" t="s">
        <v>504</v>
      </c>
      <c r="L68" s="14" t="s">
        <v>461</v>
      </c>
      <c r="M68" s="15" t="s">
        <v>505</v>
      </c>
      <c r="N68" s="14" t="s">
        <v>54</v>
      </c>
      <c r="O68" s="15" t="s">
        <v>506</v>
      </c>
      <c r="P68" s="14" t="s">
        <v>167</v>
      </c>
      <c r="Q68" s="15" t="s">
        <v>507</v>
      </c>
      <c r="R68" s="14" t="s">
        <v>74</v>
      </c>
      <c r="S68" s="15" t="s">
        <v>508</v>
      </c>
      <c r="T68" s="16">
        <f>1906.03</f>
        <v>1906.03</v>
      </c>
      <c r="U68" s="17">
        <f>2289254</f>
        <v>2289254</v>
      </c>
      <c r="V68" s="17">
        <v>62229</v>
      </c>
      <c r="W68" s="25">
        <v>41302</v>
      </c>
      <c r="X68" s="17">
        <f>4432249298559</f>
        <v>4432249298559</v>
      </c>
      <c r="Y68" s="17">
        <v>120120049259</v>
      </c>
      <c r="Z68" s="26">
        <v>79690334050</v>
      </c>
      <c r="AA68" s="14" t="s">
        <v>64</v>
      </c>
      <c r="AB68" s="18">
        <f>44748</f>
        <v>44748</v>
      </c>
      <c r="AC68" s="19">
        <f>106</f>
        <v>106</v>
      </c>
    </row>
    <row r="69" spans="1:29">
      <c r="A69" s="11" t="s">
        <v>48</v>
      </c>
      <c r="B69" s="12" t="s">
        <v>495</v>
      </c>
      <c r="C69" s="12" t="s">
        <v>496</v>
      </c>
      <c r="D69" s="24"/>
      <c r="E69" s="12" t="s">
        <v>76</v>
      </c>
      <c r="F69" s="13" t="s">
        <v>244</v>
      </c>
      <c r="G69" s="13" t="s">
        <v>78</v>
      </c>
      <c r="H69" s="14" t="s">
        <v>509</v>
      </c>
      <c r="I69" s="15" t="s">
        <v>510</v>
      </c>
      <c r="J69" s="14" t="s">
        <v>467</v>
      </c>
      <c r="K69" s="15" t="s">
        <v>511</v>
      </c>
      <c r="L69" s="14" t="s">
        <v>467</v>
      </c>
      <c r="M69" s="15" t="s">
        <v>512</v>
      </c>
      <c r="N69" s="14" t="s">
        <v>167</v>
      </c>
      <c r="O69" s="15" t="s">
        <v>513</v>
      </c>
      <c r="P69" s="14" t="s">
        <v>329</v>
      </c>
      <c r="Q69" s="15" t="s">
        <v>514</v>
      </c>
      <c r="R69" s="14" t="s">
        <v>87</v>
      </c>
      <c r="S69" s="15" t="s">
        <v>515</v>
      </c>
      <c r="T69" s="16">
        <f>1920.07</f>
        <v>1920.07</v>
      </c>
      <c r="U69" s="17">
        <f>2228491</f>
        <v>2228491</v>
      </c>
      <c r="V69" s="17">
        <v>69222</v>
      </c>
      <c r="W69" s="25">
        <v>36082</v>
      </c>
      <c r="X69" s="17">
        <f>4335172569689</f>
        <v>4335172569689</v>
      </c>
      <c r="Y69" s="17">
        <v>136233942889</v>
      </c>
      <c r="Z69" s="26">
        <v>72182263550</v>
      </c>
      <c r="AA69" s="14" t="s">
        <v>64</v>
      </c>
      <c r="AB69" s="18">
        <f>31897</f>
        <v>31897</v>
      </c>
      <c r="AC69" s="19">
        <f>123</f>
        <v>123</v>
      </c>
    </row>
    <row r="70" spans="1:29">
      <c r="A70" s="11" t="s">
        <v>48</v>
      </c>
      <c r="B70" s="12" t="s">
        <v>495</v>
      </c>
      <c r="C70" s="12" t="s">
        <v>496</v>
      </c>
      <c r="D70" s="24"/>
      <c r="E70" s="12" t="s">
        <v>89</v>
      </c>
      <c r="F70" s="13" t="s">
        <v>124</v>
      </c>
      <c r="G70" s="13" t="s">
        <v>91</v>
      </c>
      <c r="H70" s="14" t="s">
        <v>461</v>
      </c>
      <c r="I70" s="15" t="s">
        <v>516</v>
      </c>
      <c r="J70" s="14" t="s">
        <v>94</v>
      </c>
      <c r="K70" s="15" t="s">
        <v>517</v>
      </c>
      <c r="L70" s="14" t="s">
        <v>94</v>
      </c>
      <c r="M70" s="15" t="s">
        <v>518</v>
      </c>
      <c r="N70" s="14" t="s">
        <v>167</v>
      </c>
      <c r="O70" s="15" t="s">
        <v>519</v>
      </c>
      <c r="P70" s="14" t="s">
        <v>224</v>
      </c>
      <c r="Q70" s="15" t="s">
        <v>520</v>
      </c>
      <c r="R70" s="14" t="s">
        <v>101</v>
      </c>
      <c r="S70" s="15" t="s">
        <v>521</v>
      </c>
      <c r="T70" s="16">
        <f>1956.06</f>
        <v>1956.06</v>
      </c>
      <c r="U70" s="17">
        <f>2293644</f>
        <v>2293644</v>
      </c>
      <c r="V70" s="17">
        <v>72872</v>
      </c>
      <c r="W70" s="25">
        <v>27501</v>
      </c>
      <c r="X70" s="17">
        <f>4605788075286</f>
        <v>4605788075286</v>
      </c>
      <c r="Y70" s="17">
        <v>146424957186</v>
      </c>
      <c r="Z70" s="26">
        <v>55320503100</v>
      </c>
      <c r="AA70" s="14" t="s">
        <v>64</v>
      </c>
      <c r="AB70" s="18">
        <f>45662</f>
        <v>45662</v>
      </c>
      <c r="AC70" s="19">
        <f>124</f>
        <v>124</v>
      </c>
    </row>
    <row r="71" spans="1:29">
      <c r="A71" s="11" t="s">
        <v>48</v>
      </c>
      <c r="B71" s="12" t="s">
        <v>495</v>
      </c>
      <c r="C71" s="12" t="s">
        <v>496</v>
      </c>
      <c r="D71" s="24"/>
      <c r="E71" s="12" t="s">
        <v>103</v>
      </c>
      <c r="F71" s="13" t="s">
        <v>255</v>
      </c>
      <c r="G71" s="13" t="s">
        <v>105</v>
      </c>
      <c r="H71" s="14" t="s">
        <v>143</v>
      </c>
      <c r="I71" s="15" t="s">
        <v>522</v>
      </c>
      <c r="J71" s="14" t="s">
        <v>94</v>
      </c>
      <c r="K71" s="15" t="s">
        <v>523</v>
      </c>
      <c r="L71" s="14" t="s">
        <v>153</v>
      </c>
      <c r="M71" s="15" t="s">
        <v>524</v>
      </c>
      <c r="N71" s="14" t="s">
        <v>143</v>
      </c>
      <c r="O71" s="15" t="s">
        <v>522</v>
      </c>
      <c r="P71" s="14" t="s">
        <v>157</v>
      </c>
      <c r="Q71" s="15" t="s">
        <v>525</v>
      </c>
      <c r="R71" s="14" t="s">
        <v>112</v>
      </c>
      <c r="S71" s="15" t="s">
        <v>526</v>
      </c>
      <c r="T71" s="16">
        <f>1971.32</f>
        <v>1971.32</v>
      </c>
      <c r="U71" s="17">
        <f>435342</f>
        <v>435342</v>
      </c>
      <c r="V71" s="17">
        <v>23161</v>
      </c>
      <c r="W71" s="25">
        <v>13152</v>
      </c>
      <c r="X71" s="17">
        <f>862485955349</f>
        <v>862485955349</v>
      </c>
      <c r="Y71" s="17">
        <v>45881363549</v>
      </c>
      <c r="Z71" s="26">
        <v>25913757300</v>
      </c>
      <c r="AA71" s="14"/>
      <c r="AB71" s="18">
        <f>28482</f>
        <v>28482</v>
      </c>
      <c r="AC71" s="19">
        <f>76</f>
        <v>76</v>
      </c>
    </row>
    <row r="72" spans="1:29">
      <c r="A72" s="11" t="s">
        <v>48</v>
      </c>
      <c r="B72" s="12" t="s">
        <v>495</v>
      </c>
      <c r="C72" s="12" t="s">
        <v>496</v>
      </c>
      <c r="D72" s="24"/>
      <c r="E72" s="12" t="s">
        <v>114</v>
      </c>
      <c r="F72" s="13" t="s">
        <v>149</v>
      </c>
      <c r="G72" s="13" t="s">
        <v>116</v>
      </c>
      <c r="H72" s="14" t="s">
        <v>527</v>
      </c>
      <c r="I72" s="15" t="s">
        <v>528</v>
      </c>
      <c r="J72" s="14" t="s">
        <v>529</v>
      </c>
      <c r="K72" s="15" t="s">
        <v>530</v>
      </c>
      <c r="L72" s="14"/>
      <c r="M72" s="15"/>
      <c r="N72" s="14" t="s">
        <v>224</v>
      </c>
      <c r="O72" s="15" t="s">
        <v>531</v>
      </c>
      <c r="P72" s="14"/>
      <c r="Q72" s="15"/>
      <c r="R72" s="14" t="s">
        <v>112</v>
      </c>
      <c r="S72" s="15" t="s">
        <v>532</v>
      </c>
      <c r="T72" s="16">
        <f>1986.57</f>
        <v>1986.57</v>
      </c>
      <c r="U72" s="17">
        <f>63</f>
        <v>63</v>
      </c>
      <c r="V72" s="17"/>
      <c r="W72" s="25"/>
      <c r="X72" s="17">
        <f>121812750</f>
        <v>121812750</v>
      </c>
      <c r="Y72" s="17"/>
      <c r="Z72" s="26"/>
      <c r="AA72" s="14"/>
      <c r="AB72" s="18">
        <f>30</f>
        <v>30</v>
      </c>
      <c r="AC72" s="19">
        <f>20</f>
        <v>20</v>
      </c>
    </row>
    <row r="73" spans="1:29">
      <c r="A73" s="11" t="s">
        <v>48</v>
      </c>
      <c r="B73" s="12" t="s">
        <v>495</v>
      </c>
      <c r="C73" s="12" t="s">
        <v>496</v>
      </c>
      <c r="D73" s="24"/>
      <c r="E73" s="12" t="s">
        <v>123</v>
      </c>
      <c r="F73" s="13" t="s">
        <v>258</v>
      </c>
      <c r="G73" s="13" t="s">
        <v>125</v>
      </c>
      <c r="H73" s="14"/>
      <c r="I73" s="15" t="s">
        <v>207</v>
      </c>
      <c r="J73" s="14"/>
      <c r="K73" s="15" t="s">
        <v>207</v>
      </c>
      <c r="L73" s="14"/>
      <c r="M73" s="15"/>
      <c r="N73" s="14"/>
      <c r="O73" s="15" t="s">
        <v>207</v>
      </c>
      <c r="P73" s="14"/>
      <c r="Q73" s="15"/>
      <c r="R73" s="14"/>
      <c r="S73" s="15" t="s">
        <v>207</v>
      </c>
      <c r="T73" s="16">
        <f>1958.47</f>
        <v>1958.47</v>
      </c>
      <c r="U73" s="17" t="str">
        <f>"－"</f>
        <v>－</v>
      </c>
      <c r="V73" s="17"/>
      <c r="W73" s="25"/>
      <c r="X73" s="17" t="str">
        <f>"－"</f>
        <v>－</v>
      </c>
      <c r="Y73" s="17"/>
      <c r="Z73" s="26"/>
      <c r="AA73" s="14"/>
      <c r="AB73" s="18" t="str">
        <f>"－"</f>
        <v>－</v>
      </c>
      <c r="AC73" s="19" t="str">
        <f>"－"</f>
        <v>－</v>
      </c>
    </row>
    <row r="74" spans="1:29">
      <c r="A74" s="11" t="s">
        <v>48</v>
      </c>
      <c r="B74" s="12" t="s">
        <v>533</v>
      </c>
      <c r="C74" s="12" t="s">
        <v>534</v>
      </c>
      <c r="D74" s="24"/>
      <c r="E74" s="12" t="s">
        <v>51</v>
      </c>
      <c r="F74" s="13" t="s">
        <v>238</v>
      </c>
      <c r="G74" s="13" t="s">
        <v>53</v>
      </c>
      <c r="H74" s="14" t="s">
        <v>54</v>
      </c>
      <c r="I74" s="15" t="s">
        <v>535</v>
      </c>
      <c r="J74" s="14" t="s">
        <v>56</v>
      </c>
      <c r="K74" s="15" t="s">
        <v>536</v>
      </c>
      <c r="L74" s="14" t="s">
        <v>56</v>
      </c>
      <c r="M74" s="15" t="s">
        <v>537</v>
      </c>
      <c r="N74" s="14" t="s">
        <v>54</v>
      </c>
      <c r="O74" s="15" t="s">
        <v>538</v>
      </c>
      <c r="P74" s="14" t="s">
        <v>54</v>
      </c>
      <c r="Q74" s="15" t="s">
        <v>539</v>
      </c>
      <c r="R74" s="14" t="s">
        <v>62</v>
      </c>
      <c r="S74" s="15" t="s">
        <v>540</v>
      </c>
      <c r="T74" s="16">
        <f>17044.57</f>
        <v>17044.57</v>
      </c>
      <c r="U74" s="17">
        <f>1033244</f>
        <v>1033244</v>
      </c>
      <c r="V74" s="17">
        <v>106086</v>
      </c>
      <c r="W74" s="25">
        <v>61433</v>
      </c>
      <c r="X74" s="17">
        <f>1762935716819</f>
        <v>1762935716819</v>
      </c>
      <c r="Y74" s="17">
        <v>181578878919</v>
      </c>
      <c r="Z74" s="26">
        <v>106244478900</v>
      </c>
      <c r="AA74" s="14" t="s">
        <v>64</v>
      </c>
      <c r="AB74" s="18">
        <f>53538</f>
        <v>53538</v>
      </c>
      <c r="AC74" s="19">
        <f>46</f>
        <v>46</v>
      </c>
    </row>
    <row r="75" spans="1:29">
      <c r="A75" s="11" t="s">
        <v>48</v>
      </c>
      <c r="B75" s="12" t="s">
        <v>533</v>
      </c>
      <c r="C75" s="12" t="s">
        <v>534</v>
      </c>
      <c r="D75" s="24"/>
      <c r="E75" s="12" t="s">
        <v>65</v>
      </c>
      <c r="F75" s="13" t="s">
        <v>77</v>
      </c>
      <c r="G75" s="13" t="s">
        <v>67</v>
      </c>
      <c r="H75" s="14" t="s">
        <v>59</v>
      </c>
      <c r="I75" s="15" t="s">
        <v>541</v>
      </c>
      <c r="J75" s="14" t="s">
        <v>461</v>
      </c>
      <c r="K75" s="15" t="s">
        <v>542</v>
      </c>
      <c r="L75" s="14" t="s">
        <v>461</v>
      </c>
      <c r="M75" s="15" t="s">
        <v>543</v>
      </c>
      <c r="N75" s="14" t="s">
        <v>59</v>
      </c>
      <c r="O75" s="15" t="s">
        <v>541</v>
      </c>
      <c r="P75" s="14" t="s">
        <v>167</v>
      </c>
      <c r="Q75" s="15" t="s">
        <v>544</v>
      </c>
      <c r="R75" s="14" t="s">
        <v>74</v>
      </c>
      <c r="S75" s="15" t="s">
        <v>545</v>
      </c>
      <c r="T75" s="16">
        <f>17227.24</f>
        <v>17227.240000000002</v>
      </c>
      <c r="U75" s="17">
        <f>1198714</f>
        <v>1198714</v>
      </c>
      <c r="V75" s="17">
        <v>153739</v>
      </c>
      <c r="W75" s="25">
        <v>103532</v>
      </c>
      <c r="X75" s="17">
        <f>2094480085110</f>
        <v>2094480085110</v>
      </c>
      <c r="Y75" s="17">
        <v>269152462810</v>
      </c>
      <c r="Z75" s="26">
        <v>179749992300</v>
      </c>
      <c r="AA75" s="14" t="s">
        <v>64</v>
      </c>
      <c r="AB75" s="18">
        <f>34389</f>
        <v>34389</v>
      </c>
      <c r="AC75" s="19">
        <f>75</f>
        <v>75</v>
      </c>
    </row>
    <row r="76" spans="1:29">
      <c r="A76" s="11" t="s">
        <v>48</v>
      </c>
      <c r="B76" s="12" t="s">
        <v>533</v>
      </c>
      <c r="C76" s="12" t="s">
        <v>534</v>
      </c>
      <c r="D76" s="24"/>
      <c r="E76" s="12" t="s">
        <v>76</v>
      </c>
      <c r="F76" s="13" t="s">
        <v>241</v>
      </c>
      <c r="G76" s="13" t="s">
        <v>78</v>
      </c>
      <c r="H76" s="14" t="s">
        <v>546</v>
      </c>
      <c r="I76" s="15" t="s">
        <v>547</v>
      </c>
      <c r="J76" s="14" t="s">
        <v>467</v>
      </c>
      <c r="K76" s="15" t="s">
        <v>548</v>
      </c>
      <c r="L76" s="14" t="s">
        <v>467</v>
      </c>
      <c r="M76" s="15" t="s">
        <v>549</v>
      </c>
      <c r="N76" s="14" t="s">
        <v>329</v>
      </c>
      <c r="O76" s="15" t="s">
        <v>550</v>
      </c>
      <c r="P76" s="14" t="s">
        <v>329</v>
      </c>
      <c r="Q76" s="15" t="s">
        <v>551</v>
      </c>
      <c r="R76" s="14" t="s">
        <v>87</v>
      </c>
      <c r="S76" s="15" t="s">
        <v>552</v>
      </c>
      <c r="T76" s="16">
        <f>17330.33</f>
        <v>17330.330000000002</v>
      </c>
      <c r="U76" s="17">
        <f>825526</f>
        <v>825526</v>
      </c>
      <c r="V76" s="17">
        <v>129161</v>
      </c>
      <c r="W76" s="25">
        <v>64944</v>
      </c>
      <c r="X76" s="17">
        <f>1453781840986</f>
        <v>1453781840986</v>
      </c>
      <c r="Y76" s="17">
        <v>230706093786</v>
      </c>
      <c r="Z76" s="26">
        <v>117017211200</v>
      </c>
      <c r="AA76" s="14" t="s">
        <v>64</v>
      </c>
      <c r="AB76" s="18">
        <f>47995</f>
        <v>47995</v>
      </c>
      <c r="AC76" s="19">
        <f>66</f>
        <v>66</v>
      </c>
    </row>
    <row r="77" spans="1:29">
      <c r="A77" s="11" t="s">
        <v>48</v>
      </c>
      <c r="B77" s="12" t="s">
        <v>533</v>
      </c>
      <c r="C77" s="12" t="s">
        <v>534</v>
      </c>
      <c r="D77" s="24"/>
      <c r="E77" s="12" t="s">
        <v>89</v>
      </c>
      <c r="F77" s="13" t="s">
        <v>104</v>
      </c>
      <c r="G77" s="13" t="s">
        <v>91</v>
      </c>
      <c r="H77" s="14" t="s">
        <v>553</v>
      </c>
      <c r="I77" s="15" t="s">
        <v>554</v>
      </c>
      <c r="J77" s="14" t="s">
        <v>94</v>
      </c>
      <c r="K77" s="15" t="s">
        <v>555</v>
      </c>
      <c r="L77" s="14" t="s">
        <v>94</v>
      </c>
      <c r="M77" s="15" t="s">
        <v>556</v>
      </c>
      <c r="N77" s="14" t="s">
        <v>143</v>
      </c>
      <c r="O77" s="15" t="s">
        <v>557</v>
      </c>
      <c r="P77" s="14" t="s">
        <v>224</v>
      </c>
      <c r="Q77" s="15" t="s">
        <v>558</v>
      </c>
      <c r="R77" s="14" t="s">
        <v>101</v>
      </c>
      <c r="S77" s="15" t="s">
        <v>559</v>
      </c>
      <c r="T77" s="16">
        <f>17457.61</f>
        <v>17457.61</v>
      </c>
      <c r="U77" s="17">
        <f>887532</f>
        <v>887532</v>
      </c>
      <c r="V77" s="17">
        <v>128348</v>
      </c>
      <c r="W77" s="25">
        <v>57270</v>
      </c>
      <c r="X77" s="17">
        <f>1607050227783</f>
        <v>1607050227783</v>
      </c>
      <c r="Y77" s="17">
        <v>233168396083</v>
      </c>
      <c r="Z77" s="26">
        <v>103824246200</v>
      </c>
      <c r="AA77" s="14" t="s">
        <v>64</v>
      </c>
      <c r="AB77" s="18">
        <f>31292</f>
        <v>31292</v>
      </c>
      <c r="AC77" s="19">
        <f>76</f>
        <v>76</v>
      </c>
    </row>
    <row r="78" spans="1:29">
      <c r="A78" s="11" t="s">
        <v>48</v>
      </c>
      <c r="B78" s="12" t="s">
        <v>533</v>
      </c>
      <c r="C78" s="12" t="s">
        <v>534</v>
      </c>
      <c r="D78" s="24"/>
      <c r="E78" s="12" t="s">
        <v>103</v>
      </c>
      <c r="F78" s="13" t="s">
        <v>244</v>
      </c>
      <c r="G78" s="13" t="s">
        <v>105</v>
      </c>
      <c r="H78" s="14" t="s">
        <v>560</v>
      </c>
      <c r="I78" s="15" t="s">
        <v>561</v>
      </c>
      <c r="J78" s="14" t="s">
        <v>560</v>
      </c>
      <c r="K78" s="15" t="s">
        <v>561</v>
      </c>
      <c r="L78" s="14" t="s">
        <v>153</v>
      </c>
      <c r="M78" s="15" t="s">
        <v>562</v>
      </c>
      <c r="N78" s="14" t="s">
        <v>224</v>
      </c>
      <c r="O78" s="15" t="s">
        <v>563</v>
      </c>
      <c r="P78" s="14" t="s">
        <v>564</v>
      </c>
      <c r="Q78" s="15" t="s">
        <v>565</v>
      </c>
      <c r="R78" s="14" t="s">
        <v>112</v>
      </c>
      <c r="S78" s="15" t="s">
        <v>566</v>
      </c>
      <c r="T78" s="16">
        <f>17462.18</f>
        <v>17462.18</v>
      </c>
      <c r="U78" s="17">
        <f>222079</f>
        <v>222079</v>
      </c>
      <c r="V78" s="17">
        <v>58620</v>
      </c>
      <c r="W78" s="25">
        <v>34425</v>
      </c>
      <c r="X78" s="17">
        <f>396803046165</f>
        <v>396803046165</v>
      </c>
      <c r="Y78" s="17">
        <v>104498290165</v>
      </c>
      <c r="Z78" s="26">
        <v>61399639500</v>
      </c>
      <c r="AA78" s="14"/>
      <c r="AB78" s="18">
        <f>47485</f>
        <v>47485</v>
      </c>
      <c r="AC78" s="19">
        <f>42</f>
        <v>42</v>
      </c>
    </row>
    <row r="79" spans="1:29">
      <c r="A79" s="11" t="s">
        <v>48</v>
      </c>
      <c r="B79" s="12" t="s">
        <v>533</v>
      </c>
      <c r="C79" s="12" t="s">
        <v>534</v>
      </c>
      <c r="D79" s="24"/>
      <c r="E79" s="12" t="s">
        <v>114</v>
      </c>
      <c r="F79" s="13" t="s">
        <v>124</v>
      </c>
      <c r="G79" s="13" t="s">
        <v>116</v>
      </c>
      <c r="H79" s="14" t="s">
        <v>567</v>
      </c>
      <c r="I79" s="15" t="s">
        <v>568</v>
      </c>
      <c r="J79" s="14" t="s">
        <v>569</v>
      </c>
      <c r="K79" s="15" t="s">
        <v>570</v>
      </c>
      <c r="L79" s="14"/>
      <c r="M79" s="15"/>
      <c r="N79" s="14" t="s">
        <v>567</v>
      </c>
      <c r="O79" s="15" t="s">
        <v>568</v>
      </c>
      <c r="P79" s="14"/>
      <c r="Q79" s="15"/>
      <c r="R79" s="14" t="s">
        <v>569</v>
      </c>
      <c r="S79" s="15" t="s">
        <v>570</v>
      </c>
      <c r="T79" s="16">
        <f>17474.6</f>
        <v>17474.599999999999</v>
      </c>
      <c r="U79" s="17">
        <f>2</f>
        <v>2</v>
      </c>
      <c r="V79" s="17"/>
      <c r="W79" s="25"/>
      <c r="X79" s="17">
        <f>3591500</f>
        <v>3591500</v>
      </c>
      <c r="Y79" s="17"/>
      <c r="Z79" s="26"/>
      <c r="AA79" s="14"/>
      <c r="AB79" s="18" t="str">
        <f>"－"</f>
        <v>－</v>
      </c>
      <c r="AC79" s="19">
        <f>2</f>
        <v>2</v>
      </c>
    </row>
    <row r="80" spans="1:29">
      <c r="A80" s="11" t="s">
        <v>48</v>
      </c>
      <c r="B80" s="12" t="s">
        <v>533</v>
      </c>
      <c r="C80" s="12" t="s">
        <v>534</v>
      </c>
      <c r="D80" s="24"/>
      <c r="E80" s="12" t="s">
        <v>123</v>
      </c>
      <c r="F80" s="13" t="s">
        <v>255</v>
      </c>
      <c r="G80" s="13" t="s">
        <v>125</v>
      </c>
      <c r="H80" s="14"/>
      <c r="I80" s="15" t="s">
        <v>207</v>
      </c>
      <c r="J80" s="14"/>
      <c r="K80" s="15" t="s">
        <v>207</v>
      </c>
      <c r="L80" s="14"/>
      <c r="M80" s="15"/>
      <c r="N80" s="14"/>
      <c r="O80" s="15" t="s">
        <v>207</v>
      </c>
      <c r="P80" s="14"/>
      <c r="Q80" s="15"/>
      <c r="R80" s="14"/>
      <c r="S80" s="15" t="s">
        <v>207</v>
      </c>
      <c r="T80" s="16">
        <f>17591.78</f>
        <v>17591.78</v>
      </c>
      <c r="U80" s="17" t="str">
        <f>"－"</f>
        <v>－</v>
      </c>
      <c r="V80" s="17"/>
      <c r="W80" s="25"/>
      <c r="X80" s="17" t="str">
        <f>"－"</f>
        <v>－</v>
      </c>
      <c r="Y80" s="17"/>
      <c r="Z80" s="26"/>
      <c r="AA80" s="14"/>
      <c r="AB80" s="18" t="str">
        <f>"－"</f>
        <v>－</v>
      </c>
      <c r="AC80" s="19" t="str">
        <f>"－"</f>
        <v>－</v>
      </c>
    </row>
    <row r="81" spans="1:29">
      <c r="A81" s="11" t="s">
        <v>48</v>
      </c>
      <c r="B81" s="12" t="s">
        <v>533</v>
      </c>
      <c r="C81" s="12" t="s">
        <v>534</v>
      </c>
      <c r="D81" s="24"/>
      <c r="E81" s="12" t="s">
        <v>136</v>
      </c>
      <c r="F81" s="13" t="s">
        <v>149</v>
      </c>
      <c r="G81" s="13" t="s">
        <v>138</v>
      </c>
      <c r="H81" s="14" t="s">
        <v>527</v>
      </c>
      <c r="I81" s="15" t="s">
        <v>571</v>
      </c>
      <c r="J81" s="14" t="s">
        <v>379</v>
      </c>
      <c r="K81" s="15" t="s">
        <v>572</v>
      </c>
      <c r="L81" s="14"/>
      <c r="M81" s="15"/>
      <c r="N81" s="14" t="s">
        <v>527</v>
      </c>
      <c r="O81" s="15" t="s">
        <v>571</v>
      </c>
      <c r="P81" s="14"/>
      <c r="Q81" s="15"/>
      <c r="R81" s="14" t="s">
        <v>379</v>
      </c>
      <c r="S81" s="15" t="s">
        <v>572</v>
      </c>
      <c r="T81" s="16">
        <f>17761.71</f>
        <v>17761.71</v>
      </c>
      <c r="U81" s="17">
        <f>2</f>
        <v>2</v>
      </c>
      <c r="V81" s="17"/>
      <c r="W81" s="25"/>
      <c r="X81" s="17">
        <f>3459500</f>
        <v>3459500</v>
      </c>
      <c r="Y81" s="17"/>
      <c r="Z81" s="26"/>
      <c r="AA81" s="14"/>
      <c r="AB81" s="18" t="str">
        <f>"－"</f>
        <v>－</v>
      </c>
      <c r="AC81" s="19">
        <f>2</f>
        <v>2</v>
      </c>
    </row>
    <row r="82" spans="1:29">
      <c r="A82" s="11" t="s">
        <v>48</v>
      </c>
      <c r="B82" s="12" t="s">
        <v>533</v>
      </c>
      <c r="C82" s="12" t="s">
        <v>534</v>
      </c>
      <c r="D82" s="24"/>
      <c r="E82" s="12" t="s">
        <v>148</v>
      </c>
      <c r="F82" s="13" t="s">
        <v>258</v>
      </c>
      <c r="G82" s="13" t="s">
        <v>150</v>
      </c>
      <c r="H82" s="14"/>
      <c r="I82" s="15" t="s">
        <v>207</v>
      </c>
      <c r="J82" s="14"/>
      <c r="K82" s="15" t="s">
        <v>207</v>
      </c>
      <c r="L82" s="14"/>
      <c r="M82" s="15"/>
      <c r="N82" s="14"/>
      <c r="O82" s="15" t="s">
        <v>207</v>
      </c>
      <c r="P82" s="14"/>
      <c r="Q82" s="15"/>
      <c r="R82" s="14"/>
      <c r="S82" s="15" t="s">
        <v>207</v>
      </c>
      <c r="T82" s="16">
        <f>17525.33</f>
        <v>17525.330000000002</v>
      </c>
      <c r="U82" s="17" t="str">
        <f>"－"</f>
        <v>－</v>
      </c>
      <c r="V82" s="17"/>
      <c r="W82" s="25"/>
      <c r="X82" s="17" t="str">
        <f>"－"</f>
        <v>－</v>
      </c>
      <c r="Y82" s="17"/>
      <c r="Z82" s="26"/>
      <c r="AA82" s="14"/>
      <c r="AB82" s="18" t="str">
        <f>"－"</f>
        <v>－</v>
      </c>
      <c r="AC82" s="19" t="str">
        <f>"－"</f>
        <v>－</v>
      </c>
    </row>
    <row r="83" spans="1:29">
      <c r="A83" s="11" t="s">
        <v>48</v>
      </c>
      <c r="B83" s="12" t="s">
        <v>573</v>
      </c>
      <c r="C83" s="12" t="s">
        <v>574</v>
      </c>
      <c r="D83" s="24"/>
      <c r="E83" s="12" t="s">
        <v>51</v>
      </c>
      <c r="F83" s="13" t="s">
        <v>241</v>
      </c>
      <c r="G83" s="13" t="s">
        <v>53</v>
      </c>
      <c r="H83" s="14" t="s">
        <v>575</v>
      </c>
      <c r="I83" s="15" t="s">
        <v>576</v>
      </c>
      <c r="J83" s="14" t="s">
        <v>575</v>
      </c>
      <c r="K83" s="15" t="s">
        <v>576</v>
      </c>
      <c r="L83" s="14" t="s">
        <v>577</v>
      </c>
      <c r="M83" s="15" t="s">
        <v>578</v>
      </c>
      <c r="N83" s="14" t="s">
        <v>575</v>
      </c>
      <c r="O83" s="15" t="s">
        <v>576</v>
      </c>
      <c r="P83" s="14" t="s">
        <v>577</v>
      </c>
      <c r="Q83" s="15" t="s">
        <v>579</v>
      </c>
      <c r="R83" s="14" t="s">
        <v>575</v>
      </c>
      <c r="S83" s="15" t="s">
        <v>576</v>
      </c>
      <c r="T83" s="16">
        <f>888.88</f>
        <v>888.88</v>
      </c>
      <c r="U83" s="17">
        <f>63</f>
        <v>63</v>
      </c>
      <c r="V83" s="17">
        <v>62</v>
      </c>
      <c r="W83" s="25"/>
      <c r="X83" s="17">
        <f>56224000</f>
        <v>56224000</v>
      </c>
      <c r="Y83" s="17">
        <v>55364000</v>
      </c>
      <c r="Z83" s="26"/>
      <c r="AA83" s="14" t="s">
        <v>64</v>
      </c>
      <c r="AB83" s="18">
        <f>1</f>
        <v>1</v>
      </c>
      <c r="AC83" s="19">
        <f>1</f>
        <v>1</v>
      </c>
    </row>
    <row r="84" spans="1:29">
      <c r="A84" s="11" t="s">
        <v>48</v>
      </c>
      <c r="B84" s="12" t="s">
        <v>573</v>
      </c>
      <c r="C84" s="12" t="s">
        <v>574</v>
      </c>
      <c r="D84" s="24"/>
      <c r="E84" s="12" t="s">
        <v>65</v>
      </c>
      <c r="F84" s="13" t="s">
        <v>104</v>
      </c>
      <c r="G84" s="13" t="s">
        <v>67</v>
      </c>
      <c r="H84" s="14" t="s">
        <v>580</v>
      </c>
      <c r="I84" s="15" t="s">
        <v>581</v>
      </c>
      <c r="J84" s="14" t="s">
        <v>582</v>
      </c>
      <c r="K84" s="15" t="s">
        <v>583</v>
      </c>
      <c r="L84" s="14" t="s">
        <v>584</v>
      </c>
      <c r="M84" s="15" t="s">
        <v>585</v>
      </c>
      <c r="N84" s="14" t="s">
        <v>582</v>
      </c>
      <c r="O84" s="15" t="s">
        <v>586</v>
      </c>
      <c r="P84" s="14" t="s">
        <v>577</v>
      </c>
      <c r="Q84" s="15" t="s">
        <v>587</v>
      </c>
      <c r="R84" s="14" t="s">
        <v>74</v>
      </c>
      <c r="S84" s="15" t="s">
        <v>588</v>
      </c>
      <c r="T84" s="16">
        <f>900.13</f>
        <v>900.13</v>
      </c>
      <c r="U84" s="17">
        <f>135</f>
        <v>135</v>
      </c>
      <c r="V84" s="17">
        <v>126</v>
      </c>
      <c r="W84" s="25"/>
      <c r="X84" s="17">
        <f>122947800</f>
        <v>122947800</v>
      </c>
      <c r="Y84" s="17">
        <v>114484800</v>
      </c>
      <c r="Z84" s="26"/>
      <c r="AA84" s="14" t="s">
        <v>64</v>
      </c>
      <c r="AB84" s="18">
        <f>3</f>
        <v>3</v>
      </c>
      <c r="AC84" s="19">
        <f>4</f>
        <v>4</v>
      </c>
    </row>
    <row r="85" spans="1:29">
      <c r="A85" s="11" t="s">
        <v>48</v>
      </c>
      <c r="B85" s="12" t="s">
        <v>573</v>
      </c>
      <c r="C85" s="12" t="s">
        <v>574</v>
      </c>
      <c r="D85" s="24"/>
      <c r="E85" s="12" t="s">
        <v>76</v>
      </c>
      <c r="F85" s="13" t="s">
        <v>244</v>
      </c>
      <c r="G85" s="13" t="s">
        <v>78</v>
      </c>
      <c r="H85" s="14"/>
      <c r="I85" s="15" t="s">
        <v>207</v>
      </c>
      <c r="J85" s="14"/>
      <c r="K85" s="15" t="s">
        <v>207</v>
      </c>
      <c r="L85" s="14" t="s">
        <v>467</v>
      </c>
      <c r="M85" s="15" t="s">
        <v>589</v>
      </c>
      <c r="N85" s="14"/>
      <c r="O85" s="15" t="s">
        <v>207</v>
      </c>
      <c r="P85" s="14" t="s">
        <v>590</v>
      </c>
      <c r="Q85" s="15" t="s">
        <v>591</v>
      </c>
      <c r="R85" s="14"/>
      <c r="S85" s="15" t="s">
        <v>207</v>
      </c>
      <c r="T85" s="16">
        <f>908.47</f>
        <v>908.47</v>
      </c>
      <c r="U85" s="17">
        <f>128</f>
        <v>128</v>
      </c>
      <c r="V85" s="17">
        <v>128</v>
      </c>
      <c r="W85" s="25"/>
      <c r="X85" s="17">
        <f>120141720</f>
        <v>120141720</v>
      </c>
      <c r="Y85" s="17">
        <v>120141720</v>
      </c>
      <c r="Z85" s="26"/>
      <c r="AA85" s="14" t="s">
        <v>64</v>
      </c>
      <c r="AB85" s="18" t="str">
        <f>"－"</f>
        <v>－</v>
      </c>
      <c r="AC85" s="19" t="str">
        <f>"－"</f>
        <v>－</v>
      </c>
    </row>
    <row r="86" spans="1:29">
      <c r="A86" s="11" t="s">
        <v>48</v>
      </c>
      <c r="B86" s="12" t="s">
        <v>573</v>
      </c>
      <c r="C86" s="12" t="s">
        <v>574</v>
      </c>
      <c r="D86" s="24"/>
      <c r="E86" s="12" t="s">
        <v>89</v>
      </c>
      <c r="F86" s="13" t="s">
        <v>124</v>
      </c>
      <c r="G86" s="13" t="s">
        <v>91</v>
      </c>
      <c r="H86" s="14" t="s">
        <v>592</v>
      </c>
      <c r="I86" s="15" t="s">
        <v>593</v>
      </c>
      <c r="J86" s="14" t="s">
        <v>592</v>
      </c>
      <c r="K86" s="15" t="s">
        <v>593</v>
      </c>
      <c r="L86" s="14" t="s">
        <v>467</v>
      </c>
      <c r="M86" s="15" t="s">
        <v>594</v>
      </c>
      <c r="N86" s="14" t="s">
        <v>592</v>
      </c>
      <c r="O86" s="15" t="s">
        <v>593</v>
      </c>
      <c r="P86" s="14" t="s">
        <v>194</v>
      </c>
      <c r="Q86" s="15" t="s">
        <v>595</v>
      </c>
      <c r="R86" s="14" t="s">
        <v>592</v>
      </c>
      <c r="S86" s="15" t="s">
        <v>593</v>
      </c>
      <c r="T86" s="16">
        <f>931.37</f>
        <v>931.37</v>
      </c>
      <c r="U86" s="17">
        <f>142</f>
        <v>142</v>
      </c>
      <c r="V86" s="17">
        <v>132</v>
      </c>
      <c r="W86" s="25"/>
      <c r="X86" s="17">
        <f>136132520</f>
        <v>136132520</v>
      </c>
      <c r="Y86" s="17">
        <v>126482520</v>
      </c>
      <c r="Z86" s="26"/>
      <c r="AA86" s="14" t="s">
        <v>64</v>
      </c>
      <c r="AB86" s="18">
        <f>30</f>
        <v>30</v>
      </c>
      <c r="AC86" s="19">
        <f>1</f>
        <v>1</v>
      </c>
    </row>
    <row r="87" spans="1:29">
      <c r="A87" s="11" t="s">
        <v>48</v>
      </c>
      <c r="B87" s="12" t="s">
        <v>573</v>
      </c>
      <c r="C87" s="12" t="s">
        <v>574</v>
      </c>
      <c r="D87" s="24"/>
      <c r="E87" s="12" t="s">
        <v>103</v>
      </c>
      <c r="F87" s="13" t="s">
        <v>255</v>
      </c>
      <c r="G87" s="13" t="s">
        <v>105</v>
      </c>
      <c r="H87" s="14"/>
      <c r="I87" s="15" t="s">
        <v>207</v>
      </c>
      <c r="J87" s="14"/>
      <c r="K87" s="15" t="s">
        <v>207</v>
      </c>
      <c r="L87" s="14" t="s">
        <v>564</v>
      </c>
      <c r="M87" s="15" t="s">
        <v>596</v>
      </c>
      <c r="N87" s="14"/>
      <c r="O87" s="15" t="s">
        <v>207</v>
      </c>
      <c r="P87" s="14" t="s">
        <v>564</v>
      </c>
      <c r="Q87" s="15" t="s">
        <v>596</v>
      </c>
      <c r="R87" s="14"/>
      <c r="S87" s="15" t="s">
        <v>207</v>
      </c>
      <c r="T87" s="16">
        <f>946.63</f>
        <v>946.63</v>
      </c>
      <c r="U87" s="17">
        <f>46</f>
        <v>46</v>
      </c>
      <c r="V87" s="17">
        <v>46</v>
      </c>
      <c r="W87" s="25"/>
      <c r="X87" s="17">
        <f>44022000</f>
        <v>44022000</v>
      </c>
      <c r="Y87" s="17">
        <v>44022000</v>
      </c>
      <c r="Z87" s="26"/>
      <c r="AA87" s="14"/>
      <c r="AB87" s="18">
        <f>46</f>
        <v>46</v>
      </c>
      <c r="AC87" s="19" t="str">
        <f>"－"</f>
        <v>－</v>
      </c>
    </row>
    <row r="88" spans="1:29">
      <c r="A88" s="11" t="s">
        <v>48</v>
      </c>
      <c r="B88" s="12" t="s">
        <v>573</v>
      </c>
      <c r="C88" s="12" t="s">
        <v>574</v>
      </c>
      <c r="D88" s="24"/>
      <c r="E88" s="12" t="s">
        <v>114</v>
      </c>
      <c r="F88" s="13" t="s">
        <v>149</v>
      </c>
      <c r="G88" s="13" t="s">
        <v>116</v>
      </c>
      <c r="H88" s="14"/>
      <c r="I88" s="15" t="s">
        <v>207</v>
      </c>
      <c r="J88" s="14"/>
      <c r="K88" s="15" t="s">
        <v>207</v>
      </c>
      <c r="L88" s="14"/>
      <c r="M88" s="15"/>
      <c r="N88" s="14"/>
      <c r="O88" s="15" t="s">
        <v>207</v>
      </c>
      <c r="P88" s="14"/>
      <c r="Q88" s="15"/>
      <c r="R88" s="14"/>
      <c r="S88" s="15" t="s">
        <v>207</v>
      </c>
      <c r="T88" s="16">
        <f>964.53</f>
        <v>964.53</v>
      </c>
      <c r="U88" s="17" t="str">
        <f>"－"</f>
        <v>－</v>
      </c>
      <c r="V88" s="17"/>
      <c r="W88" s="25"/>
      <c r="X88" s="17" t="str">
        <f>"－"</f>
        <v>－</v>
      </c>
      <c r="Y88" s="17"/>
      <c r="Z88" s="26"/>
      <c r="AA88" s="14"/>
      <c r="AB88" s="18" t="str">
        <f>"－"</f>
        <v>－</v>
      </c>
      <c r="AC88" s="19" t="str">
        <f>"－"</f>
        <v>－</v>
      </c>
    </row>
    <row r="89" spans="1:29">
      <c r="A89" s="11" t="s">
        <v>48</v>
      </c>
      <c r="B89" s="12" t="s">
        <v>573</v>
      </c>
      <c r="C89" s="12" t="s">
        <v>574</v>
      </c>
      <c r="D89" s="24"/>
      <c r="E89" s="12" t="s">
        <v>123</v>
      </c>
      <c r="F89" s="13" t="s">
        <v>258</v>
      </c>
      <c r="G89" s="13" t="s">
        <v>125</v>
      </c>
      <c r="H89" s="14"/>
      <c r="I89" s="15" t="s">
        <v>207</v>
      </c>
      <c r="J89" s="14"/>
      <c r="K89" s="15" t="s">
        <v>207</v>
      </c>
      <c r="L89" s="14"/>
      <c r="M89" s="15"/>
      <c r="N89" s="14"/>
      <c r="O89" s="15" t="s">
        <v>207</v>
      </c>
      <c r="P89" s="14"/>
      <c r="Q89" s="15"/>
      <c r="R89" s="14"/>
      <c r="S89" s="15" t="s">
        <v>207</v>
      </c>
      <c r="T89" s="16">
        <f>970.73</f>
        <v>970.73</v>
      </c>
      <c r="U89" s="17" t="str">
        <f>"－"</f>
        <v>－</v>
      </c>
      <c r="V89" s="17"/>
      <c r="W89" s="25"/>
      <c r="X89" s="17" t="str">
        <f>"－"</f>
        <v>－</v>
      </c>
      <c r="Y89" s="17"/>
      <c r="Z89" s="26"/>
      <c r="AA89" s="14"/>
      <c r="AB89" s="18" t="str">
        <f>"－"</f>
        <v>－</v>
      </c>
      <c r="AC89" s="19" t="str">
        <f>"－"</f>
        <v>－</v>
      </c>
    </row>
    <row r="90" spans="1:29">
      <c r="A90" s="11" t="s">
        <v>48</v>
      </c>
      <c r="B90" s="12" t="s">
        <v>597</v>
      </c>
      <c r="C90" s="12" t="s">
        <v>598</v>
      </c>
      <c r="D90" s="24"/>
      <c r="E90" s="12" t="s">
        <v>51</v>
      </c>
      <c r="F90" s="13" t="s">
        <v>241</v>
      </c>
      <c r="G90" s="13" t="s">
        <v>53</v>
      </c>
      <c r="H90" s="14"/>
      <c r="I90" s="15" t="s">
        <v>207</v>
      </c>
      <c r="J90" s="14"/>
      <c r="K90" s="15" t="s">
        <v>207</v>
      </c>
      <c r="L90" s="14" t="s">
        <v>599</v>
      </c>
      <c r="M90" s="15" t="s">
        <v>600</v>
      </c>
      <c r="N90" s="14"/>
      <c r="O90" s="15" t="s">
        <v>207</v>
      </c>
      <c r="P90" s="14" t="s">
        <v>79</v>
      </c>
      <c r="Q90" s="15" t="s">
        <v>601</v>
      </c>
      <c r="R90" s="14"/>
      <c r="S90" s="15" t="s">
        <v>207</v>
      </c>
      <c r="T90" s="16">
        <f>132.43</f>
        <v>132.43</v>
      </c>
      <c r="U90" s="17">
        <f>65649</f>
        <v>65649</v>
      </c>
      <c r="V90" s="17">
        <v>65649</v>
      </c>
      <c r="W90" s="25"/>
      <c r="X90" s="17">
        <f>94400295310</f>
        <v>94400295310</v>
      </c>
      <c r="Y90" s="17">
        <v>94400295310</v>
      </c>
      <c r="Z90" s="26"/>
      <c r="AA90" s="14" t="s">
        <v>64</v>
      </c>
      <c r="AB90" s="18">
        <f>13010</f>
        <v>13010</v>
      </c>
      <c r="AC90" s="19" t="str">
        <f>"－"</f>
        <v>－</v>
      </c>
    </row>
    <row r="91" spans="1:29">
      <c r="A91" s="11" t="s">
        <v>48</v>
      </c>
      <c r="B91" s="12" t="s">
        <v>597</v>
      </c>
      <c r="C91" s="12" t="s">
        <v>598</v>
      </c>
      <c r="D91" s="24"/>
      <c r="E91" s="12" t="s">
        <v>65</v>
      </c>
      <c r="F91" s="13" t="s">
        <v>104</v>
      </c>
      <c r="G91" s="13" t="s">
        <v>67</v>
      </c>
      <c r="H91" s="14" t="s">
        <v>602</v>
      </c>
      <c r="I91" s="15" t="s">
        <v>603</v>
      </c>
      <c r="J91" s="14" t="s">
        <v>602</v>
      </c>
      <c r="K91" s="15" t="s">
        <v>604</v>
      </c>
      <c r="L91" s="14" t="s">
        <v>461</v>
      </c>
      <c r="M91" s="15" t="s">
        <v>605</v>
      </c>
      <c r="N91" s="14" t="s">
        <v>74</v>
      </c>
      <c r="O91" s="15" t="s">
        <v>606</v>
      </c>
      <c r="P91" s="14" t="s">
        <v>607</v>
      </c>
      <c r="Q91" s="15" t="s">
        <v>608</v>
      </c>
      <c r="R91" s="14" t="s">
        <v>74</v>
      </c>
      <c r="S91" s="15" t="s">
        <v>606</v>
      </c>
      <c r="T91" s="16">
        <f>140.68</f>
        <v>140.68</v>
      </c>
      <c r="U91" s="17">
        <f>119860</f>
        <v>119860</v>
      </c>
      <c r="V91" s="17">
        <v>119853</v>
      </c>
      <c r="W91" s="25"/>
      <c r="X91" s="17">
        <f>174551151649</f>
        <v>174551151649</v>
      </c>
      <c r="Y91" s="17">
        <v>174540657649</v>
      </c>
      <c r="Z91" s="26"/>
      <c r="AA91" s="14" t="s">
        <v>64</v>
      </c>
      <c r="AB91" s="18">
        <f>23566</f>
        <v>23566</v>
      </c>
      <c r="AC91" s="19">
        <f>2</f>
        <v>2</v>
      </c>
    </row>
    <row r="92" spans="1:29">
      <c r="A92" s="11" t="s">
        <v>48</v>
      </c>
      <c r="B92" s="12" t="s">
        <v>597</v>
      </c>
      <c r="C92" s="12" t="s">
        <v>598</v>
      </c>
      <c r="D92" s="24"/>
      <c r="E92" s="12" t="s">
        <v>76</v>
      </c>
      <c r="F92" s="13" t="s">
        <v>244</v>
      </c>
      <c r="G92" s="13" t="s">
        <v>78</v>
      </c>
      <c r="H92" s="14" t="s">
        <v>609</v>
      </c>
      <c r="I92" s="15" t="s">
        <v>610</v>
      </c>
      <c r="J92" s="14" t="s">
        <v>609</v>
      </c>
      <c r="K92" s="15" t="s">
        <v>610</v>
      </c>
      <c r="L92" s="14" t="s">
        <v>546</v>
      </c>
      <c r="M92" s="15" t="s">
        <v>611</v>
      </c>
      <c r="N92" s="14" t="s">
        <v>612</v>
      </c>
      <c r="O92" s="15" t="s">
        <v>613</v>
      </c>
      <c r="P92" s="14" t="s">
        <v>352</v>
      </c>
      <c r="Q92" s="15" t="s">
        <v>614</v>
      </c>
      <c r="R92" s="14" t="s">
        <v>612</v>
      </c>
      <c r="S92" s="15" t="s">
        <v>613</v>
      </c>
      <c r="T92" s="16">
        <f>140.97</f>
        <v>140.97</v>
      </c>
      <c r="U92" s="17">
        <f>109419</f>
        <v>109419</v>
      </c>
      <c r="V92" s="17">
        <v>109417</v>
      </c>
      <c r="W92" s="25"/>
      <c r="X92" s="17">
        <f>161149352300</f>
        <v>161149352300</v>
      </c>
      <c r="Y92" s="17">
        <v>161146470300</v>
      </c>
      <c r="Z92" s="26"/>
      <c r="AA92" s="14" t="s">
        <v>64</v>
      </c>
      <c r="AB92" s="18">
        <f>8671</f>
        <v>8671</v>
      </c>
      <c r="AC92" s="19">
        <f>2</f>
        <v>2</v>
      </c>
    </row>
    <row r="93" spans="1:29">
      <c r="A93" s="11" t="s">
        <v>48</v>
      </c>
      <c r="B93" s="12" t="s">
        <v>597</v>
      </c>
      <c r="C93" s="12" t="s">
        <v>598</v>
      </c>
      <c r="D93" s="24"/>
      <c r="E93" s="12" t="s">
        <v>89</v>
      </c>
      <c r="F93" s="13" t="s">
        <v>124</v>
      </c>
      <c r="G93" s="13" t="s">
        <v>91</v>
      </c>
      <c r="H93" s="14" t="s">
        <v>480</v>
      </c>
      <c r="I93" s="15" t="s">
        <v>615</v>
      </c>
      <c r="J93" s="14" t="s">
        <v>592</v>
      </c>
      <c r="K93" s="15" t="s">
        <v>616</v>
      </c>
      <c r="L93" s="14" t="s">
        <v>617</v>
      </c>
      <c r="M93" s="15" t="s">
        <v>618</v>
      </c>
      <c r="N93" s="14" t="s">
        <v>619</v>
      </c>
      <c r="O93" s="15" t="s">
        <v>620</v>
      </c>
      <c r="P93" s="14" t="s">
        <v>194</v>
      </c>
      <c r="Q93" s="15" t="s">
        <v>621</v>
      </c>
      <c r="R93" s="14" t="s">
        <v>619</v>
      </c>
      <c r="S93" s="15" t="s">
        <v>620</v>
      </c>
      <c r="T93" s="16">
        <f>144.56</f>
        <v>144.56</v>
      </c>
      <c r="U93" s="17">
        <f>86860</f>
        <v>86860</v>
      </c>
      <c r="V93" s="17">
        <v>86825</v>
      </c>
      <c r="W93" s="25"/>
      <c r="X93" s="17">
        <f>124405973795</f>
        <v>124405973795</v>
      </c>
      <c r="Y93" s="17">
        <v>124354098795</v>
      </c>
      <c r="Z93" s="26"/>
      <c r="AA93" s="14" t="s">
        <v>64</v>
      </c>
      <c r="AB93" s="18">
        <f>11026</f>
        <v>11026</v>
      </c>
      <c r="AC93" s="19">
        <f>3</f>
        <v>3</v>
      </c>
    </row>
    <row r="94" spans="1:29">
      <c r="A94" s="11" t="s">
        <v>48</v>
      </c>
      <c r="B94" s="12" t="s">
        <v>597</v>
      </c>
      <c r="C94" s="12" t="s">
        <v>598</v>
      </c>
      <c r="D94" s="24"/>
      <c r="E94" s="12" t="s">
        <v>103</v>
      </c>
      <c r="F94" s="13" t="s">
        <v>255</v>
      </c>
      <c r="G94" s="13" t="s">
        <v>105</v>
      </c>
      <c r="H94" s="14"/>
      <c r="I94" s="15" t="s">
        <v>207</v>
      </c>
      <c r="J94" s="14"/>
      <c r="K94" s="15" t="s">
        <v>207</v>
      </c>
      <c r="L94" s="14" t="s">
        <v>622</v>
      </c>
      <c r="M94" s="15" t="s">
        <v>623</v>
      </c>
      <c r="N94" s="14"/>
      <c r="O94" s="15" t="s">
        <v>207</v>
      </c>
      <c r="P94" s="14" t="s">
        <v>624</v>
      </c>
      <c r="Q94" s="15" t="s">
        <v>625</v>
      </c>
      <c r="R94" s="14"/>
      <c r="S94" s="15" t="s">
        <v>207</v>
      </c>
      <c r="T94" s="16">
        <f>143.62</f>
        <v>143.62</v>
      </c>
      <c r="U94" s="17">
        <f>32382</f>
        <v>32382</v>
      </c>
      <c r="V94" s="17">
        <v>32382</v>
      </c>
      <c r="W94" s="25"/>
      <c r="X94" s="17">
        <f>46584583300</f>
        <v>46584583300</v>
      </c>
      <c r="Y94" s="17">
        <v>46584583300</v>
      </c>
      <c r="Z94" s="26"/>
      <c r="AA94" s="14"/>
      <c r="AB94" s="18">
        <f>30719</f>
        <v>30719</v>
      </c>
      <c r="AC94" s="19" t="str">
        <f>"－"</f>
        <v>－</v>
      </c>
    </row>
    <row r="95" spans="1:29">
      <c r="A95" s="11" t="s">
        <v>48</v>
      </c>
      <c r="B95" s="12" t="s">
        <v>597</v>
      </c>
      <c r="C95" s="12" t="s">
        <v>598</v>
      </c>
      <c r="D95" s="24"/>
      <c r="E95" s="12" t="s">
        <v>114</v>
      </c>
      <c r="F95" s="13" t="s">
        <v>149</v>
      </c>
      <c r="G95" s="13" t="s">
        <v>116</v>
      </c>
      <c r="H95" s="14"/>
      <c r="I95" s="15" t="s">
        <v>207</v>
      </c>
      <c r="J95" s="14"/>
      <c r="K95" s="15" t="s">
        <v>207</v>
      </c>
      <c r="L95" s="14"/>
      <c r="M95" s="15"/>
      <c r="N95" s="14"/>
      <c r="O95" s="15" t="s">
        <v>207</v>
      </c>
      <c r="P95" s="14"/>
      <c r="Q95" s="15"/>
      <c r="R95" s="14"/>
      <c r="S95" s="15" t="s">
        <v>207</v>
      </c>
      <c r="T95" s="16">
        <f>144.15</f>
        <v>144.15</v>
      </c>
      <c r="U95" s="17" t="str">
        <f>"－"</f>
        <v>－</v>
      </c>
      <c r="V95" s="17"/>
      <c r="W95" s="25"/>
      <c r="X95" s="17" t="str">
        <f>"－"</f>
        <v>－</v>
      </c>
      <c r="Y95" s="17"/>
      <c r="Z95" s="26"/>
      <c r="AA95" s="14"/>
      <c r="AB95" s="18" t="str">
        <f>"－"</f>
        <v>－</v>
      </c>
      <c r="AC95" s="19" t="str">
        <f>"－"</f>
        <v>－</v>
      </c>
    </row>
    <row r="96" spans="1:29">
      <c r="A96" s="11" t="s">
        <v>48</v>
      </c>
      <c r="B96" s="12" t="s">
        <v>597</v>
      </c>
      <c r="C96" s="12" t="s">
        <v>598</v>
      </c>
      <c r="D96" s="24"/>
      <c r="E96" s="12" t="s">
        <v>123</v>
      </c>
      <c r="F96" s="13" t="s">
        <v>258</v>
      </c>
      <c r="G96" s="13" t="s">
        <v>125</v>
      </c>
      <c r="H96" s="14"/>
      <c r="I96" s="15" t="s">
        <v>207</v>
      </c>
      <c r="J96" s="14"/>
      <c r="K96" s="15" t="s">
        <v>207</v>
      </c>
      <c r="L96" s="14"/>
      <c r="M96" s="15"/>
      <c r="N96" s="14"/>
      <c r="O96" s="15" t="s">
        <v>207</v>
      </c>
      <c r="P96" s="14"/>
      <c r="Q96" s="15"/>
      <c r="R96" s="14"/>
      <c r="S96" s="15" t="s">
        <v>207</v>
      </c>
      <c r="T96" s="16">
        <f>142.6</f>
        <v>142.6</v>
      </c>
      <c r="U96" s="17" t="str">
        <f>"－"</f>
        <v>－</v>
      </c>
      <c r="V96" s="17"/>
      <c r="W96" s="25"/>
      <c r="X96" s="17" t="str">
        <f>"－"</f>
        <v>－</v>
      </c>
      <c r="Y96" s="17"/>
      <c r="Z96" s="26"/>
      <c r="AA96" s="14"/>
      <c r="AB96" s="18" t="str">
        <f>"－"</f>
        <v>－</v>
      </c>
      <c r="AC96" s="19" t="str">
        <f>"－"</f>
        <v>－</v>
      </c>
    </row>
    <row r="97" spans="1:29">
      <c r="A97" s="11" t="s">
        <v>48</v>
      </c>
      <c r="B97" s="12" t="s">
        <v>626</v>
      </c>
      <c r="C97" s="12" t="s">
        <v>627</v>
      </c>
      <c r="D97" s="24"/>
      <c r="E97" s="12" t="s">
        <v>51</v>
      </c>
      <c r="F97" s="13" t="s">
        <v>241</v>
      </c>
      <c r="G97" s="13" t="s">
        <v>53</v>
      </c>
      <c r="H97" s="14" t="s">
        <v>54</v>
      </c>
      <c r="I97" s="15" t="s">
        <v>628</v>
      </c>
      <c r="J97" s="14" t="s">
        <v>177</v>
      </c>
      <c r="K97" s="15" t="s">
        <v>629</v>
      </c>
      <c r="L97" s="14" t="s">
        <v>56</v>
      </c>
      <c r="M97" s="15" t="s">
        <v>630</v>
      </c>
      <c r="N97" s="14" t="s">
        <v>54</v>
      </c>
      <c r="O97" s="15" t="s">
        <v>631</v>
      </c>
      <c r="P97" s="14" t="s">
        <v>98</v>
      </c>
      <c r="Q97" s="15" t="s">
        <v>632</v>
      </c>
      <c r="R97" s="14" t="s">
        <v>62</v>
      </c>
      <c r="S97" s="15" t="s">
        <v>633</v>
      </c>
      <c r="T97" s="16">
        <f>1846.75</f>
        <v>1846.75</v>
      </c>
      <c r="U97" s="17">
        <f>151162</f>
        <v>151162</v>
      </c>
      <c r="V97" s="17">
        <v>99008</v>
      </c>
      <c r="W97" s="25">
        <v>4416</v>
      </c>
      <c r="X97" s="17">
        <f>283405474050</f>
        <v>283405474050</v>
      </c>
      <c r="Y97" s="17">
        <v>186385934850</v>
      </c>
      <c r="Z97" s="26">
        <v>8378499200</v>
      </c>
      <c r="AA97" s="14" t="s">
        <v>64</v>
      </c>
      <c r="AB97" s="18">
        <f>37676</f>
        <v>37676</v>
      </c>
      <c r="AC97" s="19">
        <f>46</f>
        <v>46</v>
      </c>
    </row>
    <row r="98" spans="1:29">
      <c r="A98" s="11" t="s">
        <v>48</v>
      </c>
      <c r="B98" s="12" t="s">
        <v>626</v>
      </c>
      <c r="C98" s="12" t="s">
        <v>627</v>
      </c>
      <c r="D98" s="24"/>
      <c r="E98" s="12" t="s">
        <v>65</v>
      </c>
      <c r="F98" s="13" t="s">
        <v>104</v>
      </c>
      <c r="G98" s="13" t="s">
        <v>67</v>
      </c>
      <c r="H98" s="14" t="s">
        <v>607</v>
      </c>
      <c r="I98" s="15" t="s">
        <v>634</v>
      </c>
      <c r="J98" s="14" t="s">
        <v>635</v>
      </c>
      <c r="K98" s="15" t="s">
        <v>636</v>
      </c>
      <c r="L98" s="14" t="s">
        <v>635</v>
      </c>
      <c r="M98" s="15" t="s">
        <v>637</v>
      </c>
      <c r="N98" s="14" t="s">
        <v>577</v>
      </c>
      <c r="O98" s="15" t="s">
        <v>638</v>
      </c>
      <c r="P98" s="14" t="s">
        <v>577</v>
      </c>
      <c r="Q98" s="15" t="s">
        <v>639</v>
      </c>
      <c r="R98" s="14" t="s">
        <v>74</v>
      </c>
      <c r="S98" s="15" t="s">
        <v>640</v>
      </c>
      <c r="T98" s="16">
        <f>1949.54</f>
        <v>1949.54</v>
      </c>
      <c r="U98" s="17">
        <f>205903</f>
        <v>205903</v>
      </c>
      <c r="V98" s="17">
        <v>166326</v>
      </c>
      <c r="W98" s="25">
        <v>6471</v>
      </c>
      <c r="X98" s="17">
        <f>414083245080</f>
        <v>414083245080</v>
      </c>
      <c r="Y98" s="17">
        <v>334472240280</v>
      </c>
      <c r="Z98" s="26">
        <v>12721364800</v>
      </c>
      <c r="AA98" s="14" t="s">
        <v>64</v>
      </c>
      <c r="AB98" s="18">
        <f>19698</f>
        <v>19698</v>
      </c>
      <c r="AC98" s="19">
        <f>65</f>
        <v>65</v>
      </c>
    </row>
    <row r="99" spans="1:29">
      <c r="A99" s="11" t="s">
        <v>48</v>
      </c>
      <c r="B99" s="12" t="s">
        <v>626</v>
      </c>
      <c r="C99" s="12" t="s">
        <v>627</v>
      </c>
      <c r="D99" s="24"/>
      <c r="E99" s="12" t="s">
        <v>76</v>
      </c>
      <c r="F99" s="13" t="s">
        <v>244</v>
      </c>
      <c r="G99" s="13" t="s">
        <v>78</v>
      </c>
      <c r="H99" s="14" t="s">
        <v>546</v>
      </c>
      <c r="I99" s="15" t="s">
        <v>641</v>
      </c>
      <c r="J99" s="14" t="s">
        <v>642</v>
      </c>
      <c r="K99" s="15" t="s">
        <v>643</v>
      </c>
      <c r="L99" s="14" t="s">
        <v>216</v>
      </c>
      <c r="M99" s="15" t="s">
        <v>644</v>
      </c>
      <c r="N99" s="14" t="s">
        <v>584</v>
      </c>
      <c r="O99" s="15" t="s">
        <v>645</v>
      </c>
      <c r="P99" s="14" t="s">
        <v>646</v>
      </c>
      <c r="Q99" s="15" t="s">
        <v>647</v>
      </c>
      <c r="R99" s="14" t="s">
        <v>87</v>
      </c>
      <c r="S99" s="15" t="s">
        <v>648</v>
      </c>
      <c r="T99" s="16">
        <f>2003.77</f>
        <v>2003.77</v>
      </c>
      <c r="U99" s="17">
        <f>194256</f>
        <v>194256</v>
      </c>
      <c r="V99" s="17">
        <v>168166</v>
      </c>
      <c r="W99" s="25">
        <v>5356</v>
      </c>
      <c r="X99" s="17">
        <f>414089681960</f>
        <v>414089681960</v>
      </c>
      <c r="Y99" s="17">
        <v>358420746260</v>
      </c>
      <c r="Z99" s="26">
        <v>11446630700</v>
      </c>
      <c r="AA99" s="14" t="s">
        <v>64</v>
      </c>
      <c r="AB99" s="18">
        <f>10746</f>
        <v>10746</v>
      </c>
      <c r="AC99" s="19">
        <f>66</f>
        <v>66</v>
      </c>
    </row>
    <row r="100" spans="1:29">
      <c r="A100" s="11" t="s">
        <v>48</v>
      </c>
      <c r="B100" s="12" t="s">
        <v>626</v>
      </c>
      <c r="C100" s="12" t="s">
        <v>627</v>
      </c>
      <c r="D100" s="24"/>
      <c r="E100" s="12" t="s">
        <v>89</v>
      </c>
      <c r="F100" s="13" t="s">
        <v>124</v>
      </c>
      <c r="G100" s="13" t="s">
        <v>91</v>
      </c>
      <c r="H100" s="14" t="s">
        <v>200</v>
      </c>
      <c r="I100" s="15" t="s">
        <v>649</v>
      </c>
      <c r="J100" s="14" t="s">
        <v>650</v>
      </c>
      <c r="K100" s="15" t="s">
        <v>651</v>
      </c>
      <c r="L100" s="14" t="s">
        <v>87</v>
      </c>
      <c r="M100" s="15" t="s">
        <v>652</v>
      </c>
      <c r="N100" s="14" t="s">
        <v>250</v>
      </c>
      <c r="O100" s="15" t="s">
        <v>455</v>
      </c>
      <c r="P100" s="14" t="s">
        <v>155</v>
      </c>
      <c r="Q100" s="15" t="s">
        <v>653</v>
      </c>
      <c r="R100" s="14" t="s">
        <v>101</v>
      </c>
      <c r="S100" s="15" t="s">
        <v>654</v>
      </c>
      <c r="T100" s="16">
        <f>2063.77</f>
        <v>2063.77</v>
      </c>
      <c r="U100" s="17">
        <f>206881</f>
        <v>206881</v>
      </c>
      <c r="V100" s="17">
        <v>173036</v>
      </c>
      <c r="W100" s="25">
        <v>7451</v>
      </c>
      <c r="X100" s="17">
        <f>429522010760</f>
        <v>429522010760</v>
      </c>
      <c r="Y100" s="17">
        <v>359656378560</v>
      </c>
      <c r="Z100" s="26">
        <v>15511361700</v>
      </c>
      <c r="AA100" s="14" t="s">
        <v>64</v>
      </c>
      <c r="AB100" s="18">
        <f>9212</f>
        <v>9212</v>
      </c>
      <c r="AC100" s="19">
        <f>65</f>
        <v>65</v>
      </c>
    </row>
    <row r="101" spans="1:29">
      <c r="A101" s="11" t="s">
        <v>48</v>
      </c>
      <c r="B101" s="12" t="s">
        <v>626</v>
      </c>
      <c r="C101" s="12" t="s">
        <v>627</v>
      </c>
      <c r="D101" s="24"/>
      <c r="E101" s="12" t="s">
        <v>103</v>
      </c>
      <c r="F101" s="13" t="s">
        <v>255</v>
      </c>
      <c r="G101" s="13" t="s">
        <v>105</v>
      </c>
      <c r="H101" s="14" t="s">
        <v>564</v>
      </c>
      <c r="I101" s="15" t="s">
        <v>655</v>
      </c>
      <c r="J101" s="14" t="s">
        <v>112</v>
      </c>
      <c r="K101" s="15" t="s">
        <v>656</v>
      </c>
      <c r="L101" s="14" t="s">
        <v>112</v>
      </c>
      <c r="M101" s="15" t="s">
        <v>657</v>
      </c>
      <c r="N101" s="14" t="s">
        <v>658</v>
      </c>
      <c r="O101" s="15" t="s">
        <v>659</v>
      </c>
      <c r="P101" s="14" t="s">
        <v>226</v>
      </c>
      <c r="Q101" s="15" t="s">
        <v>660</v>
      </c>
      <c r="R101" s="14" t="s">
        <v>112</v>
      </c>
      <c r="S101" s="15" t="s">
        <v>661</v>
      </c>
      <c r="T101" s="16">
        <f>2066.47</f>
        <v>2066.4699999999998</v>
      </c>
      <c r="U101" s="17">
        <f>92485</f>
        <v>92485</v>
      </c>
      <c r="V101" s="17">
        <v>82178</v>
      </c>
      <c r="W101" s="25">
        <v>4150</v>
      </c>
      <c r="X101" s="17">
        <f>185681116810</f>
        <v>185681116810</v>
      </c>
      <c r="Y101" s="17">
        <v>164862138510</v>
      </c>
      <c r="Z101" s="26">
        <v>8360869800</v>
      </c>
      <c r="AA101" s="14"/>
      <c r="AB101" s="18">
        <f>75675</f>
        <v>75675</v>
      </c>
      <c r="AC101" s="19">
        <f>19</f>
        <v>19</v>
      </c>
    </row>
    <row r="102" spans="1:29">
      <c r="A102" s="11" t="s">
        <v>48</v>
      </c>
      <c r="B102" s="12" t="s">
        <v>626</v>
      </c>
      <c r="C102" s="12" t="s">
        <v>627</v>
      </c>
      <c r="D102" s="24"/>
      <c r="E102" s="12" t="s">
        <v>114</v>
      </c>
      <c r="F102" s="13" t="s">
        <v>149</v>
      </c>
      <c r="G102" s="13" t="s">
        <v>116</v>
      </c>
      <c r="H102" s="14"/>
      <c r="I102" s="15" t="s">
        <v>207</v>
      </c>
      <c r="J102" s="14"/>
      <c r="K102" s="15" t="s">
        <v>207</v>
      </c>
      <c r="L102" s="14"/>
      <c r="M102" s="15"/>
      <c r="N102" s="14"/>
      <c r="O102" s="15" t="s">
        <v>207</v>
      </c>
      <c r="P102" s="14"/>
      <c r="Q102" s="15"/>
      <c r="R102" s="14"/>
      <c r="S102" s="15" t="s">
        <v>207</v>
      </c>
      <c r="T102" s="16">
        <f>2027.37</f>
        <v>2027.37</v>
      </c>
      <c r="U102" s="17" t="str">
        <f t="shared" ref="U102:U112" si="0">"－"</f>
        <v>－</v>
      </c>
      <c r="V102" s="17"/>
      <c r="W102" s="25"/>
      <c r="X102" s="17" t="str">
        <f t="shared" ref="X102:X112" si="1">"－"</f>
        <v>－</v>
      </c>
      <c r="Y102" s="17"/>
      <c r="Z102" s="26"/>
      <c r="AA102" s="14"/>
      <c r="AB102" s="18" t="str">
        <f t="shared" ref="AB102:AC112" si="2">"－"</f>
        <v>－</v>
      </c>
      <c r="AC102" s="19" t="str">
        <f t="shared" si="2"/>
        <v>－</v>
      </c>
    </row>
    <row r="103" spans="1:29">
      <c r="A103" s="11" t="s">
        <v>48</v>
      </c>
      <c r="B103" s="12" t="s">
        <v>626</v>
      </c>
      <c r="C103" s="12" t="s">
        <v>627</v>
      </c>
      <c r="D103" s="24"/>
      <c r="E103" s="12" t="s">
        <v>123</v>
      </c>
      <c r="F103" s="13" t="s">
        <v>258</v>
      </c>
      <c r="G103" s="13" t="s">
        <v>125</v>
      </c>
      <c r="H103" s="14"/>
      <c r="I103" s="15" t="s">
        <v>207</v>
      </c>
      <c r="J103" s="14"/>
      <c r="K103" s="15" t="s">
        <v>207</v>
      </c>
      <c r="L103" s="14"/>
      <c r="M103" s="15"/>
      <c r="N103" s="14"/>
      <c r="O103" s="15" t="s">
        <v>207</v>
      </c>
      <c r="P103" s="14"/>
      <c r="Q103" s="15"/>
      <c r="R103" s="14"/>
      <c r="S103" s="15" t="s">
        <v>207</v>
      </c>
      <c r="T103" s="16">
        <f>1990.9</f>
        <v>1990.9</v>
      </c>
      <c r="U103" s="17" t="str">
        <f t="shared" si="0"/>
        <v>－</v>
      </c>
      <c r="V103" s="17"/>
      <c r="W103" s="25"/>
      <c r="X103" s="17" t="str">
        <f t="shared" si="1"/>
        <v>－</v>
      </c>
      <c r="Y103" s="17"/>
      <c r="Z103" s="26"/>
      <c r="AA103" s="14"/>
      <c r="AB103" s="18" t="str">
        <f t="shared" si="2"/>
        <v>－</v>
      </c>
      <c r="AC103" s="19" t="str">
        <f t="shared" si="2"/>
        <v>－</v>
      </c>
    </row>
    <row r="104" spans="1:29">
      <c r="A104" s="11" t="s">
        <v>48</v>
      </c>
      <c r="B104" s="12" t="s">
        <v>662</v>
      </c>
      <c r="C104" s="12" t="s">
        <v>663</v>
      </c>
      <c r="D104" s="24"/>
      <c r="E104" s="12" t="s">
        <v>51</v>
      </c>
      <c r="F104" s="13" t="s">
        <v>238</v>
      </c>
      <c r="G104" s="13" t="s">
        <v>53</v>
      </c>
      <c r="H104" s="14"/>
      <c r="I104" s="15" t="s">
        <v>207</v>
      </c>
      <c r="J104" s="14"/>
      <c r="K104" s="15" t="s">
        <v>207</v>
      </c>
      <c r="L104" s="14"/>
      <c r="M104" s="15"/>
      <c r="N104" s="14"/>
      <c r="O104" s="15" t="s">
        <v>207</v>
      </c>
      <c r="P104" s="14"/>
      <c r="Q104" s="15"/>
      <c r="R104" s="14"/>
      <c r="S104" s="15" t="s">
        <v>207</v>
      </c>
      <c r="T104" s="16">
        <f>1437.86</f>
        <v>1437.86</v>
      </c>
      <c r="U104" s="17" t="str">
        <f t="shared" si="0"/>
        <v>－</v>
      </c>
      <c r="V104" s="17"/>
      <c r="W104" s="25"/>
      <c r="X104" s="17" t="str">
        <f t="shared" si="1"/>
        <v>－</v>
      </c>
      <c r="Y104" s="17"/>
      <c r="Z104" s="26"/>
      <c r="AA104" s="14" t="s">
        <v>64</v>
      </c>
      <c r="AB104" s="18" t="str">
        <f t="shared" si="2"/>
        <v>－</v>
      </c>
      <c r="AC104" s="19" t="str">
        <f t="shared" si="2"/>
        <v>－</v>
      </c>
    </row>
    <row r="105" spans="1:29">
      <c r="A105" s="11" t="s">
        <v>48</v>
      </c>
      <c r="B105" s="12" t="s">
        <v>662</v>
      </c>
      <c r="C105" s="12" t="s">
        <v>663</v>
      </c>
      <c r="D105" s="24"/>
      <c r="E105" s="12" t="s">
        <v>65</v>
      </c>
      <c r="F105" s="13" t="s">
        <v>77</v>
      </c>
      <c r="G105" s="13" t="s">
        <v>67</v>
      </c>
      <c r="H105" s="14"/>
      <c r="I105" s="15" t="s">
        <v>207</v>
      </c>
      <c r="J105" s="14"/>
      <c r="K105" s="15" t="s">
        <v>207</v>
      </c>
      <c r="L105" s="14"/>
      <c r="M105" s="15"/>
      <c r="N105" s="14"/>
      <c r="O105" s="15" t="s">
        <v>207</v>
      </c>
      <c r="P105" s="14"/>
      <c r="Q105" s="15"/>
      <c r="R105" s="14"/>
      <c r="S105" s="15" t="s">
        <v>207</v>
      </c>
      <c r="T105" s="16">
        <f>1456.39</f>
        <v>1456.39</v>
      </c>
      <c r="U105" s="17" t="str">
        <f t="shared" si="0"/>
        <v>－</v>
      </c>
      <c r="V105" s="17"/>
      <c r="W105" s="25"/>
      <c r="X105" s="17" t="str">
        <f t="shared" si="1"/>
        <v>－</v>
      </c>
      <c r="Y105" s="17"/>
      <c r="Z105" s="26"/>
      <c r="AA105" s="14" t="s">
        <v>64</v>
      </c>
      <c r="AB105" s="18" t="str">
        <f t="shared" si="2"/>
        <v>－</v>
      </c>
      <c r="AC105" s="19" t="str">
        <f t="shared" si="2"/>
        <v>－</v>
      </c>
    </row>
    <row r="106" spans="1:29">
      <c r="A106" s="11" t="s">
        <v>48</v>
      </c>
      <c r="B106" s="12" t="s">
        <v>662</v>
      </c>
      <c r="C106" s="12" t="s">
        <v>663</v>
      </c>
      <c r="D106" s="24"/>
      <c r="E106" s="12" t="s">
        <v>76</v>
      </c>
      <c r="F106" s="13" t="s">
        <v>241</v>
      </c>
      <c r="G106" s="13" t="s">
        <v>78</v>
      </c>
      <c r="H106" s="14"/>
      <c r="I106" s="15" t="s">
        <v>207</v>
      </c>
      <c r="J106" s="14"/>
      <c r="K106" s="15" t="s">
        <v>207</v>
      </c>
      <c r="L106" s="14"/>
      <c r="M106" s="15"/>
      <c r="N106" s="14"/>
      <c r="O106" s="15" t="s">
        <v>207</v>
      </c>
      <c r="P106" s="14"/>
      <c r="Q106" s="15"/>
      <c r="R106" s="14"/>
      <c r="S106" s="15" t="s">
        <v>207</v>
      </c>
      <c r="T106" s="16">
        <f>1466.01</f>
        <v>1466.01</v>
      </c>
      <c r="U106" s="17" t="str">
        <f t="shared" si="0"/>
        <v>－</v>
      </c>
      <c r="V106" s="17"/>
      <c r="W106" s="25"/>
      <c r="X106" s="17" t="str">
        <f t="shared" si="1"/>
        <v>－</v>
      </c>
      <c r="Y106" s="17"/>
      <c r="Z106" s="26"/>
      <c r="AA106" s="14" t="s">
        <v>64</v>
      </c>
      <c r="AB106" s="18" t="str">
        <f t="shared" si="2"/>
        <v>－</v>
      </c>
      <c r="AC106" s="19" t="str">
        <f t="shared" si="2"/>
        <v>－</v>
      </c>
    </row>
    <row r="107" spans="1:29">
      <c r="A107" s="11" t="s">
        <v>48</v>
      </c>
      <c r="B107" s="12" t="s">
        <v>662</v>
      </c>
      <c r="C107" s="12" t="s">
        <v>663</v>
      </c>
      <c r="D107" s="24"/>
      <c r="E107" s="12" t="s">
        <v>89</v>
      </c>
      <c r="F107" s="13" t="s">
        <v>104</v>
      </c>
      <c r="G107" s="13" t="s">
        <v>91</v>
      </c>
      <c r="H107" s="14"/>
      <c r="I107" s="15" t="s">
        <v>207</v>
      </c>
      <c r="J107" s="14"/>
      <c r="K107" s="15" t="s">
        <v>207</v>
      </c>
      <c r="L107" s="14"/>
      <c r="M107" s="15"/>
      <c r="N107" s="14"/>
      <c r="O107" s="15" t="s">
        <v>207</v>
      </c>
      <c r="P107" s="14"/>
      <c r="Q107" s="15"/>
      <c r="R107" s="14"/>
      <c r="S107" s="15" t="s">
        <v>207</v>
      </c>
      <c r="T107" s="16">
        <f>1477.45</f>
        <v>1477.45</v>
      </c>
      <c r="U107" s="17" t="str">
        <f t="shared" si="0"/>
        <v>－</v>
      </c>
      <c r="V107" s="17"/>
      <c r="W107" s="25"/>
      <c r="X107" s="17" t="str">
        <f t="shared" si="1"/>
        <v>－</v>
      </c>
      <c r="Y107" s="17"/>
      <c r="Z107" s="26"/>
      <c r="AA107" s="14" t="s">
        <v>64</v>
      </c>
      <c r="AB107" s="18" t="str">
        <f t="shared" si="2"/>
        <v>－</v>
      </c>
      <c r="AC107" s="19" t="str">
        <f t="shared" si="2"/>
        <v>－</v>
      </c>
    </row>
    <row r="108" spans="1:29">
      <c r="A108" s="11" t="s">
        <v>48</v>
      </c>
      <c r="B108" s="12" t="s">
        <v>662</v>
      </c>
      <c r="C108" s="12" t="s">
        <v>663</v>
      </c>
      <c r="D108" s="24"/>
      <c r="E108" s="12" t="s">
        <v>103</v>
      </c>
      <c r="F108" s="13" t="s">
        <v>244</v>
      </c>
      <c r="G108" s="13" t="s">
        <v>105</v>
      </c>
      <c r="H108" s="14"/>
      <c r="I108" s="15" t="s">
        <v>207</v>
      </c>
      <c r="J108" s="14"/>
      <c r="K108" s="15" t="s">
        <v>207</v>
      </c>
      <c r="L108" s="14"/>
      <c r="M108" s="15"/>
      <c r="N108" s="14"/>
      <c r="O108" s="15" t="s">
        <v>207</v>
      </c>
      <c r="P108" s="14"/>
      <c r="Q108" s="15"/>
      <c r="R108" s="14"/>
      <c r="S108" s="15" t="s">
        <v>207</v>
      </c>
      <c r="T108" s="16">
        <f>1478.1</f>
        <v>1478.1</v>
      </c>
      <c r="U108" s="17" t="str">
        <f t="shared" si="0"/>
        <v>－</v>
      </c>
      <c r="V108" s="17"/>
      <c r="W108" s="25"/>
      <c r="X108" s="17" t="str">
        <f t="shared" si="1"/>
        <v>－</v>
      </c>
      <c r="Y108" s="17"/>
      <c r="Z108" s="26"/>
      <c r="AA108" s="14"/>
      <c r="AB108" s="18" t="str">
        <f t="shared" si="2"/>
        <v>－</v>
      </c>
      <c r="AC108" s="19" t="str">
        <f t="shared" si="2"/>
        <v>－</v>
      </c>
    </row>
    <row r="109" spans="1:29">
      <c r="A109" s="11" t="s">
        <v>48</v>
      </c>
      <c r="B109" s="12" t="s">
        <v>662</v>
      </c>
      <c r="C109" s="12" t="s">
        <v>663</v>
      </c>
      <c r="D109" s="24"/>
      <c r="E109" s="12" t="s">
        <v>114</v>
      </c>
      <c r="F109" s="13" t="s">
        <v>124</v>
      </c>
      <c r="G109" s="13" t="s">
        <v>116</v>
      </c>
      <c r="H109" s="14"/>
      <c r="I109" s="15" t="s">
        <v>207</v>
      </c>
      <c r="J109" s="14"/>
      <c r="K109" s="15" t="s">
        <v>207</v>
      </c>
      <c r="L109" s="14"/>
      <c r="M109" s="15"/>
      <c r="N109" s="14"/>
      <c r="O109" s="15" t="s">
        <v>207</v>
      </c>
      <c r="P109" s="14"/>
      <c r="Q109" s="15"/>
      <c r="R109" s="14"/>
      <c r="S109" s="15" t="s">
        <v>207</v>
      </c>
      <c r="T109" s="16">
        <f>1479.68</f>
        <v>1479.68</v>
      </c>
      <c r="U109" s="17" t="str">
        <f t="shared" si="0"/>
        <v>－</v>
      </c>
      <c r="V109" s="17"/>
      <c r="W109" s="25"/>
      <c r="X109" s="17" t="str">
        <f t="shared" si="1"/>
        <v>－</v>
      </c>
      <c r="Y109" s="17"/>
      <c r="Z109" s="26"/>
      <c r="AA109" s="14"/>
      <c r="AB109" s="18" t="str">
        <f t="shared" si="2"/>
        <v>－</v>
      </c>
      <c r="AC109" s="19" t="str">
        <f t="shared" si="2"/>
        <v>－</v>
      </c>
    </row>
    <row r="110" spans="1:29">
      <c r="A110" s="11" t="s">
        <v>48</v>
      </c>
      <c r="B110" s="12" t="s">
        <v>662</v>
      </c>
      <c r="C110" s="12" t="s">
        <v>663</v>
      </c>
      <c r="D110" s="24"/>
      <c r="E110" s="12" t="s">
        <v>123</v>
      </c>
      <c r="F110" s="13" t="s">
        <v>255</v>
      </c>
      <c r="G110" s="13" t="s">
        <v>125</v>
      </c>
      <c r="H110" s="14"/>
      <c r="I110" s="15" t="s">
        <v>207</v>
      </c>
      <c r="J110" s="14"/>
      <c r="K110" s="15" t="s">
        <v>207</v>
      </c>
      <c r="L110" s="14"/>
      <c r="M110" s="15"/>
      <c r="N110" s="14"/>
      <c r="O110" s="15" t="s">
        <v>207</v>
      </c>
      <c r="P110" s="14"/>
      <c r="Q110" s="15"/>
      <c r="R110" s="14"/>
      <c r="S110" s="15" t="s">
        <v>207</v>
      </c>
      <c r="T110" s="16">
        <f>1489.69</f>
        <v>1489.69</v>
      </c>
      <c r="U110" s="17" t="str">
        <f t="shared" si="0"/>
        <v>－</v>
      </c>
      <c r="V110" s="17"/>
      <c r="W110" s="25"/>
      <c r="X110" s="17" t="str">
        <f t="shared" si="1"/>
        <v>－</v>
      </c>
      <c r="Y110" s="17"/>
      <c r="Z110" s="26"/>
      <c r="AA110" s="14"/>
      <c r="AB110" s="18" t="str">
        <f t="shared" si="2"/>
        <v>－</v>
      </c>
      <c r="AC110" s="19" t="str">
        <f t="shared" si="2"/>
        <v>－</v>
      </c>
    </row>
    <row r="111" spans="1:29">
      <c r="A111" s="11" t="s">
        <v>48</v>
      </c>
      <c r="B111" s="12" t="s">
        <v>662</v>
      </c>
      <c r="C111" s="12" t="s">
        <v>663</v>
      </c>
      <c r="D111" s="24"/>
      <c r="E111" s="12" t="s">
        <v>136</v>
      </c>
      <c r="F111" s="13" t="s">
        <v>149</v>
      </c>
      <c r="G111" s="13" t="s">
        <v>138</v>
      </c>
      <c r="H111" s="14"/>
      <c r="I111" s="15" t="s">
        <v>207</v>
      </c>
      <c r="J111" s="14"/>
      <c r="K111" s="15" t="s">
        <v>207</v>
      </c>
      <c r="L111" s="14"/>
      <c r="M111" s="15"/>
      <c r="N111" s="14"/>
      <c r="O111" s="15" t="s">
        <v>207</v>
      </c>
      <c r="P111" s="14"/>
      <c r="Q111" s="15"/>
      <c r="R111" s="14"/>
      <c r="S111" s="15" t="s">
        <v>207</v>
      </c>
      <c r="T111" s="16">
        <f>1504.27</f>
        <v>1504.27</v>
      </c>
      <c r="U111" s="17" t="str">
        <f t="shared" si="0"/>
        <v>－</v>
      </c>
      <c r="V111" s="17"/>
      <c r="W111" s="25"/>
      <c r="X111" s="17" t="str">
        <f t="shared" si="1"/>
        <v>－</v>
      </c>
      <c r="Y111" s="17"/>
      <c r="Z111" s="26"/>
      <c r="AA111" s="14"/>
      <c r="AB111" s="18" t="str">
        <f t="shared" si="2"/>
        <v>－</v>
      </c>
      <c r="AC111" s="19" t="str">
        <f t="shared" si="2"/>
        <v>－</v>
      </c>
    </row>
    <row r="112" spans="1:29">
      <c r="A112" s="11" t="s">
        <v>48</v>
      </c>
      <c r="B112" s="12" t="s">
        <v>662</v>
      </c>
      <c r="C112" s="12" t="s">
        <v>663</v>
      </c>
      <c r="D112" s="24"/>
      <c r="E112" s="12" t="s">
        <v>148</v>
      </c>
      <c r="F112" s="13" t="s">
        <v>258</v>
      </c>
      <c r="G112" s="13" t="s">
        <v>150</v>
      </c>
      <c r="H112" s="14"/>
      <c r="I112" s="15" t="s">
        <v>207</v>
      </c>
      <c r="J112" s="14"/>
      <c r="K112" s="15" t="s">
        <v>207</v>
      </c>
      <c r="L112" s="14"/>
      <c r="M112" s="15"/>
      <c r="N112" s="14"/>
      <c r="O112" s="15" t="s">
        <v>207</v>
      </c>
      <c r="P112" s="14"/>
      <c r="Q112" s="15"/>
      <c r="R112" s="14"/>
      <c r="S112" s="15" t="s">
        <v>207</v>
      </c>
      <c r="T112" s="16">
        <f>1483</f>
        <v>1483</v>
      </c>
      <c r="U112" s="17" t="str">
        <f t="shared" si="0"/>
        <v>－</v>
      </c>
      <c r="V112" s="17"/>
      <c r="W112" s="25"/>
      <c r="X112" s="17" t="str">
        <f t="shared" si="1"/>
        <v>－</v>
      </c>
      <c r="Y112" s="17"/>
      <c r="Z112" s="26"/>
      <c r="AA112" s="14"/>
      <c r="AB112" s="18" t="str">
        <f t="shared" si="2"/>
        <v>－</v>
      </c>
      <c r="AC112" s="19" t="str">
        <f t="shared" si="2"/>
        <v>－</v>
      </c>
    </row>
    <row r="113" spans="1:29">
      <c r="A113" s="11" t="s">
        <v>48</v>
      </c>
      <c r="B113" s="12" t="s">
        <v>664</v>
      </c>
      <c r="C113" s="12" t="s">
        <v>665</v>
      </c>
      <c r="D113" s="24"/>
      <c r="E113" s="12" t="s">
        <v>51</v>
      </c>
      <c r="F113" s="13" t="s">
        <v>238</v>
      </c>
      <c r="G113" s="13" t="s">
        <v>53</v>
      </c>
      <c r="H113" s="14" t="s">
        <v>54</v>
      </c>
      <c r="I113" s="15" t="s">
        <v>666</v>
      </c>
      <c r="J113" s="14" t="s">
        <v>56</v>
      </c>
      <c r="K113" s="15" t="s">
        <v>667</v>
      </c>
      <c r="L113" s="14" t="s">
        <v>56</v>
      </c>
      <c r="M113" s="15" t="s">
        <v>668</v>
      </c>
      <c r="N113" s="14" t="s">
        <v>577</v>
      </c>
      <c r="O113" s="15" t="s">
        <v>669</v>
      </c>
      <c r="P113" s="14" t="s">
        <v>577</v>
      </c>
      <c r="Q113" s="15" t="s">
        <v>670</v>
      </c>
      <c r="R113" s="14" t="s">
        <v>62</v>
      </c>
      <c r="S113" s="15" t="s">
        <v>671</v>
      </c>
      <c r="T113" s="16">
        <f>1238.98</f>
        <v>1238.98</v>
      </c>
      <c r="U113" s="17">
        <f>197277</f>
        <v>197277</v>
      </c>
      <c r="V113" s="17">
        <v>19059</v>
      </c>
      <c r="W113" s="25">
        <v>11028</v>
      </c>
      <c r="X113" s="17">
        <f>239917600010</f>
        <v>239917600010</v>
      </c>
      <c r="Y113" s="17">
        <v>22738143510</v>
      </c>
      <c r="Z113" s="26">
        <v>12638584500</v>
      </c>
      <c r="AA113" s="14" t="s">
        <v>64</v>
      </c>
      <c r="AB113" s="18">
        <f>3082</f>
        <v>3082</v>
      </c>
      <c r="AC113" s="19">
        <f>46</f>
        <v>46</v>
      </c>
    </row>
    <row r="114" spans="1:29">
      <c r="A114" s="11" t="s">
        <v>48</v>
      </c>
      <c r="B114" s="12" t="s">
        <v>664</v>
      </c>
      <c r="C114" s="12" t="s">
        <v>665</v>
      </c>
      <c r="D114" s="24"/>
      <c r="E114" s="12" t="s">
        <v>65</v>
      </c>
      <c r="F114" s="13" t="s">
        <v>77</v>
      </c>
      <c r="G114" s="13" t="s">
        <v>67</v>
      </c>
      <c r="H114" s="14" t="s">
        <v>54</v>
      </c>
      <c r="I114" s="15" t="s">
        <v>672</v>
      </c>
      <c r="J114" s="14" t="s">
        <v>56</v>
      </c>
      <c r="K114" s="15" t="s">
        <v>673</v>
      </c>
      <c r="L114" s="14" t="s">
        <v>674</v>
      </c>
      <c r="M114" s="15" t="s">
        <v>675</v>
      </c>
      <c r="N114" s="14" t="s">
        <v>180</v>
      </c>
      <c r="O114" s="15" t="s">
        <v>676</v>
      </c>
      <c r="P114" s="14" t="s">
        <v>180</v>
      </c>
      <c r="Q114" s="15" t="s">
        <v>677</v>
      </c>
      <c r="R114" s="14" t="s">
        <v>74</v>
      </c>
      <c r="S114" s="15" t="s">
        <v>678</v>
      </c>
      <c r="T114" s="16">
        <f>1205.09</f>
        <v>1205.0899999999999</v>
      </c>
      <c r="U114" s="17">
        <f>285749</f>
        <v>285749</v>
      </c>
      <c r="V114" s="17">
        <v>48147</v>
      </c>
      <c r="W114" s="25">
        <v>17937</v>
      </c>
      <c r="X114" s="17">
        <f>330045138770</f>
        <v>330045138770</v>
      </c>
      <c r="Y114" s="17">
        <v>55457844770</v>
      </c>
      <c r="Z114" s="26">
        <v>20396368000</v>
      </c>
      <c r="AA114" s="14" t="s">
        <v>64</v>
      </c>
      <c r="AB114" s="18">
        <f>5391</f>
        <v>5391</v>
      </c>
      <c r="AC114" s="19">
        <f>107</f>
        <v>107</v>
      </c>
    </row>
    <row r="115" spans="1:29">
      <c r="A115" s="11" t="s">
        <v>48</v>
      </c>
      <c r="B115" s="12" t="s">
        <v>664</v>
      </c>
      <c r="C115" s="12" t="s">
        <v>665</v>
      </c>
      <c r="D115" s="24"/>
      <c r="E115" s="12" t="s">
        <v>76</v>
      </c>
      <c r="F115" s="13" t="s">
        <v>241</v>
      </c>
      <c r="G115" s="13" t="s">
        <v>78</v>
      </c>
      <c r="H115" s="14" t="s">
        <v>679</v>
      </c>
      <c r="I115" s="15" t="s">
        <v>680</v>
      </c>
      <c r="J115" s="14" t="s">
        <v>681</v>
      </c>
      <c r="K115" s="15" t="s">
        <v>682</v>
      </c>
      <c r="L115" s="14" t="s">
        <v>683</v>
      </c>
      <c r="M115" s="15" t="s">
        <v>684</v>
      </c>
      <c r="N115" s="14" t="s">
        <v>685</v>
      </c>
      <c r="O115" s="15" t="s">
        <v>583</v>
      </c>
      <c r="P115" s="14" t="s">
        <v>685</v>
      </c>
      <c r="Q115" s="15" t="s">
        <v>686</v>
      </c>
      <c r="R115" s="14" t="s">
        <v>87</v>
      </c>
      <c r="S115" s="15" t="s">
        <v>687</v>
      </c>
      <c r="T115" s="16">
        <f>1178.88</f>
        <v>1178.8800000000001</v>
      </c>
      <c r="U115" s="17">
        <f>297301</f>
        <v>297301</v>
      </c>
      <c r="V115" s="17">
        <v>61002</v>
      </c>
      <c r="W115" s="25">
        <v>12682</v>
      </c>
      <c r="X115" s="17">
        <f>330760535260</f>
        <v>330760535260</v>
      </c>
      <c r="Y115" s="17">
        <v>68911710260</v>
      </c>
      <c r="Z115" s="26">
        <v>14520220000</v>
      </c>
      <c r="AA115" s="14" t="s">
        <v>64</v>
      </c>
      <c r="AB115" s="18">
        <f>3794</f>
        <v>3794</v>
      </c>
      <c r="AC115" s="19">
        <f>129</f>
        <v>129</v>
      </c>
    </row>
    <row r="116" spans="1:29">
      <c r="A116" s="11" t="s">
        <v>48</v>
      </c>
      <c r="B116" s="12" t="s">
        <v>664</v>
      </c>
      <c r="C116" s="12" t="s">
        <v>665</v>
      </c>
      <c r="D116" s="24"/>
      <c r="E116" s="12" t="s">
        <v>89</v>
      </c>
      <c r="F116" s="13" t="s">
        <v>104</v>
      </c>
      <c r="G116" s="13" t="s">
        <v>91</v>
      </c>
      <c r="H116" s="14" t="s">
        <v>688</v>
      </c>
      <c r="I116" s="15" t="s">
        <v>689</v>
      </c>
      <c r="J116" s="14" t="s">
        <v>688</v>
      </c>
      <c r="K116" s="15" t="s">
        <v>689</v>
      </c>
      <c r="L116" s="14" t="s">
        <v>690</v>
      </c>
      <c r="M116" s="15" t="s">
        <v>691</v>
      </c>
      <c r="N116" s="14" t="s">
        <v>685</v>
      </c>
      <c r="O116" s="15" t="s">
        <v>692</v>
      </c>
      <c r="P116" s="14" t="s">
        <v>564</v>
      </c>
      <c r="Q116" s="15" t="s">
        <v>693</v>
      </c>
      <c r="R116" s="14" t="s">
        <v>101</v>
      </c>
      <c r="S116" s="15" t="s">
        <v>694</v>
      </c>
      <c r="T116" s="16">
        <f>1163.6</f>
        <v>1163.5999999999999</v>
      </c>
      <c r="U116" s="17">
        <f>319007</f>
        <v>319007</v>
      </c>
      <c r="V116" s="17">
        <v>59539</v>
      </c>
      <c r="W116" s="25">
        <v>11143</v>
      </c>
      <c r="X116" s="17">
        <f>351414272770</f>
        <v>351414272770</v>
      </c>
      <c r="Y116" s="17">
        <v>65302592770</v>
      </c>
      <c r="Z116" s="26">
        <v>12142428000</v>
      </c>
      <c r="AA116" s="14" t="s">
        <v>64</v>
      </c>
      <c r="AB116" s="18">
        <f>2847</f>
        <v>2847</v>
      </c>
      <c r="AC116" s="19">
        <f>124</f>
        <v>124</v>
      </c>
    </row>
    <row r="117" spans="1:29">
      <c r="A117" s="11" t="s">
        <v>48</v>
      </c>
      <c r="B117" s="12" t="s">
        <v>664</v>
      </c>
      <c r="C117" s="12" t="s">
        <v>665</v>
      </c>
      <c r="D117" s="24"/>
      <c r="E117" s="12" t="s">
        <v>103</v>
      </c>
      <c r="F117" s="13" t="s">
        <v>244</v>
      </c>
      <c r="G117" s="13" t="s">
        <v>105</v>
      </c>
      <c r="H117" s="14" t="s">
        <v>194</v>
      </c>
      <c r="I117" s="15" t="s">
        <v>695</v>
      </c>
      <c r="J117" s="14" t="s">
        <v>690</v>
      </c>
      <c r="K117" s="15" t="s">
        <v>696</v>
      </c>
      <c r="L117" s="14" t="s">
        <v>622</v>
      </c>
      <c r="M117" s="15" t="s">
        <v>697</v>
      </c>
      <c r="N117" s="14" t="s">
        <v>157</v>
      </c>
      <c r="O117" s="15" t="s">
        <v>698</v>
      </c>
      <c r="P117" s="14" t="s">
        <v>157</v>
      </c>
      <c r="Q117" s="15" t="s">
        <v>699</v>
      </c>
      <c r="R117" s="14" t="s">
        <v>112</v>
      </c>
      <c r="S117" s="15" t="s">
        <v>700</v>
      </c>
      <c r="T117" s="16">
        <f>1153.33</f>
        <v>1153.33</v>
      </c>
      <c r="U117" s="17">
        <f>171406</f>
        <v>171406</v>
      </c>
      <c r="V117" s="17">
        <v>30447</v>
      </c>
      <c r="W117" s="25">
        <v>5370</v>
      </c>
      <c r="X117" s="17">
        <f>170758365500</f>
        <v>170758365500</v>
      </c>
      <c r="Y117" s="17">
        <v>30809796000</v>
      </c>
      <c r="Z117" s="26">
        <v>5533834500</v>
      </c>
      <c r="AA117" s="14"/>
      <c r="AB117" s="18">
        <f>27079</f>
        <v>27079</v>
      </c>
      <c r="AC117" s="19">
        <f>77</f>
        <v>77</v>
      </c>
    </row>
    <row r="118" spans="1:29">
      <c r="A118" s="11" t="s">
        <v>48</v>
      </c>
      <c r="B118" s="12" t="s">
        <v>664</v>
      </c>
      <c r="C118" s="12" t="s">
        <v>665</v>
      </c>
      <c r="D118" s="24"/>
      <c r="E118" s="12" t="s">
        <v>114</v>
      </c>
      <c r="F118" s="13" t="s">
        <v>124</v>
      </c>
      <c r="G118" s="13" t="s">
        <v>116</v>
      </c>
      <c r="H118" s="14" t="s">
        <v>164</v>
      </c>
      <c r="I118" s="15" t="s">
        <v>701</v>
      </c>
      <c r="J118" s="14" t="s">
        <v>164</v>
      </c>
      <c r="K118" s="15" t="s">
        <v>701</v>
      </c>
      <c r="L118" s="14"/>
      <c r="M118" s="15"/>
      <c r="N118" s="14" t="s">
        <v>702</v>
      </c>
      <c r="O118" s="15" t="s">
        <v>703</v>
      </c>
      <c r="P118" s="14"/>
      <c r="Q118" s="15"/>
      <c r="R118" s="14" t="s">
        <v>112</v>
      </c>
      <c r="S118" s="15" t="s">
        <v>593</v>
      </c>
      <c r="T118" s="16">
        <f>1133.39</f>
        <v>1133.3900000000001</v>
      </c>
      <c r="U118" s="17">
        <f>602</f>
        <v>602</v>
      </c>
      <c r="V118" s="17"/>
      <c r="W118" s="25"/>
      <c r="X118" s="17">
        <f>583676000</f>
        <v>583676000</v>
      </c>
      <c r="Y118" s="17"/>
      <c r="Z118" s="26"/>
      <c r="AA118" s="14"/>
      <c r="AB118" s="18">
        <f>280</f>
        <v>280</v>
      </c>
      <c r="AC118" s="19">
        <f>17</f>
        <v>17</v>
      </c>
    </row>
    <row r="119" spans="1:29">
      <c r="A119" s="11" t="s">
        <v>48</v>
      </c>
      <c r="B119" s="12" t="s">
        <v>664</v>
      </c>
      <c r="C119" s="12" t="s">
        <v>665</v>
      </c>
      <c r="D119" s="24"/>
      <c r="E119" s="12" t="s">
        <v>123</v>
      </c>
      <c r="F119" s="13" t="s">
        <v>255</v>
      </c>
      <c r="G119" s="13" t="s">
        <v>125</v>
      </c>
      <c r="H119" s="14" t="s">
        <v>702</v>
      </c>
      <c r="I119" s="15" t="s">
        <v>704</v>
      </c>
      <c r="J119" s="14" t="s">
        <v>702</v>
      </c>
      <c r="K119" s="15" t="s">
        <v>704</v>
      </c>
      <c r="L119" s="14"/>
      <c r="M119" s="15"/>
      <c r="N119" s="14" t="s">
        <v>702</v>
      </c>
      <c r="O119" s="15" t="s">
        <v>704</v>
      </c>
      <c r="P119" s="14"/>
      <c r="Q119" s="15"/>
      <c r="R119" s="14" t="s">
        <v>702</v>
      </c>
      <c r="S119" s="15" t="s">
        <v>704</v>
      </c>
      <c r="T119" s="16">
        <f>1112.78</f>
        <v>1112.78</v>
      </c>
      <c r="U119" s="17">
        <f>20</f>
        <v>20</v>
      </c>
      <c r="V119" s="17"/>
      <c r="W119" s="25"/>
      <c r="X119" s="17">
        <f>19400000</f>
        <v>19400000</v>
      </c>
      <c r="Y119" s="17"/>
      <c r="Z119" s="26"/>
      <c r="AA119" s="14"/>
      <c r="AB119" s="18">
        <f>20</f>
        <v>20</v>
      </c>
      <c r="AC119" s="19">
        <f>1</f>
        <v>1</v>
      </c>
    </row>
    <row r="120" spans="1:29">
      <c r="A120" s="11" t="s">
        <v>48</v>
      </c>
      <c r="B120" s="12" t="s">
        <v>664</v>
      </c>
      <c r="C120" s="12" t="s">
        <v>665</v>
      </c>
      <c r="D120" s="24"/>
      <c r="E120" s="12" t="s">
        <v>136</v>
      </c>
      <c r="F120" s="13" t="s">
        <v>149</v>
      </c>
      <c r="G120" s="13" t="s">
        <v>138</v>
      </c>
      <c r="H120" s="14" t="s">
        <v>619</v>
      </c>
      <c r="I120" s="15" t="s">
        <v>705</v>
      </c>
      <c r="J120" s="14" t="s">
        <v>619</v>
      </c>
      <c r="K120" s="15" t="s">
        <v>705</v>
      </c>
      <c r="L120" s="14"/>
      <c r="M120" s="15"/>
      <c r="N120" s="14" t="s">
        <v>619</v>
      </c>
      <c r="O120" s="15" t="s">
        <v>705</v>
      </c>
      <c r="P120" s="14"/>
      <c r="Q120" s="15"/>
      <c r="R120" s="14" t="s">
        <v>619</v>
      </c>
      <c r="S120" s="15" t="s">
        <v>705</v>
      </c>
      <c r="T120" s="16">
        <f>1095.76</f>
        <v>1095.76</v>
      </c>
      <c r="U120" s="17">
        <f>1</f>
        <v>1</v>
      </c>
      <c r="V120" s="17"/>
      <c r="W120" s="25"/>
      <c r="X120" s="17">
        <f>1111000</f>
        <v>1111000</v>
      </c>
      <c r="Y120" s="17"/>
      <c r="Z120" s="26"/>
      <c r="AA120" s="14"/>
      <c r="AB120" s="18">
        <f>1</f>
        <v>1</v>
      </c>
      <c r="AC120" s="19">
        <f>1</f>
        <v>1</v>
      </c>
    </row>
    <row r="121" spans="1:29">
      <c r="A121" s="11" t="s">
        <v>48</v>
      </c>
      <c r="B121" s="12" t="s">
        <v>664</v>
      </c>
      <c r="C121" s="12" t="s">
        <v>665</v>
      </c>
      <c r="D121" s="24"/>
      <c r="E121" s="12" t="s">
        <v>148</v>
      </c>
      <c r="F121" s="13" t="s">
        <v>258</v>
      </c>
      <c r="G121" s="13" t="s">
        <v>150</v>
      </c>
      <c r="H121" s="14"/>
      <c r="I121" s="15" t="s">
        <v>207</v>
      </c>
      <c r="J121" s="14"/>
      <c r="K121" s="15" t="s">
        <v>207</v>
      </c>
      <c r="L121" s="14"/>
      <c r="M121" s="15"/>
      <c r="N121" s="14"/>
      <c r="O121" s="15" t="s">
        <v>207</v>
      </c>
      <c r="P121" s="14"/>
      <c r="Q121" s="15"/>
      <c r="R121" s="14"/>
      <c r="S121" s="15" t="s">
        <v>207</v>
      </c>
      <c r="T121" s="16">
        <f>992.67</f>
        <v>992.67</v>
      </c>
      <c r="U121" s="17" t="str">
        <f>"－"</f>
        <v>－</v>
      </c>
      <c r="V121" s="17"/>
      <c r="W121" s="25"/>
      <c r="X121" s="17" t="str">
        <f>"－"</f>
        <v>－</v>
      </c>
      <c r="Y121" s="17"/>
      <c r="Z121" s="26"/>
      <c r="AA121" s="14"/>
      <c r="AB121" s="18" t="str">
        <f>"－"</f>
        <v>－</v>
      </c>
      <c r="AC121" s="19" t="str">
        <f>"－"</f>
        <v>－</v>
      </c>
    </row>
    <row r="122" spans="1:29">
      <c r="A122" s="11" t="s">
        <v>48</v>
      </c>
      <c r="B122" s="12" t="s">
        <v>706</v>
      </c>
      <c r="C122" s="12" t="s">
        <v>707</v>
      </c>
      <c r="D122" s="24"/>
      <c r="E122" s="12" t="s">
        <v>51</v>
      </c>
      <c r="F122" s="13" t="s">
        <v>708</v>
      </c>
      <c r="G122" s="13" t="s">
        <v>709</v>
      </c>
      <c r="H122" s="14" t="s">
        <v>54</v>
      </c>
      <c r="I122" s="15" t="s">
        <v>710</v>
      </c>
      <c r="J122" s="14" t="s">
        <v>126</v>
      </c>
      <c r="K122" s="15" t="s">
        <v>711</v>
      </c>
      <c r="L122" s="14" t="s">
        <v>712</v>
      </c>
      <c r="M122" s="15" t="s">
        <v>713</v>
      </c>
      <c r="N122" s="14" t="s">
        <v>714</v>
      </c>
      <c r="O122" s="15" t="s">
        <v>715</v>
      </c>
      <c r="P122" s="14" t="s">
        <v>92</v>
      </c>
      <c r="Q122" s="15" t="s">
        <v>716</v>
      </c>
      <c r="R122" s="14" t="s">
        <v>712</v>
      </c>
      <c r="S122" s="15" t="s">
        <v>717</v>
      </c>
      <c r="T122" s="16">
        <f>31263.54</f>
        <v>31263.54</v>
      </c>
      <c r="U122" s="17">
        <f>98460</f>
        <v>98460</v>
      </c>
      <c r="V122" s="17">
        <v>44742</v>
      </c>
      <c r="W122" s="25"/>
      <c r="X122" s="17">
        <f>308128700600</f>
        <v>308128700600</v>
      </c>
      <c r="Y122" s="17">
        <v>140103980600</v>
      </c>
      <c r="Z122" s="26"/>
      <c r="AA122" s="14" t="s">
        <v>64</v>
      </c>
      <c r="AB122" s="18">
        <f>1106</f>
        <v>1106</v>
      </c>
      <c r="AC122" s="19">
        <f>52</f>
        <v>52</v>
      </c>
    </row>
    <row r="123" spans="1:29">
      <c r="A123" s="11" t="s">
        <v>48</v>
      </c>
      <c r="B123" s="12" t="s">
        <v>706</v>
      </c>
      <c r="C123" s="12" t="s">
        <v>707</v>
      </c>
      <c r="D123" s="24"/>
      <c r="E123" s="12" t="s">
        <v>65</v>
      </c>
      <c r="F123" s="13" t="s">
        <v>718</v>
      </c>
      <c r="G123" s="13" t="s">
        <v>719</v>
      </c>
      <c r="H123" s="14" t="s">
        <v>54</v>
      </c>
      <c r="I123" s="15" t="s">
        <v>81</v>
      </c>
      <c r="J123" s="14" t="s">
        <v>162</v>
      </c>
      <c r="K123" s="15" t="s">
        <v>720</v>
      </c>
      <c r="L123" s="14" t="s">
        <v>162</v>
      </c>
      <c r="M123" s="15" t="s">
        <v>721</v>
      </c>
      <c r="N123" s="14" t="s">
        <v>714</v>
      </c>
      <c r="O123" s="15" t="s">
        <v>418</v>
      </c>
      <c r="P123" s="14" t="s">
        <v>722</v>
      </c>
      <c r="Q123" s="15" t="s">
        <v>723</v>
      </c>
      <c r="R123" s="14" t="s">
        <v>344</v>
      </c>
      <c r="S123" s="15" t="s">
        <v>724</v>
      </c>
      <c r="T123" s="16">
        <f>32604.22</f>
        <v>32604.22</v>
      </c>
      <c r="U123" s="17">
        <f>74361</f>
        <v>74361</v>
      </c>
      <c r="V123" s="17">
        <v>22836</v>
      </c>
      <c r="W123" s="25"/>
      <c r="X123" s="17">
        <f>251683212200</f>
        <v>251683212200</v>
      </c>
      <c r="Y123" s="17">
        <v>77267368700</v>
      </c>
      <c r="Z123" s="26"/>
      <c r="AA123" s="14" t="s">
        <v>64</v>
      </c>
      <c r="AB123" s="18">
        <f>4495</f>
        <v>4495</v>
      </c>
      <c r="AC123" s="19">
        <f>93</f>
        <v>93</v>
      </c>
    </row>
    <row r="124" spans="1:29">
      <c r="A124" s="11" t="s">
        <v>48</v>
      </c>
      <c r="B124" s="12" t="s">
        <v>706</v>
      </c>
      <c r="C124" s="12" t="s">
        <v>707</v>
      </c>
      <c r="D124" s="24"/>
      <c r="E124" s="12" t="s">
        <v>76</v>
      </c>
      <c r="F124" s="13" t="s">
        <v>725</v>
      </c>
      <c r="G124" s="13" t="s">
        <v>726</v>
      </c>
      <c r="H124" s="14" t="s">
        <v>681</v>
      </c>
      <c r="I124" s="15" t="s">
        <v>727</v>
      </c>
      <c r="J124" s="14" t="s">
        <v>728</v>
      </c>
      <c r="K124" s="15" t="s">
        <v>729</v>
      </c>
      <c r="L124" s="14" t="s">
        <v>728</v>
      </c>
      <c r="M124" s="15" t="s">
        <v>730</v>
      </c>
      <c r="N124" s="14" t="s">
        <v>681</v>
      </c>
      <c r="O124" s="15" t="s">
        <v>727</v>
      </c>
      <c r="P124" s="14" t="s">
        <v>187</v>
      </c>
      <c r="Q124" s="15" t="s">
        <v>731</v>
      </c>
      <c r="R124" s="14" t="s">
        <v>732</v>
      </c>
      <c r="S124" s="15" t="s">
        <v>733</v>
      </c>
      <c r="T124" s="16">
        <f>33531.18</f>
        <v>33531.18</v>
      </c>
      <c r="U124" s="17">
        <f>122801</f>
        <v>122801</v>
      </c>
      <c r="V124" s="17">
        <v>49866</v>
      </c>
      <c r="W124" s="25"/>
      <c r="X124" s="17">
        <f>426699415860</f>
        <v>426699415860</v>
      </c>
      <c r="Y124" s="17">
        <v>173267767960</v>
      </c>
      <c r="Z124" s="26"/>
      <c r="AA124" s="14" t="s">
        <v>64</v>
      </c>
      <c r="AB124" s="18">
        <f>2014</f>
        <v>2014</v>
      </c>
      <c r="AC124" s="19">
        <f>99</f>
        <v>99</v>
      </c>
    </row>
    <row r="125" spans="1:29">
      <c r="A125" s="11" t="s">
        <v>48</v>
      </c>
      <c r="B125" s="12" t="s">
        <v>706</v>
      </c>
      <c r="C125" s="12" t="s">
        <v>707</v>
      </c>
      <c r="D125" s="24"/>
      <c r="E125" s="12" t="s">
        <v>89</v>
      </c>
      <c r="F125" s="13" t="s">
        <v>734</v>
      </c>
      <c r="G125" s="13" t="s">
        <v>735</v>
      </c>
      <c r="H125" s="14" t="s">
        <v>683</v>
      </c>
      <c r="I125" s="15" t="s">
        <v>736</v>
      </c>
      <c r="J125" s="14" t="s">
        <v>529</v>
      </c>
      <c r="K125" s="15" t="s">
        <v>737</v>
      </c>
      <c r="L125" s="14" t="s">
        <v>529</v>
      </c>
      <c r="M125" s="15" t="s">
        <v>738</v>
      </c>
      <c r="N125" s="14" t="s">
        <v>329</v>
      </c>
      <c r="O125" s="15" t="s">
        <v>739</v>
      </c>
      <c r="P125" s="14" t="s">
        <v>740</v>
      </c>
      <c r="Q125" s="15" t="s">
        <v>741</v>
      </c>
      <c r="R125" s="14" t="s">
        <v>153</v>
      </c>
      <c r="S125" s="15" t="s">
        <v>742</v>
      </c>
      <c r="T125" s="16">
        <f>34099.09</f>
        <v>34099.089999999997</v>
      </c>
      <c r="U125" s="17">
        <f>95692</f>
        <v>95692</v>
      </c>
      <c r="V125" s="17">
        <v>11468</v>
      </c>
      <c r="W125" s="25"/>
      <c r="X125" s="17">
        <f>334423777180</f>
        <v>334423777180</v>
      </c>
      <c r="Y125" s="17">
        <v>39797776580</v>
      </c>
      <c r="Z125" s="26"/>
      <c r="AA125" s="14" t="s">
        <v>64</v>
      </c>
      <c r="AB125" s="18">
        <f>3082</f>
        <v>3082</v>
      </c>
      <c r="AC125" s="19">
        <f>96</f>
        <v>96</v>
      </c>
    </row>
    <row r="126" spans="1:29">
      <c r="A126" s="11" t="s">
        <v>48</v>
      </c>
      <c r="B126" s="12" t="s">
        <v>706</v>
      </c>
      <c r="C126" s="12" t="s">
        <v>707</v>
      </c>
      <c r="D126" s="24"/>
      <c r="E126" s="12" t="s">
        <v>103</v>
      </c>
      <c r="F126" s="13" t="s">
        <v>743</v>
      </c>
      <c r="G126" s="13" t="s">
        <v>744</v>
      </c>
      <c r="H126" s="14" t="s">
        <v>745</v>
      </c>
      <c r="I126" s="15" t="s">
        <v>746</v>
      </c>
      <c r="J126" s="14" t="s">
        <v>112</v>
      </c>
      <c r="K126" s="15" t="s">
        <v>747</v>
      </c>
      <c r="L126" s="14" t="s">
        <v>134</v>
      </c>
      <c r="M126" s="15" t="s">
        <v>748</v>
      </c>
      <c r="N126" s="14" t="s">
        <v>745</v>
      </c>
      <c r="O126" s="15" t="s">
        <v>746</v>
      </c>
      <c r="P126" s="14" t="s">
        <v>157</v>
      </c>
      <c r="Q126" s="15" t="s">
        <v>749</v>
      </c>
      <c r="R126" s="14" t="s">
        <v>112</v>
      </c>
      <c r="S126" s="15" t="s">
        <v>750</v>
      </c>
      <c r="T126" s="16">
        <f>34599.56</f>
        <v>34599.56</v>
      </c>
      <c r="U126" s="17">
        <f>13696</f>
        <v>13696</v>
      </c>
      <c r="V126" s="17">
        <v>2512</v>
      </c>
      <c r="W126" s="25"/>
      <c r="X126" s="17">
        <f>48510829500</f>
        <v>48510829500</v>
      </c>
      <c r="Y126" s="17">
        <v>8867878900</v>
      </c>
      <c r="Z126" s="26"/>
      <c r="AA126" s="14"/>
      <c r="AB126" s="18">
        <f>2025</f>
        <v>2025</v>
      </c>
      <c r="AC126" s="19">
        <f>46</f>
        <v>46</v>
      </c>
    </row>
    <row r="127" spans="1:29">
      <c r="A127" s="11" t="s">
        <v>48</v>
      </c>
      <c r="B127" s="12" t="s">
        <v>706</v>
      </c>
      <c r="C127" s="12" t="s">
        <v>707</v>
      </c>
      <c r="D127" s="24"/>
      <c r="E127" s="12" t="s">
        <v>114</v>
      </c>
      <c r="F127" s="13" t="s">
        <v>751</v>
      </c>
      <c r="G127" s="13" t="s">
        <v>752</v>
      </c>
      <c r="H127" s="14" t="s">
        <v>753</v>
      </c>
      <c r="I127" s="15" t="s">
        <v>754</v>
      </c>
      <c r="J127" s="14" t="s">
        <v>164</v>
      </c>
      <c r="K127" s="15" t="s">
        <v>755</v>
      </c>
      <c r="L127" s="14"/>
      <c r="M127" s="15"/>
      <c r="N127" s="14" t="s">
        <v>753</v>
      </c>
      <c r="O127" s="15" t="s">
        <v>754</v>
      </c>
      <c r="P127" s="14"/>
      <c r="Q127" s="15"/>
      <c r="R127" s="14" t="s">
        <v>134</v>
      </c>
      <c r="S127" s="15" t="s">
        <v>756</v>
      </c>
      <c r="T127" s="16">
        <f>34749.55</f>
        <v>34749.550000000003</v>
      </c>
      <c r="U127" s="17">
        <f>15</f>
        <v>15</v>
      </c>
      <c r="V127" s="17"/>
      <c r="W127" s="25"/>
      <c r="X127" s="17">
        <f>53359700</f>
        <v>53359700</v>
      </c>
      <c r="Y127" s="17"/>
      <c r="Z127" s="26"/>
      <c r="AA127" s="14"/>
      <c r="AB127" s="18">
        <f>10</f>
        <v>10</v>
      </c>
      <c r="AC127" s="19">
        <f>7</f>
        <v>7</v>
      </c>
    </row>
    <row r="128" spans="1:29">
      <c r="A128" s="11" t="s">
        <v>48</v>
      </c>
      <c r="B128" s="12" t="s">
        <v>706</v>
      </c>
      <c r="C128" s="12" t="s">
        <v>707</v>
      </c>
      <c r="D128" s="24"/>
      <c r="E128" s="12" t="s">
        <v>123</v>
      </c>
      <c r="F128" s="13" t="s">
        <v>757</v>
      </c>
      <c r="G128" s="13" t="s">
        <v>758</v>
      </c>
      <c r="H128" s="14" t="s">
        <v>164</v>
      </c>
      <c r="I128" s="15" t="s">
        <v>759</v>
      </c>
      <c r="J128" s="14" t="s">
        <v>760</v>
      </c>
      <c r="K128" s="15" t="s">
        <v>761</v>
      </c>
      <c r="L128" s="14"/>
      <c r="M128" s="15"/>
      <c r="N128" s="14" t="s">
        <v>164</v>
      </c>
      <c r="O128" s="15" t="s">
        <v>759</v>
      </c>
      <c r="P128" s="14"/>
      <c r="Q128" s="15"/>
      <c r="R128" s="14" t="s">
        <v>760</v>
      </c>
      <c r="S128" s="15" t="s">
        <v>761</v>
      </c>
      <c r="T128" s="16">
        <f>34956.51</f>
        <v>34956.51</v>
      </c>
      <c r="U128" s="17">
        <f>2</f>
        <v>2</v>
      </c>
      <c r="V128" s="17"/>
      <c r="W128" s="25"/>
      <c r="X128" s="17">
        <f>7120000</f>
        <v>7120000</v>
      </c>
      <c r="Y128" s="17"/>
      <c r="Z128" s="26"/>
      <c r="AA128" s="14"/>
      <c r="AB128" s="18">
        <f>1</f>
        <v>1</v>
      </c>
      <c r="AC128" s="19">
        <f>2</f>
        <v>2</v>
      </c>
    </row>
    <row r="129" spans="1:29">
      <c r="A129" s="11" t="s">
        <v>48</v>
      </c>
      <c r="B129" s="12" t="s">
        <v>706</v>
      </c>
      <c r="C129" s="12" t="s">
        <v>707</v>
      </c>
      <c r="D129" s="24"/>
      <c r="E129" s="12" t="s">
        <v>136</v>
      </c>
      <c r="F129" s="13" t="s">
        <v>762</v>
      </c>
      <c r="G129" s="13" t="s">
        <v>763</v>
      </c>
      <c r="H129" s="14"/>
      <c r="I129" s="15" t="s">
        <v>207</v>
      </c>
      <c r="J129" s="14"/>
      <c r="K129" s="15" t="s">
        <v>207</v>
      </c>
      <c r="L129" s="14"/>
      <c r="M129" s="15"/>
      <c r="N129" s="14"/>
      <c r="O129" s="15" t="s">
        <v>207</v>
      </c>
      <c r="P129" s="14"/>
      <c r="Q129" s="15"/>
      <c r="R129" s="14"/>
      <c r="S129" s="15" t="s">
        <v>207</v>
      </c>
      <c r="T129" s="16">
        <f>35366.89</f>
        <v>35366.89</v>
      </c>
      <c r="U129" s="17" t="str">
        <f>"－"</f>
        <v>－</v>
      </c>
      <c r="V129" s="17"/>
      <c r="W129" s="25"/>
      <c r="X129" s="17" t="str">
        <f>"－"</f>
        <v>－</v>
      </c>
      <c r="Y129" s="17"/>
      <c r="Z129" s="26"/>
      <c r="AA129" s="14"/>
      <c r="AB129" s="18" t="str">
        <f>"－"</f>
        <v>－</v>
      </c>
      <c r="AC129" s="19" t="str">
        <f>"－"</f>
        <v>－</v>
      </c>
    </row>
    <row r="130" spans="1:29">
      <c r="A130" s="11" t="s">
        <v>48</v>
      </c>
      <c r="B130" s="12" t="s">
        <v>764</v>
      </c>
      <c r="C130" s="12" t="s">
        <v>765</v>
      </c>
      <c r="D130" s="24"/>
      <c r="E130" s="12" t="s">
        <v>262</v>
      </c>
      <c r="F130" s="13" t="s">
        <v>766</v>
      </c>
      <c r="G130" s="13" t="s">
        <v>767</v>
      </c>
      <c r="H130" s="14" t="s">
        <v>98</v>
      </c>
      <c r="I130" s="15" t="s">
        <v>768</v>
      </c>
      <c r="J130" s="14" t="s">
        <v>769</v>
      </c>
      <c r="K130" s="15" t="s">
        <v>770</v>
      </c>
      <c r="L130" s="14"/>
      <c r="M130" s="15"/>
      <c r="N130" s="14" t="s">
        <v>98</v>
      </c>
      <c r="O130" s="15" t="s">
        <v>771</v>
      </c>
      <c r="P130" s="14"/>
      <c r="Q130" s="15"/>
      <c r="R130" s="14" t="s">
        <v>772</v>
      </c>
      <c r="S130" s="15" t="s">
        <v>773</v>
      </c>
      <c r="T130" s="16">
        <f>15415.64</f>
        <v>15415.64</v>
      </c>
      <c r="U130" s="17">
        <f>304</f>
        <v>304</v>
      </c>
      <c r="V130" s="17"/>
      <c r="W130" s="25"/>
      <c r="X130" s="17">
        <f>469407900</f>
        <v>469407900</v>
      </c>
      <c r="Y130" s="17"/>
      <c r="Z130" s="26"/>
      <c r="AA130" s="14" t="s">
        <v>64</v>
      </c>
      <c r="AB130" s="18">
        <f>5</f>
        <v>5</v>
      </c>
      <c r="AC130" s="19">
        <f>7</f>
        <v>7</v>
      </c>
    </row>
    <row r="131" spans="1:29">
      <c r="A131" s="11" t="s">
        <v>48</v>
      </c>
      <c r="B131" s="12" t="s">
        <v>764</v>
      </c>
      <c r="C131" s="12" t="s">
        <v>765</v>
      </c>
      <c r="D131" s="24"/>
      <c r="E131" s="12" t="s">
        <v>269</v>
      </c>
      <c r="F131" s="13" t="s">
        <v>774</v>
      </c>
      <c r="G131" s="13" t="s">
        <v>775</v>
      </c>
      <c r="H131" s="14" t="s">
        <v>776</v>
      </c>
      <c r="I131" s="15" t="s">
        <v>777</v>
      </c>
      <c r="J131" s="14" t="s">
        <v>778</v>
      </c>
      <c r="K131" s="15" t="s">
        <v>779</v>
      </c>
      <c r="L131" s="14"/>
      <c r="M131" s="15"/>
      <c r="N131" s="14" t="s">
        <v>780</v>
      </c>
      <c r="O131" s="15" t="s">
        <v>781</v>
      </c>
      <c r="P131" s="14"/>
      <c r="Q131" s="15"/>
      <c r="R131" s="14" t="s">
        <v>782</v>
      </c>
      <c r="S131" s="15" t="s">
        <v>783</v>
      </c>
      <c r="T131" s="16">
        <f>15607.47</f>
        <v>15607.47</v>
      </c>
      <c r="U131" s="17">
        <f>100</f>
        <v>100</v>
      </c>
      <c r="V131" s="17"/>
      <c r="W131" s="25"/>
      <c r="X131" s="17">
        <f>157033500</f>
        <v>157033500</v>
      </c>
      <c r="Y131" s="17"/>
      <c r="Z131" s="26"/>
      <c r="AA131" s="14" t="s">
        <v>64</v>
      </c>
      <c r="AB131" s="18" t="str">
        <f t="shared" ref="AB131:AB147" si="3">"－"</f>
        <v>－</v>
      </c>
      <c r="AC131" s="19">
        <f>9</f>
        <v>9</v>
      </c>
    </row>
    <row r="132" spans="1:29">
      <c r="A132" s="11" t="s">
        <v>48</v>
      </c>
      <c r="B132" s="12" t="s">
        <v>764</v>
      </c>
      <c r="C132" s="12" t="s">
        <v>765</v>
      </c>
      <c r="D132" s="24"/>
      <c r="E132" s="12" t="s">
        <v>51</v>
      </c>
      <c r="F132" s="13" t="s">
        <v>784</v>
      </c>
      <c r="G132" s="13" t="s">
        <v>785</v>
      </c>
      <c r="H132" s="14" t="s">
        <v>177</v>
      </c>
      <c r="I132" s="15" t="s">
        <v>786</v>
      </c>
      <c r="J132" s="14" t="s">
        <v>787</v>
      </c>
      <c r="K132" s="15" t="s">
        <v>788</v>
      </c>
      <c r="L132" s="14"/>
      <c r="M132" s="15"/>
      <c r="N132" s="14" t="s">
        <v>577</v>
      </c>
      <c r="O132" s="15" t="s">
        <v>789</v>
      </c>
      <c r="P132" s="14"/>
      <c r="Q132" s="15"/>
      <c r="R132" s="14" t="s">
        <v>577</v>
      </c>
      <c r="S132" s="15" t="s">
        <v>790</v>
      </c>
      <c r="T132" s="16">
        <f>15890.27</f>
        <v>15890.27</v>
      </c>
      <c r="U132" s="17">
        <f>180</f>
        <v>180</v>
      </c>
      <c r="V132" s="17"/>
      <c r="W132" s="25"/>
      <c r="X132" s="17">
        <f>292700000</f>
        <v>292700000</v>
      </c>
      <c r="Y132" s="17"/>
      <c r="Z132" s="26"/>
      <c r="AA132" s="14" t="s">
        <v>64</v>
      </c>
      <c r="AB132" s="18" t="str">
        <f t="shared" si="3"/>
        <v>－</v>
      </c>
      <c r="AC132" s="19">
        <f>7</f>
        <v>7</v>
      </c>
    </row>
    <row r="133" spans="1:29">
      <c r="A133" s="11" t="s">
        <v>48</v>
      </c>
      <c r="B133" s="12" t="s">
        <v>764</v>
      </c>
      <c r="C133" s="12" t="s">
        <v>765</v>
      </c>
      <c r="D133" s="24"/>
      <c r="E133" s="12" t="s">
        <v>284</v>
      </c>
      <c r="F133" s="13" t="s">
        <v>791</v>
      </c>
      <c r="G133" s="13" t="s">
        <v>792</v>
      </c>
      <c r="H133" s="14" t="s">
        <v>793</v>
      </c>
      <c r="I133" s="15" t="s">
        <v>794</v>
      </c>
      <c r="J133" s="14" t="s">
        <v>795</v>
      </c>
      <c r="K133" s="15" t="s">
        <v>796</v>
      </c>
      <c r="L133" s="14"/>
      <c r="M133" s="15"/>
      <c r="N133" s="14" t="s">
        <v>793</v>
      </c>
      <c r="O133" s="15" t="s">
        <v>794</v>
      </c>
      <c r="P133" s="14"/>
      <c r="Q133" s="15"/>
      <c r="R133" s="14" t="s">
        <v>795</v>
      </c>
      <c r="S133" s="15" t="s">
        <v>796</v>
      </c>
      <c r="T133" s="16">
        <f>16376.59</f>
        <v>16376.59</v>
      </c>
      <c r="U133" s="17">
        <f>12</f>
        <v>12</v>
      </c>
      <c r="V133" s="17"/>
      <c r="W133" s="25"/>
      <c r="X133" s="17">
        <f>20477100</f>
        <v>20477100</v>
      </c>
      <c r="Y133" s="17"/>
      <c r="Z133" s="26"/>
      <c r="AA133" s="14" t="s">
        <v>64</v>
      </c>
      <c r="AB133" s="18" t="str">
        <f t="shared" si="3"/>
        <v>－</v>
      </c>
      <c r="AC133" s="19">
        <f>2</f>
        <v>2</v>
      </c>
    </row>
    <row r="134" spans="1:29">
      <c r="A134" s="11" t="s">
        <v>48</v>
      </c>
      <c r="B134" s="12" t="s">
        <v>764</v>
      </c>
      <c r="C134" s="12" t="s">
        <v>765</v>
      </c>
      <c r="D134" s="24"/>
      <c r="E134" s="12" t="s">
        <v>294</v>
      </c>
      <c r="F134" s="13" t="s">
        <v>797</v>
      </c>
      <c r="G134" s="13" t="s">
        <v>798</v>
      </c>
      <c r="H134" s="14"/>
      <c r="I134" s="15" t="s">
        <v>207</v>
      </c>
      <c r="J134" s="14"/>
      <c r="K134" s="15" t="s">
        <v>207</v>
      </c>
      <c r="L134" s="14"/>
      <c r="M134" s="15"/>
      <c r="N134" s="14"/>
      <c r="O134" s="15" t="s">
        <v>207</v>
      </c>
      <c r="P134" s="14"/>
      <c r="Q134" s="15"/>
      <c r="R134" s="14"/>
      <c r="S134" s="15" t="s">
        <v>207</v>
      </c>
      <c r="T134" s="16">
        <f>16645.15</f>
        <v>16645.150000000001</v>
      </c>
      <c r="U134" s="17" t="str">
        <f t="shared" ref="U134:U146" si="4">"－"</f>
        <v>－</v>
      </c>
      <c r="V134" s="17"/>
      <c r="W134" s="25"/>
      <c r="X134" s="17" t="str">
        <f t="shared" ref="X134:X146" si="5">"－"</f>
        <v>－</v>
      </c>
      <c r="Y134" s="17"/>
      <c r="Z134" s="26"/>
      <c r="AA134" s="14" t="s">
        <v>64</v>
      </c>
      <c r="AB134" s="18" t="str">
        <f t="shared" si="3"/>
        <v>－</v>
      </c>
      <c r="AC134" s="19" t="str">
        <f t="shared" ref="AC134:AC146" si="6">"－"</f>
        <v>－</v>
      </c>
    </row>
    <row r="135" spans="1:29">
      <c r="A135" s="11" t="s">
        <v>48</v>
      </c>
      <c r="B135" s="12" t="s">
        <v>764</v>
      </c>
      <c r="C135" s="12" t="s">
        <v>765</v>
      </c>
      <c r="D135" s="24"/>
      <c r="E135" s="12" t="s">
        <v>65</v>
      </c>
      <c r="F135" s="13" t="s">
        <v>799</v>
      </c>
      <c r="G135" s="13" t="s">
        <v>800</v>
      </c>
      <c r="H135" s="14"/>
      <c r="I135" s="15" t="s">
        <v>207</v>
      </c>
      <c r="J135" s="14"/>
      <c r="K135" s="15" t="s">
        <v>207</v>
      </c>
      <c r="L135" s="14"/>
      <c r="M135" s="15"/>
      <c r="N135" s="14"/>
      <c r="O135" s="15" t="s">
        <v>207</v>
      </c>
      <c r="P135" s="14"/>
      <c r="Q135" s="15"/>
      <c r="R135" s="14"/>
      <c r="S135" s="15" t="s">
        <v>207</v>
      </c>
      <c r="T135" s="16">
        <f>16378.66</f>
        <v>16378.66</v>
      </c>
      <c r="U135" s="17" t="str">
        <f t="shared" si="4"/>
        <v>－</v>
      </c>
      <c r="V135" s="17"/>
      <c r="W135" s="25"/>
      <c r="X135" s="17" t="str">
        <f t="shared" si="5"/>
        <v>－</v>
      </c>
      <c r="Y135" s="17"/>
      <c r="Z135" s="26"/>
      <c r="AA135" s="14" t="s">
        <v>64</v>
      </c>
      <c r="AB135" s="18" t="str">
        <f t="shared" si="3"/>
        <v>－</v>
      </c>
      <c r="AC135" s="19" t="str">
        <f t="shared" si="6"/>
        <v>－</v>
      </c>
    </row>
    <row r="136" spans="1:29">
      <c r="A136" s="11" t="s">
        <v>48</v>
      </c>
      <c r="B136" s="12" t="s">
        <v>764</v>
      </c>
      <c r="C136" s="12" t="s">
        <v>765</v>
      </c>
      <c r="D136" s="24"/>
      <c r="E136" s="12" t="s">
        <v>310</v>
      </c>
      <c r="F136" s="13" t="s">
        <v>801</v>
      </c>
      <c r="G136" s="13" t="s">
        <v>802</v>
      </c>
      <c r="H136" s="14"/>
      <c r="I136" s="15" t="s">
        <v>207</v>
      </c>
      <c r="J136" s="14"/>
      <c r="K136" s="15" t="s">
        <v>207</v>
      </c>
      <c r="L136" s="14"/>
      <c r="M136" s="15"/>
      <c r="N136" s="14"/>
      <c r="O136" s="15" t="s">
        <v>207</v>
      </c>
      <c r="P136" s="14"/>
      <c r="Q136" s="15"/>
      <c r="R136" s="14"/>
      <c r="S136" s="15" t="s">
        <v>207</v>
      </c>
      <c r="T136" s="16">
        <f>17255.51</f>
        <v>17255.509999999998</v>
      </c>
      <c r="U136" s="17" t="str">
        <f t="shared" si="4"/>
        <v>－</v>
      </c>
      <c r="V136" s="17"/>
      <c r="W136" s="25"/>
      <c r="X136" s="17" t="str">
        <f t="shared" si="5"/>
        <v>－</v>
      </c>
      <c r="Y136" s="17"/>
      <c r="Z136" s="26"/>
      <c r="AA136" s="14" t="s">
        <v>64</v>
      </c>
      <c r="AB136" s="18" t="str">
        <f t="shared" si="3"/>
        <v>－</v>
      </c>
      <c r="AC136" s="19" t="str">
        <f t="shared" si="6"/>
        <v>－</v>
      </c>
    </row>
    <row r="137" spans="1:29">
      <c r="A137" s="11" t="s">
        <v>48</v>
      </c>
      <c r="B137" s="12" t="s">
        <v>764</v>
      </c>
      <c r="C137" s="12" t="s">
        <v>765</v>
      </c>
      <c r="D137" s="24"/>
      <c r="E137" s="12" t="s">
        <v>321</v>
      </c>
      <c r="F137" s="13" t="s">
        <v>803</v>
      </c>
      <c r="G137" s="13" t="s">
        <v>804</v>
      </c>
      <c r="H137" s="14"/>
      <c r="I137" s="15" t="s">
        <v>207</v>
      </c>
      <c r="J137" s="14"/>
      <c r="K137" s="15" t="s">
        <v>207</v>
      </c>
      <c r="L137" s="14"/>
      <c r="M137" s="15"/>
      <c r="N137" s="14"/>
      <c r="O137" s="15" t="s">
        <v>207</v>
      </c>
      <c r="P137" s="14"/>
      <c r="Q137" s="15"/>
      <c r="R137" s="14"/>
      <c r="S137" s="15" t="s">
        <v>207</v>
      </c>
      <c r="T137" s="16">
        <f>17429.95</f>
        <v>17429.95</v>
      </c>
      <c r="U137" s="17" t="str">
        <f t="shared" si="4"/>
        <v>－</v>
      </c>
      <c r="V137" s="17"/>
      <c r="W137" s="25"/>
      <c r="X137" s="17" t="str">
        <f t="shared" si="5"/>
        <v>－</v>
      </c>
      <c r="Y137" s="17"/>
      <c r="Z137" s="26"/>
      <c r="AA137" s="14" t="s">
        <v>64</v>
      </c>
      <c r="AB137" s="18" t="str">
        <f t="shared" si="3"/>
        <v>－</v>
      </c>
      <c r="AC137" s="19" t="str">
        <f t="shared" si="6"/>
        <v>－</v>
      </c>
    </row>
    <row r="138" spans="1:29">
      <c r="A138" s="11" t="s">
        <v>48</v>
      </c>
      <c r="B138" s="12" t="s">
        <v>764</v>
      </c>
      <c r="C138" s="12" t="s">
        <v>765</v>
      </c>
      <c r="D138" s="24"/>
      <c r="E138" s="12" t="s">
        <v>76</v>
      </c>
      <c r="F138" s="13" t="s">
        <v>805</v>
      </c>
      <c r="G138" s="13" t="s">
        <v>806</v>
      </c>
      <c r="H138" s="14"/>
      <c r="I138" s="15" t="s">
        <v>207</v>
      </c>
      <c r="J138" s="14"/>
      <c r="K138" s="15" t="s">
        <v>207</v>
      </c>
      <c r="L138" s="14"/>
      <c r="M138" s="15"/>
      <c r="N138" s="14"/>
      <c r="O138" s="15" t="s">
        <v>207</v>
      </c>
      <c r="P138" s="14"/>
      <c r="Q138" s="15"/>
      <c r="R138" s="14"/>
      <c r="S138" s="15" t="s">
        <v>207</v>
      </c>
      <c r="T138" s="16">
        <f>16722.98</f>
        <v>16722.98</v>
      </c>
      <c r="U138" s="17" t="str">
        <f t="shared" si="4"/>
        <v>－</v>
      </c>
      <c r="V138" s="17"/>
      <c r="W138" s="25"/>
      <c r="X138" s="17" t="str">
        <f t="shared" si="5"/>
        <v>－</v>
      </c>
      <c r="Y138" s="17"/>
      <c r="Z138" s="26"/>
      <c r="AA138" s="14" t="s">
        <v>64</v>
      </c>
      <c r="AB138" s="18" t="str">
        <f t="shared" si="3"/>
        <v>－</v>
      </c>
      <c r="AC138" s="19" t="str">
        <f t="shared" si="6"/>
        <v>－</v>
      </c>
    </row>
    <row r="139" spans="1:29">
      <c r="A139" s="11" t="s">
        <v>48</v>
      </c>
      <c r="B139" s="12" t="s">
        <v>764</v>
      </c>
      <c r="C139" s="12" t="s">
        <v>765</v>
      </c>
      <c r="D139" s="24"/>
      <c r="E139" s="12" t="s">
        <v>340</v>
      </c>
      <c r="F139" s="13" t="s">
        <v>807</v>
      </c>
      <c r="G139" s="13" t="s">
        <v>808</v>
      </c>
      <c r="H139" s="14"/>
      <c r="I139" s="15" t="s">
        <v>207</v>
      </c>
      <c r="J139" s="14"/>
      <c r="K139" s="15" t="s">
        <v>207</v>
      </c>
      <c r="L139" s="14"/>
      <c r="M139" s="15"/>
      <c r="N139" s="14"/>
      <c r="O139" s="15" t="s">
        <v>207</v>
      </c>
      <c r="P139" s="14"/>
      <c r="Q139" s="15"/>
      <c r="R139" s="14"/>
      <c r="S139" s="15" t="s">
        <v>207</v>
      </c>
      <c r="T139" s="16">
        <f>16953.33</f>
        <v>16953.330000000002</v>
      </c>
      <c r="U139" s="17" t="str">
        <f t="shared" si="4"/>
        <v>－</v>
      </c>
      <c r="V139" s="17"/>
      <c r="W139" s="25"/>
      <c r="X139" s="17" t="str">
        <f t="shared" si="5"/>
        <v>－</v>
      </c>
      <c r="Y139" s="17"/>
      <c r="Z139" s="26"/>
      <c r="AA139" s="14" t="s">
        <v>64</v>
      </c>
      <c r="AB139" s="18" t="str">
        <f t="shared" si="3"/>
        <v>－</v>
      </c>
      <c r="AC139" s="19" t="str">
        <f t="shared" si="6"/>
        <v>－</v>
      </c>
    </row>
    <row r="140" spans="1:29">
      <c r="A140" s="11" t="s">
        <v>48</v>
      </c>
      <c r="B140" s="12" t="s">
        <v>764</v>
      </c>
      <c r="C140" s="12" t="s">
        <v>765</v>
      </c>
      <c r="D140" s="24"/>
      <c r="E140" s="12" t="s">
        <v>349</v>
      </c>
      <c r="F140" s="13" t="s">
        <v>809</v>
      </c>
      <c r="G140" s="13" t="s">
        <v>810</v>
      </c>
      <c r="H140" s="14"/>
      <c r="I140" s="15" t="s">
        <v>207</v>
      </c>
      <c r="J140" s="14"/>
      <c r="K140" s="15" t="s">
        <v>207</v>
      </c>
      <c r="L140" s="14"/>
      <c r="M140" s="15"/>
      <c r="N140" s="14"/>
      <c r="O140" s="15" t="s">
        <v>207</v>
      </c>
      <c r="P140" s="14"/>
      <c r="Q140" s="15"/>
      <c r="R140" s="14"/>
      <c r="S140" s="15" t="s">
        <v>207</v>
      </c>
      <c r="T140" s="16">
        <f>16971.9</f>
        <v>16971.900000000001</v>
      </c>
      <c r="U140" s="17" t="str">
        <f t="shared" si="4"/>
        <v>－</v>
      </c>
      <c r="V140" s="17"/>
      <c r="W140" s="25"/>
      <c r="X140" s="17" t="str">
        <f t="shared" si="5"/>
        <v>－</v>
      </c>
      <c r="Y140" s="17"/>
      <c r="Z140" s="26"/>
      <c r="AA140" s="14" t="s">
        <v>64</v>
      </c>
      <c r="AB140" s="18" t="str">
        <f t="shared" si="3"/>
        <v>－</v>
      </c>
      <c r="AC140" s="19" t="str">
        <f t="shared" si="6"/>
        <v>－</v>
      </c>
    </row>
    <row r="141" spans="1:29">
      <c r="A141" s="11" t="s">
        <v>48</v>
      </c>
      <c r="B141" s="12" t="s">
        <v>764</v>
      </c>
      <c r="C141" s="12" t="s">
        <v>765</v>
      </c>
      <c r="D141" s="24"/>
      <c r="E141" s="12" t="s">
        <v>89</v>
      </c>
      <c r="F141" s="13" t="s">
        <v>811</v>
      </c>
      <c r="G141" s="13" t="s">
        <v>812</v>
      </c>
      <c r="H141" s="14"/>
      <c r="I141" s="15" t="s">
        <v>207</v>
      </c>
      <c r="J141" s="14"/>
      <c r="K141" s="15" t="s">
        <v>207</v>
      </c>
      <c r="L141" s="14"/>
      <c r="M141" s="15"/>
      <c r="N141" s="14"/>
      <c r="O141" s="15" t="s">
        <v>207</v>
      </c>
      <c r="P141" s="14"/>
      <c r="Q141" s="15"/>
      <c r="R141" s="14"/>
      <c r="S141" s="15" t="s">
        <v>207</v>
      </c>
      <c r="T141" s="16">
        <f>16906.9</f>
        <v>16906.900000000001</v>
      </c>
      <c r="U141" s="17" t="str">
        <f t="shared" si="4"/>
        <v>－</v>
      </c>
      <c r="V141" s="17"/>
      <c r="W141" s="25"/>
      <c r="X141" s="17" t="str">
        <f t="shared" si="5"/>
        <v>－</v>
      </c>
      <c r="Y141" s="17"/>
      <c r="Z141" s="26"/>
      <c r="AA141" s="14" t="s">
        <v>64</v>
      </c>
      <c r="AB141" s="18" t="str">
        <f t="shared" si="3"/>
        <v>－</v>
      </c>
      <c r="AC141" s="19" t="str">
        <f t="shared" si="6"/>
        <v>－</v>
      </c>
    </row>
    <row r="142" spans="1:29">
      <c r="A142" s="11" t="s">
        <v>48</v>
      </c>
      <c r="B142" s="12" t="s">
        <v>764</v>
      </c>
      <c r="C142" s="12" t="s">
        <v>765</v>
      </c>
      <c r="D142" s="24"/>
      <c r="E142" s="12" t="s">
        <v>365</v>
      </c>
      <c r="F142" s="13" t="s">
        <v>813</v>
      </c>
      <c r="G142" s="13" t="s">
        <v>814</v>
      </c>
      <c r="H142" s="14"/>
      <c r="I142" s="15" t="s">
        <v>207</v>
      </c>
      <c r="J142" s="14"/>
      <c r="K142" s="15" t="s">
        <v>207</v>
      </c>
      <c r="L142" s="14"/>
      <c r="M142" s="15"/>
      <c r="N142" s="14"/>
      <c r="O142" s="15" t="s">
        <v>207</v>
      </c>
      <c r="P142" s="14"/>
      <c r="Q142" s="15"/>
      <c r="R142" s="14"/>
      <c r="S142" s="15" t="s">
        <v>207</v>
      </c>
      <c r="T142" s="16">
        <f>17746.16</f>
        <v>17746.16</v>
      </c>
      <c r="U142" s="17" t="str">
        <f t="shared" si="4"/>
        <v>－</v>
      </c>
      <c r="V142" s="17"/>
      <c r="W142" s="25"/>
      <c r="X142" s="17" t="str">
        <f t="shared" si="5"/>
        <v>－</v>
      </c>
      <c r="Y142" s="17"/>
      <c r="Z142" s="26"/>
      <c r="AA142" s="14"/>
      <c r="AB142" s="18" t="str">
        <f t="shared" si="3"/>
        <v>－</v>
      </c>
      <c r="AC142" s="19" t="str">
        <f t="shared" si="6"/>
        <v>－</v>
      </c>
    </row>
    <row r="143" spans="1:29">
      <c r="A143" s="11" t="s">
        <v>48</v>
      </c>
      <c r="B143" s="12" t="s">
        <v>764</v>
      </c>
      <c r="C143" s="12" t="s">
        <v>765</v>
      </c>
      <c r="D143" s="24"/>
      <c r="E143" s="12" t="s">
        <v>376</v>
      </c>
      <c r="F143" s="13" t="s">
        <v>815</v>
      </c>
      <c r="G143" s="13" t="s">
        <v>816</v>
      </c>
      <c r="H143" s="14"/>
      <c r="I143" s="15" t="s">
        <v>207</v>
      </c>
      <c r="J143" s="14"/>
      <c r="K143" s="15" t="s">
        <v>207</v>
      </c>
      <c r="L143" s="14"/>
      <c r="M143" s="15"/>
      <c r="N143" s="14"/>
      <c r="O143" s="15" t="s">
        <v>207</v>
      </c>
      <c r="P143" s="14"/>
      <c r="Q143" s="15"/>
      <c r="R143" s="14"/>
      <c r="S143" s="15" t="s">
        <v>207</v>
      </c>
      <c r="T143" s="16">
        <f>17889.58</f>
        <v>17889.580000000002</v>
      </c>
      <c r="U143" s="17" t="str">
        <f t="shared" si="4"/>
        <v>－</v>
      </c>
      <c r="V143" s="17"/>
      <c r="W143" s="25"/>
      <c r="X143" s="17" t="str">
        <f t="shared" si="5"/>
        <v>－</v>
      </c>
      <c r="Y143" s="17"/>
      <c r="Z143" s="26"/>
      <c r="AA143" s="14"/>
      <c r="AB143" s="18" t="str">
        <f t="shared" si="3"/>
        <v>－</v>
      </c>
      <c r="AC143" s="19" t="str">
        <f t="shared" si="6"/>
        <v>－</v>
      </c>
    </row>
    <row r="144" spans="1:29">
      <c r="A144" s="11" t="s">
        <v>48</v>
      </c>
      <c r="B144" s="12" t="s">
        <v>764</v>
      </c>
      <c r="C144" s="12" t="s">
        <v>765</v>
      </c>
      <c r="D144" s="24"/>
      <c r="E144" s="12" t="s">
        <v>103</v>
      </c>
      <c r="F144" s="13" t="s">
        <v>817</v>
      </c>
      <c r="G144" s="13" t="s">
        <v>818</v>
      </c>
      <c r="H144" s="14"/>
      <c r="I144" s="15" t="s">
        <v>207</v>
      </c>
      <c r="J144" s="14"/>
      <c r="K144" s="15" t="s">
        <v>207</v>
      </c>
      <c r="L144" s="14"/>
      <c r="M144" s="15"/>
      <c r="N144" s="14"/>
      <c r="O144" s="15" t="s">
        <v>207</v>
      </c>
      <c r="P144" s="14"/>
      <c r="Q144" s="15"/>
      <c r="R144" s="14"/>
      <c r="S144" s="15" t="s">
        <v>207</v>
      </c>
      <c r="T144" s="16">
        <f>17169.03</f>
        <v>17169.03</v>
      </c>
      <c r="U144" s="17" t="str">
        <f t="shared" si="4"/>
        <v>－</v>
      </c>
      <c r="V144" s="17"/>
      <c r="W144" s="25"/>
      <c r="X144" s="17" t="str">
        <f t="shared" si="5"/>
        <v>－</v>
      </c>
      <c r="Y144" s="17"/>
      <c r="Z144" s="26"/>
      <c r="AA144" s="14"/>
      <c r="AB144" s="18" t="str">
        <f t="shared" si="3"/>
        <v>－</v>
      </c>
      <c r="AC144" s="19" t="str">
        <f t="shared" si="6"/>
        <v>－</v>
      </c>
    </row>
    <row r="145" spans="1:29">
      <c r="A145" s="11" t="s">
        <v>48</v>
      </c>
      <c r="B145" s="12" t="s">
        <v>764</v>
      </c>
      <c r="C145" s="12" t="s">
        <v>765</v>
      </c>
      <c r="D145" s="24"/>
      <c r="E145" s="12" t="s">
        <v>114</v>
      </c>
      <c r="F145" s="13" t="s">
        <v>819</v>
      </c>
      <c r="G145" s="13" t="s">
        <v>820</v>
      </c>
      <c r="H145" s="14"/>
      <c r="I145" s="15" t="s">
        <v>207</v>
      </c>
      <c r="J145" s="14"/>
      <c r="K145" s="15" t="s">
        <v>207</v>
      </c>
      <c r="L145" s="14"/>
      <c r="M145" s="15"/>
      <c r="N145" s="14"/>
      <c r="O145" s="15" t="s">
        <v>207</v>
      </c>
      <c r="P145" s="14"/>
      <c r="Q145" s="15"/>
      <c r="R145" s="14"/>
      <c r="S145" s="15" t="s">
        <v>207</v>
      </c>
      <c r="T145" s="16">
        <f>17105.36</f>
        <v>17105.36</v>
      </c>
      <c r="U145" s="17" t="str">
        <f t="shared" si="4"/>
        <v>－</v>
      </c>
      <c r="V145" s="17"/>
      <c r="W145" s="25"/>
      <c r="X145" s="17" t="str">
        <f t="shared" si="5"/>
        <v>－</v>
      </c>
      <c r="Y145" s="17"/>
      <c r="Z145" s="26"/>
      <c r="AA145" s="14"/>
      <c r="AB145" s="18" t="str">
        <f t="shared" si="3"/>
        <v>－</v>
      </c>
      <c r="AC145" s="19" t="str">
        <f t="shared" si="6"/>
        <v>－</v>
      </c>
    </row>
    <row r="146" spans="1:29">
      <c r="A146" s="11" t="s">
        <v>48</v>
      </c>
      <c r="B146" s="12" t="s">
        <v>764</v>
      </c>
      <c r="C146" s="12" t="s">
        <v>765</v>
      </c>
      <c r="D146" s="24"/>
      <c r="E146" s="12" t="s">
        <v>123</v>
      </c>
      <c r="F146" s="13" t="s">
        <v>821</v>
      </c>
      <c r="G146" s="13" t="s">
        <v>822</v>
      </c>
      <c r="H146" s="14"/>
      <c r="I146" s="15" t="s">
        <v>207</v>
      </c>
      <c r="J146" s="14"/>
      <c r="K146" s="15" t="s">
        <v>207</v>
      </c>
      <c r="L146" s="14"/>
      <c r="M146" s="15"/>
      <c r="N146" s="14"/>
      <c r="O146" s="15" t="s">
        <v>207</v>
      </c>
      <c r="P146" s="14"/>
      <c r="Q146" s="15"/>
      <c r="R146" s="14"/>
      <c r="S146" s="15" t="s">
        <v>207</v>
      </c>
      <c r="T146" s="16">
        <f>16916.18</f>
        <v>16916.18</v>
      </c>
      <c r="U146" s="17" t="str">
        <f t="shared" si="4"/>
        <v>－</v>
      </c>
      <c r="V146" s="17"/>
      <c r="W146" s="25"/>
      <c r="X146" s="17" t="str">
        <f t="shared" si="5"/>
        <v>－</v>
      </c>
      <c r="Y146" s="17"/>
      <c r="Z146" s="26"/>
      <c r="AA146" s="14"/>
      <c r="AB146" s="18" t="str">
        <f t="shared" si="3"/>
        <v>－</v>
      </c>
      <c r="AC146" s="19" t="str">
        <f t="shared" si="6"/>
        <v>－</v>
      </c>
    </row>
    <row r="147" spans="1:29">
      <c r="A147" s="11" t="s">
        <v>48</v>
      </c>
      <c r="B147" s="12" t="s">
        <v>823</v>
      </c>
      <c r="C147" s="12" t="s">
        <v>824</v>
      </c>
      <c r="D147" s="24"/>
      <c r="E147" s="12" t="s">
        <v>262</v>
      </c>
      <c r="F147" s="13" t="s">
        <v>825</v>
      </c>
      <c r="G147" s="13" t="s">
        <v>826</v>
      </c>
      <c r="H147" s="14" t="s">
        <v>827</v>
      </c>
      <c r="I147" s="15" t="s">
        <v>828</v>
      </c>
      <c r="J147" s="14" t="s">
        <v>778</v>
      </c>
      <c r="K147" s="15" t="s">
        <v>829</v>
      </c>
      <c r="L147" s="14"/>
      <c r="M147" s="15"/>
      <c r="N147" s="14" t="s">
        <v>827</v>
      </c>
      <c r="O147" s="15" t="s">
        <v>828</v>
      </c>
      <c r="P147" s="14"/>
      <c r="Q147" s="15"/>
      <c r="R147" s="14" t="s">
        <v>688</v>
      </c>
      <c r="S147" s="15" t="s">
        <v>830</v>
      </c>
      <c r="T147" s="16">
        <f>22251.94</f>
        <v>22251.94</v>
      </c>
      <c r="U147" s="17">
        <f>60</f>
        <v>60</v>
      </c>
      <c r="V147" s="17"/>
      <c r="W147" s="25"/>
      <c r="X147" s="17">
        <f>135867000</f>
        <v>135867000</v>
      </c>
      <c r="Y147" s="17"/>
      <c r="Z147" s="26"/>
      <c r="AA147" s="14" t="s">
        <v>64</v>
      </c>
      <c r="AB147" s="18" t="str">
        <f t="shared" si="3"/>
        <v>－</v>
      </c>
      <c r="AC147" s="19">
        <f>8</f>
        <v>8</v>
      </c>
    </row>
    <row r="148" spans="1:29">
      <c r="A148" s="11" t="s">
        <v>48</v>
      </c>
      <c r="B148" s="12" t="s">
        <v>823</v>
      </c>
      <c r="C148" s="12" t="s">
        <v>824</v>
      </c>
      <c r="D148" s="24"/>
      <c r="E148" s="12" t="s">
        <v>269</v>
      </c>
      <c r="F148" s="13" t="s">
        <v>831</v>
      </c>
      <c r="G148" s="13" t="s">
        <v>832</v>
      </c>
      <c r="H148" s="14" t="s">
        <v>833</v>
      </c>
      <c r="I148" s="15" t="s">
        <v>834</v>
      </c>
      <c r="J148" s="14" t="s">
        <v>177</v>
      </c>
      <c r="K148" s="15" t="s">
        <v>835</v>
      </c>
      <c r="L148" s="14"/>
      <c r="M148" s="15"/>
      <c r="N148" s="14" t="s">
        <v>833</v>
      </c>
      <c r="O148" s="15" t="s">
        <v>834</v>
      </c>
      <c r="P148" s="14"/>
      <c r="Q148" s="15"/>
      <c r="R148" s="14" t="s">
        <v>246</v>
      </c>
      <c r="S148" s="15" t="s">
        <v>836</v>
      </c>
      <c r="T148" s="16">
        <f>22795.97</f>
        <v>22795.97</v>
      </c>
      <c r="U148" s="17">
        <f>50</f>
        <v>50</v>
      </c>
      <c r="V148" s="17"/>
      <c r="W148" s="25"/>
      <c r="X148" s="17">
        <f>116079500</f>
        <v>116079500</v>
      </c>
      <c r="Y148" s="17"/>
      <c r="Z148" s="26"/>
      <c r="AA148" s="14" t="s">
        <v>64</v>
      </c>
      <c r="AB148" s="18">
        <f>30</f>
        <v>30</v>
      </c>
      <c r="AC148" s="19">
        <f>8</f>
        <v>8</v>
      </c>
    </row>
    <row r="149" spans="1:29">
      <c r="A149" s="11" t="s">
        <v>48</v>
      </c>
      <c r="B149" s="12" t="s">
        <v>823</v>
      </c>
      <c r="C149" s="12" t="s">
        <v>824</v>
      </c>
      <c r="D149" s="24"/>
      <c r="E149" s="12" t="s">
        <v>51</v>
      </c>
      <c r="F149" s="13" t="s">
        <v>837</v>
      </c>
      <c r="G149" s="13" t="s">
        <v>838</v>
      </c>
      <c r="H149" s="14"/>
      <c r="I149" s="15" t="s">
        <v>207</v>
      </c>
      <c r="J149" s="14"/>
      <c r="K149" s="15" t="s">
        <v>207</v>
      </c>
      <c r="L149" s="14"/>
      <c r="M149" s="15"/>
      <c r="N149" s="14"/>
      <c r="O149" s="15" t="s">
        <v>207</v>
      </c>
      <c r="P149" s="14"/>
      <c r="Q149" s="15"/>
      <c r="R149" s="14"/>
      <c r="S149" s="15" t="s">
        <v>207</v>
      </c>
      <c r="T149" s="16">
        <f>22241.53</f>
        <v>22241.53</v>
      </c>
      <c r="U149" s="17" t="str">
        <f t="shared" ref="U149:U162" si="7">"－"</f>
        <v>－</v>
      </c>
      <c r="V149" s="17"/>
      <c r="W149" s="25"/>
      <c r="X149" s="17" t="str">
        <f t="shared" ref="X149:X162" si="8">"－"</f>
        <v>－</v>
      </c>
      <c r="Y149" s="17"/>
      <c r="Z149" s="26"/>
      <c r="AA149" s="14" t="s">
        <v>64</v>
      </c>
      <c r="AB149" s="18" t="str">
        <f t="shared" ref="AB149:AC161" si="9">"－"</f>
        <v>－</v>
      </c>
      <c r="AC149" s="19" t="str">
        <f t="shared" si="9"/>
        <v>－</v>
      </c>
    </row>
    <row r="150" spans="1:29">
      <c r="A150" s="11" t="s">
        <v>48</v>
      </c>
      <c r="B150" s="12" t="s">
        <v>823</v>
      </c>
      <c r="C150" s="12" t="s">
        <v>824</v>
      </c>
      <c r="D150" s="24"/>
      <c r="E150" s="12" t="s">
        <v>284</v>
      </c>
      <c r="F150" s="13" t="s">
        <v>839</v>
      </c>
      <c r="G150" s="13" t="s">
        <v>840</v>
      </c>
      <c r="H150" s="14"/>
      <c r="I150" s="15" t="s">
        <v>207</v>
      </c>
      <c r="J150" s="14"/>
      <c r="K150" s="15" t="s">
        <v>207</v>
      </c>
      <c r="L150" s="14"/>
      <c r="M150" s="15"/>
      <c r="N150" s="14"/>
      <c r="O150" s="15" t="s">
        <v>207</v>
      </c>
      <c r="P150" s="14"/>
      <c r="Q150" s="15"/>
      <c r="R150" s="14"/>
      <c r="S150" s="15" t="s">
        <v>207</v>
      </c>
      <c r="T150" s="16">
        <f>21247.05</f>
        <v>21247.05</v>
      </c>
      <c r="U150" s="17" t="str">
        <f t="shared" si="7"/>
        <v>－</v>
      </c>
      <c r="V150" s="17"/>
      <c r="W150" s="25"/>
      <c r="X150" s="17" t="str">
        <f t="shared" si="8"/>
        <v>－</v>
      </c>
      <c r="Y150" s="17"/>
      <c r="Z150" s="26"/>
      <c r="AA150" s="14" t="s">
        <v>64</v>
      </c>
      <c r="AB150" s="18" t="str">
        <f t="shared" si="9"/>
        <v>－</v>
      </c>
      <c r="AC150" s="19" t="str">
        <f t="shared" si="9"/>
        <v>－</v>
      </c>
    </row>
    <row r="151" spans="1:29">
      <c r="A151" s="11" t="s">
        <v>48</v>
      </c>
      <c r="B151" s="12" t="s">
        <v>823</v>
      </c>
      <c r="C151" s="12" t="s">
        <v>824</v>
      </c>
      <c r="D151" s="24"/>
      <c r="E151" s="12" t="s">
        <v>294</v>
      </c>
      <c r="F151" s="13" t="s">
        <v>841</v>
      </c>
      <c r="G151" s="13" t="s">
        <v>842</v>
      </c>
      <c r="H151" s="14"/>
      <c r="I151" s="15" t="s">
        <v>207</v>
      </c>
      <c r="J151" s="14"/>
      <c r="K151" s="15" t="s">
        <v>207</v>
      </c>
      <c r="L151" s="14"/>
      <c r="M151" s="15"/>
      <c r="N151" s="14"/>
      <c r="O151" s="15" t="s">
        <v>207</v>
      </c>
      <c r="P151" s="14"/>
      <c r="Q151" s="15"/>
      <c r="R151" s="14"/>
      <c r="S151" s="15" t="s">
        <v>207</v>
      </c>
      <c r="T151" s="16">
        <f>20755.13</f>
        <v>20755.13</v>
      </c>
      <c r="U151" s="17" t="str">
        <f t="shared" si="7"/>
        <v>－</v>
      </c>
      <c r="V151" s="17"/>
      <c r="W151" s="25"/>
      <c r="X151" s="17" t="str">
        <f t="shared" si="8"/>
        <v>－</v>
      </c>
      <c r="Y151" s="17"/>
      <c r="Z151" s="26"/>
      <c r="AA151" s="14" t="s">
        <v>64</v>
      </c>
      <c r="AB151" s="18" t="str">
        <f t="shared" si="9"/>
        <v>－</v>
      </c>
      <c r="AC151" s="19" t="str">
        <f t="shared" si="9"/>
        <v>－</v>
      </c>
    </row>
    <row r="152" spans="1:29">
      <c r="A152" s="11" t="s">
        <v>48</v>
      </c>
      <c r="B152" s="12" t="s">
        <v>823</v>
      </c>
      <c r="C152" s="12" t="s">
        <v>824</v>
      </c>
      <c r="D152" s="24"/>
      <c r="E152" s="12" t="s">
        <v>65</v>
      </c>
      <c r="F152" s="13" t="s">
        <v>843</v>
      </c>
      <c r="G152" s="13" t="s">
        <v>844</v>
      </c>
      <c r="H152" s="14"/>
      <c r="I152" s="15" t="s">
        <v>207</v>
      </c>
      <c r="J152" s="14"/>
      <c r="K152" s="15" t="s">
        <v>207</v>
      </c>
      <c r="L152" s="14"/>
      <c r="M152" s="15"/>
      <c r="N152" s="14"/>
      <c r="O152" s="15" t="s">
        <v>207</v>
      </c>
      <c r="P152" s="14"/>
      <c r="Q152" s="15"/>
      <c r="R152" s="14"/>
      <c r="S152" s="15" t="s">
        <v>207</v>
      </c>
      <c r="T152" s="16">
        <f>21468.54</f>
        <v>21468.54</v>
      </c>
      <c r="U152" s="17" t="str">
        <f t="shared" si="7"/>
        <v>－</v>
      </c>
      <c r="V152" s="17"/>
      <c r="W152" s="25"/>
      <c r="X152" s="17" t="str">
        <f t="shared" si="8"/>
        <v>－</v>
      </c>
      <c r="Y152" s="17"/>
      <c r="Z152" s="26"/>
      <c r="AA152" s="14" t="s">
        <v>64</v>
      </c>
      <c r="AB152" s="18" t="str">
        <f t="shared" si="9"/>
        <v>－</v>
      </c>
      <c r="AC152" s="19" t="str">
        <f t="shared" si="9"/>
        <v>－</v>
      </c>
    </row>
    <row r="153" spans="1:29">
      <c r="A153" s="11" t="s">
        <v>48</v>
      </c>
      <c r="B153" s="12" t="s">
        <v>823</v>
      </c>
      <c r="C153" s="12" t="s">
        <v>824</v>
      </c>
      <c r="D153" s="24"/>
      <c r="E153" s="12" t="s">
        <v>310</v>
      </c>
      <c r="F153" s="13" t="s">
        <v>845</v>
      </c>
      <c r="G153" s="13" t="s">
        <v>846</v>
      </c>
      <c r="H153" s="14"/>
      <c r="I153" s="15" t="s">
        <v>207</v>
      </c>
      <c r="J153" s="14"/>
      <c r="K153" s="15" t="s">
        <v>207</v>
      </c>
      <c r="L153" s="14"/>
      <c r="M153" s="15"/>
      <c r="N153" s="14"/>
      <c r="O153" s="15" t="s">
        <v>207</v>
      </c>
      <c r="P153" s="14"/>
      <c r="Q153" s="15"/>
      <c r="R153" s="14"/>
      <c r="S153" s="15" t="s">
        <v>207</v>
      </c>
      <c r="T153" s="16">
        <f>20066.43</f>
        <v>20066.43</v>
      </c>
      <c r="U153" s="17" t="str">
        <f t="shared" si="7"/>
        <v>－</v>
      </c>
      <c r="V153" s="17"/>
      <c r="W153" s="25"/>
      <c r="X153" s="17" t="str">
        <f t="shared" si="8"/>
        <v>－</v>
      </c>
      <c r="Y153" s="17"/>
      <c r="Z153" s="26"/>
      <c r="AA153" s="14" t="s">
        <v>64</v>
      </c>
      <c r="AB153" s="18" t="str">
        <f t="shared" si="9"/>
        <v>－</v>
      </c>
      <c r="AC153" s="19" t="str">
        <f t="shared" si="9"/>
        <v>－</v>
      </c>
    </row>
    <row r="154" spans="1:29">
      <c r="A154" s="11" t="s">
        <v>48</v>
      </c>
      <c r="B154" s="12" t="s">
        <v>823</v>
      </c>
      <c r="C154" s="12" t="s">
        <v>824</v>
      </c>
      <c r="D154" s="24"/>
      <c r="E154" s="12" t="s">
        <v>321</v>
      </c>
      <c r="F154" s="13" t="s">
        <v>847</v>
      </c>
      <c r="G154" s="13" t="s">
        <v>848</v>
      </c>
      <c r="H154" s="14"/>
      <c r="I154" s="15" t="s">
        <v>207</v>
      </c>
      <c r="J154" s="14"/>
      <c r="K154" s="15" t="s">
        <v>207</v>
      </c>
      <c r="L154" s="14"/>
      <c r="M154" s="15"/>
      <c r="N154" s="14"/>
      <c r="O154" s="15" t="s">
        <v>207</v>
      </c>
      <c r="P154" s="14"/>
      <c r="Q154" s="15"/>
      <c r="R154" s="14"/>
      <c r="S154" s="15" t="s">
        <v>207</v>
      </c>
      <c r="T154" s="16">
        <f>18680.85</f>
        <v>18680.849999999999</v>
      </c>
      <c r="U154" s="17" t="str">
        <f t="shared" si="7"/>
        <v>－</v>
      </c>
      <c r="V154" s="17"/>
      <c r="W154" s="25"/>
      <c r="X154" s="17" t="str">
        <f t="shared" si="8"/>
        <v>－</v>
      </c>
      <c r="Y154" s="17"/>
      <c r="Z154" s="26"/>
      <c r="AA154" s="14" t="s">
        <v>64</v>
      </c>
      <c r="AB154" s="18" t="str">
        <f t="shared" si="9"/>
        <v>－</v>
      </c>
      <c r="AC154" s="19" t="str">
        <f t="shared" si="9"/>
        <v>－</v>
      </c>
    </row>
    <row r="155" spans="1:29">
      <c r="A155" s="11" t="s">
        <v>48</v>
      </c>
      <c r="B155" s="12" t="s">
        <v>823</v>
      </c>
      <c r="C155" s="12" t="s">
        <v>824</v>
      </c>
      <c r="D155" s="24"/>
      <c r="E155" s="12" t="s">
        <v>76</v>
      </c>
      <c r="F155" s="13" t="s">
        <v>849</v>
      </c>
      <c r="G155" s="13" t="s">
        <v>850</v>
      </c>
      <c r="H155" s="14"/>
      <c r="I155" s="15" t="s">
        <v>207</v>
      </c>
      <c r="J155" s="14"/>
      <c r="K155" s="15" t="s">
        <v>207</v>
      </c>
      <c r="L155" s="14"/>
      <c r="M155" s="15"/>
      <c r="N155" s="14"/>
      <c r="O155" s="15" t="s">
        <v>207</v>
      </c>
      <c r="P155" s="14"/>
      <c r="Q155" s="15"/>
      <c r="R155" s="14"/>
      <c r="S155" s="15" t="s">
        <v>207</v>
      </c>
      <c r="T155" s="16">
        <f>20253.87</f>
        <v>20253.87</v>
      </c>
      <c r="U155" s="17" t="str">
        <f t="shared" si="7"/>
        <v>－</v>
      </c>
      <c r="V155" s="17"/>
      <c r="W155" s="25"/>
      <c r="X155" s="17" t="str">
        <f t="shared" si="8"/>
        <v>－</v>
      </c>
      <c r="Y155" s="17"/>
      <c r="Z155" s="26"/>
      <c r="AA155" s="14" t="s">
        <v>64</v>
      </c>
      <c r="AB155" s="18" t="str">
        <f t="shared" si="9"/>
        <v>－</v>
      </c>
      <c r="AC155" s="19" t="str">
        <f t="shared" si="9"/>
        <v>－</v>
      </c>
    </row>
    <row r="156" spans="1:29">
      <c r="A156" s="11" t="s">
        <v>48</v>
      </c>
      <c r="B156" s="12" t="s">
        <v>823</v>
      </c>
      <c r="C156" s="12" t="s">
        <v>824</v>
      </c>
      <c r="D156" s="24"/>
      <c r="E156" s="12" t="s">
        <v>340</v>
      </c>
      <c r="F156" s="13" t="s">
        <v>851</v>
      </c>
      <c r="G156" s="13" t="s">
        <v>852</v>
      </c>
      <c r="H156" s="14"/>
      <c r="I156" s="15" t="s">
        <v>207</v>
      </c>
      <c r="J156" s="14"/>
      <c r="K156" s="15" t="s">
        <v>207</v>
      </c>
      <c r="L156" s="14"/>
      <c r="M156" s="15"/>
      <c r="N156" s="14"/>
      <c r="O156" s="15" t="s">
        <v>207</v>
      </c>
      <c r="P156" s="14"/>
      <c r="Q156" s="15"/>
      <c r="R156" s="14"/>
      <c r="S156" s="15" t="s">
        <v>207</v>
      </c>
      <c r="T156" s="16">
        <f>17910.73</f>
        <v>17910.73</v>
      </c>
      <c r="U156" s="17" t="str">
        <f t="shared" si="7"/>
        <v>－</v>
      </c>
      <c r="V156" s="17"/>
      <c r="W156" s="25"/>
      <c r="X156" s="17" t="str">
        <f t="shared" si="8"/>
        <v>－</v>
      </c>
      <c r="Y156" s="17"/>
      <c r="Z156" s="26"/>
      <c r="AA156" s="14" t="s">
        <v>64</v>
      </c>
      <c r="AB156" s="18" t="str">
        <f t="shared" si="9"/>
        <v>－</v>
      </c>
      <c r="AC156" s="19" t="str">
        <f t="shared" si="9"/>
        <v>－</v>
      </c>
    </row>
    <row r="157" spans="1:29">
      <c r="A157" s="11" t="s">
        <v>48</v>
      </c>
      <c r="B157" s="12" t="s">
        <v>823</v>
      </c>
      <c r="C157" s="12" t="s">
        <v>824</v>
      </c>
      <c r="D157" s="24"/>
      <c r="E157" s="12" t="s">
        <v>349</v>
      </c>
      <c r="F157" s="13" t="s">
        <v>853</v>
      </c>
      <c r="G157" s="13" t="s">
        <v>854</v>
      </c>
      <c r="H157" s="14"/>
      <c r="I157" s="15" t="s">
        <v>207</v>
      </c>
      <c r="J157" s="14"/>
      <c r="K157" s="15" t="s">
        <v>207</v>
      </c>
      <c r="L157" s="14"/>
      <c r="M157" s="15"/>
      <c r="N157" s="14"/>
      <c r="O157" s="15" t="s">
        <v>207</v>
      </c>
      <c r="P157" s="14"/>
      <c r="Q157" s="15"/>
      <c r="R157" s="14"/>
      <c r="S157" s="15" t="s">
        <v>207</v>
      </c>
      <c r="T157" s="16">
        <f>17890.24</f>
        <v>17890.240000000002</v>
      </c>
      <c r="U157" s="17" t="str">
        <f t="shared" si="7"/>
        <v>－</v>
      </c>
      <c r="V157" s="17"/>
      <c r="W157" s="25"/>
      <c r="X157" s="17" t="str">
        <f t="shared" si="8"/>
        <v>－</v>
      </c>
      <c r="Y157" s="17"/>
      <c r="Z157" s="26"/>
      <c r="AA157" s="14" t="s">
        <v>64</v>
      </c>
      <c r="AB157" s="18" t="str">
        <f t="shared" si="9"/>
        <v>－</v>
      </c>
      <c r="AC157" s="19" t="str">
        <f t="shared" si="9"/>
        <v>－</v>
      </c>
    </row>
    <row r="158" spans="1:29">
      <c r="A158" s="11" t="s">
        <v>48</v>
      </c>
      <c r="B158" s="12" t="s">
        <v>823</v>
      </c>
      <c r="C158" s="12" t="s">
        <v>824</v>
      </c>
      <c r="D158" s="24"/>
      <c r="E158" s="12" t="s">
        <v>89</v>
      </c>
      <c r="F158" s="13" t="s">
        <v>855</v>
      </c>
      <c r="G158" s="13" t="s">
        <v>856</v>
      </c>
      <c r="H158" s="14"/>
      <c r="I158" s="15" t="s">
        <v>207</v>
      </c>
      <c r="J158" s="14"/>
      <c r="K158" s="15" t="s">
        <v>207</v>
      </c>
      <c r="L158" s="14"/>
      <c r="M158" s="15"/>
      <c r="N158" s="14"/>
      <c r="O158" s="15" t="s">
        <v>207</v>
      </c>
      <c r="P158" s="14"/>
      <c r="Q158" s="15"/>
      <c r="R158" s="14"/>
      <c r="S158" s="15" t="s">
        <v>207</v>
      </c>
      <c r="T158" s="16">
        <f>18573.79</f>
        <v>18573.79</v>
      </c>
      <c r="U158" s="17" t="str">
        <f t="shared" si="7"/>
        <v>－</v>
      </c>
      <c r="V158" s="17"/>
      <c r="W158" s="25"/>
      <c r="X158" s="17" t="str">
        <f t="shared" si="8"/>
        <v>－</v>
      </c>
      <c r="Y158" s="17"/>
      <c r="Z158" s="26"/>
      <c r="AA158" s="14" t="s">
        <v>64</v>
      </c>
      <c r="AB158" s="18" t="str">
        <f t="shared" si="9"/>
        <v>－</v>
      </c>
      <c r="AC158" s="19" t="str">
        <f t="shared" si="9"/>
        <v>－</v>
      </c>
    </row>
    <row r="159" spans="1:29">
      <c r="A159" s="11" t="s">
        <v>48</v>
      </c>
      <c r="B159" s="12" t="s">
        <v>823</v>
      </c>
      <c r="C159" s="12" t="s">
        <v>824</v>
      </c>
      <c r="D159" s="24"/>
      <c r="E159" s="12" t="s">
        <v>365</v>
      </c>
      <c r="F159" s="13" t="s">
        <v>857</v>
      </c>
      <c r="G159" s="13" t="s">
        <v>858</v>
      </c>
      <c r="H159" s="14"/>
      <c r="I159" s="15" t="s">
        <v>207</v>
      </c>
      <c r="J159" s="14"/>
      <c r="K159" s="15" t="s">
        <v>207</v>
      </c>
      <c r="L159" s="14"/>
      <c r="M159" s="15"/>
      <c r="N159" s="14"/>
      <c r="O159" s="15" t="s">
        <v>207</v>
      </c>
      <c r="P159" s="14"/>
      <c r="Q159" s="15"/>
      <c r="R159" s="14"/>
      <c r="S159" s="15" t="s">
        <v>207</v>
      </c>
      <c r="T159" s="16">
        <f>16746.52</f>
        <v>16746.52</v>
      </c>
      <c r="U159" s="17" t="str">
        <f t="shared" si="7"/>
        <v>－</v>
      </c>
      <c r="V159" s="17"/>
      <c r="W159" s="25"/>
      <c r="X159" s="17" t="str">
        <f t="shared" si="8"/>
        <v>－</v>
      </c>
      <c r="Y159" s="17"/>
      <c r="Z159" s="26"/>
      <c r="AA159" s="14"/>
      <c r="AB159" s="18" t="str">
        <f t="shared" si="9"/>
        <v>－</v>
      </c>
      <c r="AC159" s="19" t="str">
        <f t="shared" si="9"/>
        <v>－</v>
      </c>
    </row>
    <row r="160" spans="1:29">
      <c r="A160" s="11" t="s">
        <v>48</v>
      </c>
      <c r="B160" s="12" t="s">
        <v>823</v>
      </c>
      <c r="C160" s="12" t="s">
        <v>824</v>
      </c>
      <c r="D160" s="24"/>
      <c r="E160" s="12" t="s">
        <v>103</v>
      </c>
      <c r="F160" s="13" t="s">
        <v>859</v>
      </c>
      <c r="G160" s="13" t="s">
        <v>860</v>
      </c>
      <c r="H160" s="14"/>
      <c r="I160" s="15" t="s">
        <v>207</v>
      </c>
      <c r="J160" s="14"/>
      <c r="K160" s="15" t="s">
        <v>207</v>
      </c>
      <c r="L160" s="14"/>
      <c r="M160" s="15"/>
      <c r="N160" s="14"/>
      <c r="O160" s="15" t="s">
        <v>207</v>
      </c>
      <c r="P160" s="14"/>
      <c r="Q160" s="15"/>
      <c r="R160" s="14"/>
      <c r="S160" s="15" t="s">
        <v>207</v>
      </c>
      <c r="T160" s="16">
        <f>17642.38</f>
        <v>17642.38</v>
      </c>
      <c r="U160" s="17" t="str">
        <f t="shared" si="7"/>
        <v>－</v>
      </c>
      <c r="V160" s="17"/>
      <c r="W160" s="25"/>
      <c r="X160" s="17" t="str">
        <f t="shared" si="8"/>
        <v>－</v>
      </c>
      <c r="Y160" s="17"/>
      <c r="Z160" s="26"/>
      <c r="AA160" s="14"/>
      <c r="AB160" s="18" t="str">
        <f t="shared" si="9"/>
        <v>－</v>
      </c>
      <c r="AC160" s="19" t="str">
        <f t="shared" si="9"/>
        <v>－</v>
      </c>
    </row>
    <row r="161" spans="1:29">
      <c r="A161" s="11" t="s">
        <v>48</v>
      </c>
      <c r="B161" s="12" t="s">
        <v>823</v>
      </c>
      <c r="C161" s="12" t="s">
        <v>824</v>
      </c>
      <c r="D161" s="24"/>
      <c r="E161" s="12" t="s">
        <v>114</v>
      </c>
      <c r="F161" s="13" t="s">
        <v>861</v>
      </c>
      <c r="G161" s="13" t="s">
        <v>862</v>
      </c>
      <c r="H161" s="14"/>
      <c r="I161" s="15" t="s">
        <v>207</v>
      </c>
      <c r="J161" s="14"/>
      <c r="K161" s="15" t="s">
        <v>207</v>
      </c>
      <c r="L161" s="14"/>
      <c r="M161" s="15"/>
      <c r="N161" s="14"/>
      <c r="O161" s="15" t="s">
        <v>207</v>
      </c>
      <c r="P161" s="14"/>
      <c r="Q161" s="15"/>
      <c r="R161" s="14"/>
      <c r="S161" s="15" t="s">
        <v>207</v>
      </c>
      <c r="T161" s="16">
        <f>17076.05</f>
        <v>17076.05</v>
      </c>
      <c r="U161" s="17" t="str">
        <f t="shared" si="7"/>
        <v>－</v>
      </c>
      <c r="V161" s="17"/>
      <c r="W161" s="25"/>
      <c r="X161" s="17" t="str">
        <f t="shared" si="8"/>
        <v>－</v>
      </c>
      <c r="Y161" s="17"/>
      <c r="Z161" s="26"/>
      <c r="AA161" s="14"/>
      <c r="AB161" s="18" t="str">
        <f t="shared" si="9"/>
        <v>－</v>
      </c>
      <c r="AC161" s="19" t="str">
        <f t="shared" si="9"/>
        <v>－</v>
      </c>
    </row>
    <row r="162" spans="1:29">
      <c r="A162" s="11" t="s">
        <v>48</v>
      </c>
      <c r="B162" s="12" t="s">
        <v>863</v>
      </c>
      <c r="C162" s="12" t="s">
        <v>864</v>
      </c>
      <c r="D162" s="24"/>
      <c r="E162" s="12" t="s">
        <v>865</v>
      </c>
      <c r="F162" s="13" t="s">
        <v>866</v>
      </c>
      <c r="G162" s="13" t="s">
        <v>841</v>
      </c>
      <c r="H162" s="14"/>
      <c r="I162" s="15" t="s">
        <v>207</v>
      </c>
      <c r="J162" s="14"/>
      <c r="K162" s="15" t="s">
        <v>207</v>
      </c>
      <c r="L162" s="14"/>
      <c r="M162" s="15"/>
      <c r="N162" s="14"/>
      <c r="O162" s="15" t="s">
        <v>207</v>
      </c>
      <c r="P162" s="14"/>
      <c r="Q162" s="15"/>
      <c r="R162" s="14"/>
      <c r="S162" s="15" t="s">
        <v>207</v>
      </c>
      <c r="T162" s="16">
        <f>412.49</f>
        <v>412.49</v>
      </c>
      <c r="U162" s="17" t="str">
        <f t="shared" si="7"/>
        <v>－</v>
      </c>
      <c r="V162" s="17"/>
      <c r="W162" s="25"/>
      <c r="X162" s="17" t="str">
        <f t="shared" si="8"/>
        <v>－</v>
      </c>
      <c r="Y162" s="17"/>
      <c r="Z162" s="26"/>
      <c r="AA162" s="14" t="s">
        <v>64</v>
      </c>
      <c r="AB162" s="18">
        <f>53</f>
        <v>53</v>
      </c>
      <c r="AC162" s="19" t="str">
        <f>"－"</f>
        <v>－</v>
      </c>
    </row>
    <row r="163" spans="1:29">
      <c r="A163" s="11" t="s">
        <v>48</v>
      </c>
      <c r="B163" s="12" t="s">
        <v>863</v>
      </c>
      <c r="C163" s="12" t="s">
        <v>864</v>
      </c>
      <c r="D163" s="24"/>
      <c r="E163" s="12" t="s">
        <v>89</v>
      </c>
      <c r="F163" s="13" t="s">
        <v>867</v>
      </c>
      <c r="G163" s="13" t="s">
        <v>868</v>
      </c>
      <c r="H163" s="14" t="s">
        <v>869</v>
      </c>
      <c r="I163" s="15" t="s">
        <v>870</v>
      </c>
      <c r="J163" s="14" t="s">
        <v>782</v>
      </c>
      <c r="K163" s="15" t="s">
        <v>871</v>
      </c>
      <c r="L163" s="14" t="s">
        <v>872</v>
      </c>
      <c r="M163" s="15" t="s">
        <v>873</v>
      </c>
      <c r="N163" s="14" t="s">
        <v>869</v>
      </c>
      <c r="O163" s="15" t="s">
        <v>870</v>
      </c>
      <c r="P163" s="14" t="s">
        <v>874</v>
      </c>
      <c r="Q163" s="15" t="s">
        <v>875</v>
      </c>
      <c r="R163" s="14" t="s">
        <v>782</v>
      </c>
      <c r="S163" s="15" t="s">
        <v>871</v>
      </c>
      <c r="T163" s="16">
        <f>474.09</f>
        <v>474.09</v>
      </c>
      <c r="U163" s="17">
        <f>2859</f>
        <v>2859</v>
      </c>
      <c r="V163" s="17">
        <v>2844</v>
      </c>
      <c r="W163" s="25"/>
      <c r="X163" s="17">
        <f>1365770600</f>
        <v>1365770600</v>
      </c>
      <c r="Y163" s="17">
        <v>1359168100</v>
      </c>
      <c r="Z163" s="26"/>
      <c r="AA163" s="14"/>
      <c r="AB163" s="18">
        <f>27428</f>
        <v>27428</v>
      </c>
      <c r="AC163" s="19">
        <f>2</f>
        <v>2</v>
      </c>
    </row>
    <row r="164" spans="1:29">
      <c r="A164" s="11" t="s">
        <v>48</v>
      </c>
      <c r="B164" s="12" t="s">
        <v>863</v>
      </c>
      <c r="C164" s="12" t="s">
        <v>864</v>
      </c>
      <c r="D164" s="24"/>
      <c r="E164" s="12" t="s">
        <v>136</v>
      </c>
      <c r="F164" s="13" t="s">
        <v>876</v>
      </c>
      <c r="G164" s="13" t="s">
        <v>877</v>
      </c>
      <c r="H164" s="14" t="s">
        <v>782</v>
      </c>
      <c r="I164" s="15" t="s">
        <v>878</v>
      </c>
      <c r="J164" s="14" t="s">
        <v>879</v>
      </c>
      <c r="K164" s="15" t="s">
        <v>880</v>
      </c>
      <c r="L164" s="14"/>
      <c r="M164" s="15"/>
      <c r="N164" s="14" t="s">
        <v>782</v>
      </c>
      <c r="O164" s="15" t="s">
        <v>878</v>
      </c>
      <c r="P164" s="14"/>
      <c r="Q164" s="15"/>
      <c r="R164" s="14" t="s">
        <v>879</v>
      </c>
      <c r="S164" s="15" t="s">
        <v>880</v>
      </c>
      <c r="T164" s="16">
        <f>518.56</f>
        <v>518.55999999999995</v>
      </c>
      <c r="U164" s="17">
        <f>10</f>
        <v>10</v>
      </c>
      <c r="V164" s="17"/>
      <c r="W164" s="25"/>
      <c r="X164" s="17">
        <f>4757000</f>
        <v>4757000</v>
      </c>
      <c r="Y164" s="17"/>
      <c r="Z164" s="26"/>
      <c r="AA164" s="14"/>
      <c r="AB164" s="18">
        <f>10</f>
        <v>10</v>
      </c>
      <c r="AC164" s="19">
        <f>2</f>
        <v>2</v>
      </c>
    </row>
    <row r="165" spans="1:29">
      <c r="A165" s="11" t="s">
        <v>48</v>
      </c>
      <c r="B165" s="12" t="s">
        <v>863</v>
      </c>
      <c r="C165" s="12" t="s">
        <v>864</v>
      </c>
      <c r="D165" s="24"/>
      <c r="E165" s="12" t="s">
        <v>172</v>
      </c>
      <c r="F165" s="13" t="s">
        <v>881</v>
      </c>
      <c r="G165" s="13" t="s">
        <v>882</v>
      </c>
      <c r="H165" s="14"/>
      <c r="I165" s="15" t="s">
        <v>207</v>
      </c>
      <c r="J165" s="14"/>
      <c r="K165" s="15" t="s">
        <v>207</v>
      </c>
      <c r="L165" s="14" t="s">
        <v>569</v>
      </c>
      <c r="M165" s="15" t="s">
        <v>883</v>
      </c>
      <c r="N165" s="14"/>
      <c r="O165" s="15" t="s">
        <v>207</v>
      </c>
      <c r="P165" s="14" t="s">
        <v>728</v>
      </c>
      <c r="Q165" s="15" t="s">
        <v>884</v>
      </c>
      <c r="R165" s="14"/>
      <c r="S165" s="15" t="s">
        <v>207</v>
      </c>
      <c r="T165" s="16">
        <f>535.83</f>
        <v>535.83000000000004</v>
      </c>
      <c r="U165" s="17">
        <f>7086</f>
        <v>7086</v>
      </c>
      <c r="V165" s="17">
        <v>7086</v>
      </c>
      <c r="W165" s="25"/>
      <c r="X165" s="17">
        <f>4010766700</f>
        <v>4010766700</v>
      </c>
      <c r="Y165" s="17">
        <v>4010766700</v>
      </c>
      <c r="Z165" s="26"/>
      <c r="AA165" s="14"/>
      <c r="AB165" s="18">
        <f>7038</f>
        <v>7038</v>
      </c>
      <c r="AC165" s="19" t="str">
        <f t="shared" ref="AC165:AC170" si="10">"－"</f>
        <v>－</v>
      </c>
    </row>
    <row r="166" spans="1:29">
      <c r="A166" s="11" t="s">
        <v>48</v>
      </c>
      <c r="B166" s="12" t="s">
        <v>863</v>
      </c>
      <c r="C166" s="12" t="s">
        <v>864</v>
      </c>
      <c r="D166" s="24"/>
      <c r="E166" s="12" t="s">
        <v>196</v>
      </c>
      <c r="F166" s="13" t="s">
        <v>885</v>
      </c>
      <c r="G166" s="13" t="s">
        <v>886</v>
      </c>
      <c r="H166" s="14"/>
      <c r="I166" s="15" t="s">
        <v>207</v>
      </c>
      <c r="J166" s="14"/>
      <c r="K166" s="15" t="s">
        <v>207</v>
      </c>
      <c r="L166" s="14"/>
      <c r="M166" s="15"/>
      <c r="N166" s="14"/>
      <c r="O166" s="15" t="s">
        <v>207</v>
      </c>
      <c r="P166" s="14"/>
      <c r="Q166" s="15"/>
      <c r="R166" s="14"/>
      <c r="S166" s="15" t="s">
        <v>207</v>
      </c>
      <c r="T166" s="16">
        <f>536.6</f>
        <v>536.6</v>
      </c>
      <c r="U166" s="17" t="str">
        <f>"－"</f>
        <v>－</v>
      </c>
      <c r="V166" s="17"/>
      <c r="W166" s="25"/>
      <c r="X166" s="17" t="str">
        <f>"－"</f>
        <v>－</v>
      </c>
      <c r="Y166" s="17"/>
      <c r="Z166" s="26"/>
      <c r="AA166" s="14"/>
      <c r="AB166" s="18" t="str">
        <f>"－"</f>
        <v>－</v>
      </c>
      <c r="AC166" s="19" t="str">
        <f t="shared" si="10"/>
        <v>－</v>
      </c>
    </row>
    <row r="167" spans="1:29">
      <c r="A167" s="11" t="s">
        <v>48</v>
      </c>
      <c r="B167" s="12" t="s">
        <v>863</v>
      </c>
      <c r="C167" s="12" t="s">
        <v>864</v>
      </c>
      <c r="D167" s="24"/>
      <c r="E167" s="12" t="s">
        <v>209</v>
      </c>
      <c r="F167" s="13" t="s">
        <v>887</v>
      </c>
      <c r="G167" s="13" t="s">
        <v>888</v>
      </c>
      <c r="H167" s="14"/>
      <c r="I167" s="15" t="s">
        <v>207</v>
      </c>
      <c r="J167" s="14"/>
      <c r="K167" s="15" t="s">
        <v>207</v>
      </c>
      <c r="L167" s="14"/>
      <c r="M167" s="15"/>
      <c r="N167" s="14"/>
      <c r="O167" s="15" t="s">
        <v>207</v>
      </c>
      <c r="P167" s="14"/>
      <c r="Q167" s="15"/>
      <c r="R167" s="14"/>
      <c r="S167" s="15" t="s">
        <v>207</v>
      </c>
      <c r="T167" s="16">
        <f>539</f>
        <v>539</v>
      </c>
      <c r="U167" s="17" t="str">
        <f>"－"</f>
        <v>－</v>
      </c>
      <c r="V167" s="17"/>
      <c r="W167" s="25"/>
      <c r="X167" s="17" t="str">
        <f>"－"</f>
        <v>－</v>
      </c>
      <c r="Y167" s="17"/>
      <c r="Z167" s="26"/>
      <c r="AA167" s="14"/>
      <c r="AB167" s="18" t="str">
        <f>"－"</f>
        <v>－</v>
      </c>
      <c r="AC167" s="19" t="str">
        <f t="shared" si="10"/>
        <v>－</v>
      </c>
    </row>
    <row r="168" spans="1:29">
      <c r="A168" s="11" t="s">
        <v>48</v>
      </c>
      <c r="B168" s="12" t="s">
        <v>863</v>
      </c>
      <c r="C168" s="12" t="s">
        <v>864</v>
      </c>
      <c r="D168" s="24"/>
      <c r="E168" s="12" t="s">
        <v>228</v>
      </c>
      <c r="F168" s="13" t="s">
        <v>889</v>
      </c>
      <c r="G168" s="13" t="s">
        <v>890</v>
      </c>
      <c r="H168" s="14"/>
      <c r="I168" s="15" t="s">
        <v>207</v>
      </c>
      <c r="J168" s="14"/>
      <c r="K168" s="15" t="s">
        <v>207</v>
      </c>
      <c r="L168" s="14"/>
      <c r="M168" s="15"/>
      <c r="N168" s="14"/>
      <c r="O168" s="15" t="s">
        <v>207</v>
      </c>
      <c r="P168" s="14"/>
      <c r="Q168" s="15"/>
      <c r="R168" s="14"/>
      <c r="S168" s="15" t="s">
        <v>207</v>
      </c>
      <c r="T168" s="16">
        <f>539.7</f>
        <v>539.70000000000005</v>
      </c>
      <c r="U168" s="17" t="str">
        <f>"－"</f>
        <v>－</v>
      </c>
      <c r="V168" s="17"/>
      <c r="W168" s="25"/>
      <c r="X168" s="17" t="str">
        <f>"－"</f>
        <v>－</v>
      </c>
      <c r="Y168" s="17"/>
      <c r="Z168" s="26"/>
      <c r="AA168" s="14"/>
      <c r="AB168" s="18" t="str">
        <f>"－"</f>
        <v>－</v>
      </c>
      <c r="AC168" s="19" t="str">
        <f t="shared" si="10"/>
        <v>－</v>
      </c>
    </row>
    <row r="169" spans="1:29">
      <c r="A169" s="11" t="s">
        <v>48</v>
      </c>
      <c r="B169" s="12" t="s">
        <v>863</v>
      </c>
      <c r="C169" s="12" t="s">
        <v>864</v>
      </c>
      <c r="D169" s="24"/>
      <c r="E169" s="12" t="s">
        <v>237</v>
      </c>
      <c r="F169" s="13" t="s">
        <v>891</v>
      </c>
      <c r="G169" s="13" t="s">
        <v>892</v>
      </c>
      <c r="H169" s="14"/>
      <c r="I169" s="15" t="s">
        <v>207</v>
      </c>
      <c r="J169" s="14"/>
      <c r="K169" s="15" t="s">
        <v>207</v>
      </c>
      <c r="L169" s="14"/>
      <c r="M169" s="15"/>
      <c r="N169" s="14"/>
      <c r="O169" s="15" t="s">
        <v>207</v>
      </c>
      <c r="P169" s="14"/>
      <c r="Q169" s="15"/>
      <c r="R169" s="14"/>
      <c r="S169" s="15" t="s">
        <v>207</v>
      </c>
      <c r="T169" s="16">
        <f>540.48</f>
        <v>540.48</v>
      </c>
      <c r="U169" s="17" t="str">
        <f>"－"</f>
        <v>－</v>
      </c>
      <c r="V169" s="17"/>
      <c r="W169" s="25"/>
      <c r="X169" s="17" t="str">
        <f>"－"</f>
        <v>－</v>
      </c>
      <c r="Y169" s="17"/>
      <c r="Z169" s="26"/>
      <c r="AA169" s="14"/>
      <c r="AB169" s="18" t="str">
        <f>"－"</f>
        <v>－</v>
      </c>
      <c r="AC169" s="19" t="str">
        <f t="shared" si="10"/>
        <v>－</v>
      </c>
    </row>
    <row r="170" spans="1:29">
      <c r="A170" s="11" t="s">
        <v>48</v>
      </c>
      <c r="B170" s="12" t="s">
        <v>863</v>
      </c>
      <c r="C170" s="12" t="s">
        <v>864</v>
      </c>
      <c r="D170" s="24"/>
      <c r="E170" s="12" t="s">
        <v>243</v>
      </c>
      <c r="F170" s="13" t="s">
        <v>831</v>
      </c>
      <c r="G170" s="13" t="s">
        <v>893</v>
      </c>
      <c r="H170" s="14"/>
      <c r="I170" s="15" t="s">
        <v>207</v>
      </c>
      <c r="J170" s="14"/>
      <c r="K170" s="15" t="s">
        <v>207</v>
      </c>
      <c r="L170" s="14"/>
      <c r="M170" s="15"/>
      <c r="N170" s="14"/>
      <c r="O170" s="15" t="s">
        <v>207</v>
      </c>
      <c r="P170" s="14"/>
      <c r="Q170" s="15"/>
      <c r="R170" s="14"/>
      <c r="S170" s="15" t="s">
        <v>207</v>
      </c>
      <c r="T170" s="16">
        <f>522.51</f>
        <v>522.51</v>
      </c>
      <c r="U170" s="17" t="str">
        <f>"－"</f>
        <v>－</v>
      </c>
      <c r="V170" s="17"/>
      <c r="W170" s="25"/>
      <c r="X170" s="17" t="str">
        <f>"－"</f>
        <v>－</v>
      </c>
      <c r="Y170" s="17"/>
      <c r="Z170" s="26"/>
      <c r="AA170" s="14"/>
      <c r="AB170" s="18" t="str">
        <f>"－"</f>
        <v>－</v>
      </c>
      <c r="AC170" s="19" t="str">
        <f t="shared" si="10"/>
        <v>－</v>
      </c>
    </row>
    <row r="171" spans="1:29">
      <c r="A171" s="11" t="s">
        <v>48</v>
      </c>
      <c r="B171" s="12" t="s">
        <v>894</v>
      </c>
      <c r="C171" s="12" t="s">
        <v>895</v>
      </c>
      <c r="D171" s="24"/>
      <c r="E171" s="12" t="s">
        <v>262</v>
      </c>
      <c r="F171" s="13" t="s">
        <v>896</v>
      </c>
      <c r="G171" s="13" t="s">
        <v>897</v>
      </c>
      <c r="H171" s="14" t="s">
        <v>54</v>
      </c>
      <c r="I171" s="15" t="s">
        <v>898</v>
      </c>
      <c r="J171" s="14" t="s">
        <v>92</v>
      </c>
      <c r="K171" s="15" t="s">
        <v>899</v>
      </c>
      <c r="L171" s="14"/>
      <c r="M171" s="15"/>
      <c r="N171" s="14" t="s">
        <v>54</v>
      </c>
      <c r="O171" s="15" t="s">
        <v>898</v>
      </c>
      <c r="P171" s="14"/>
      <c r="Q171" s="15"/>
      <c r="R171" s="14" t="s">
        <v>827</v>
      </c>
      <c r="S171" s="15" t="s">
        <v>900</v>
      </c>
      <c r="T171" s="16">
        <f>21.58</f>
        <v>21.58</v>
      </c>
      <c r="U171" s="17">
        <f>588</f>
        <v>588</v>
      </c>
      <c r="V171" s="17"/>
      <c r="W171" s="25"/>
      <c r="X171" s="17">
        <f>124276000</f>
        <v>124276000</v>
      </c>
      <c r="Y171" s="17"/>
      <c r="Z171" s="26"/>
      <c r="AA171" s="14" t="s">
        <v>64</v>
      </c>
      <c r="AB171" s="18">
        <f>526</f>
        <v>526</v>
      </c>
      <c r="AC171" s="19">
        <f>6</f>
        <v>6</v>
      </c>
    </row>
    <row r="172" spans="1:29">
      <c r="A172" s="11" t="s">
        <v>48</v>
      </c>
      <c r="B172" s="12" t="s">
        <v>894</v>
      </c>
      <c r="C172" s="12" t="s">
        <v>895</v>
      </c>
      <c r="D172" s="24"/>
      <c r="E172" s="12" t="s">
        <v>269</v>
      </c>
      <c r="F172" s="13" t="s">
        <v>901</v>
      </c>
      <c r="G172" s="13" t="s">
        <v>902</v>
      </c>
      <c r="H172" s="14" t="s">
        <v>54</v>
      </c>
      <c r="I172" s="15" t="s">
        <v>903</v>
      </c>
      <c r="J172" s="14" t="s">
        <v>780</v>
      </c>
      <c r="K172" s="15" t="s">
        <v>904</v>
      </c>
      <c r="L172" s="14"/>
      <c r="M172" s="15"/>
      <c r="N172" s="14" t="s">
        <v>905</v>
      </c>
      <c r="O172" s="15" t="s">
        <v>906</v>
      </c>
      <c r="P172" s="14"/>
      <c r="Q172" s="15"/>
      <c r="R172" s="14" t="s">
        <v>273</v>
      </c>
      <c r="S172" s="15" t="s">
        <v>907</v>
      </c>
      <c r="T172" s="16">
        <f>23.34</f>
        <v>23.34</v>
      </c>
      <c r="U172" s="17">
        <f>2939</f>
        <v>2939</v>
      </c>
      <c r="V172" s="17"/>
      <c r="W172" s="25"/>
      <c r="X172" s="17">
        <f>688205000</f>
        <v>688205000</v>
      </c>
      <c r="Y172" s="17"/>
      <c r="Z172" s="26"/>
      <c r="AA172" s="14" t="s">
        <v>64</v>
      </c>
      <c r="AB172" s="18">
        <f>99</f>
        <v>99</v>
      </c>
      <c r="AC172" s="19">
        <f>26</f>
        <v>26</v>
      </c>
    </row>
    <row r="173" spans="1:29">
      <c r="A173" s="11" t="s">
        <v>48</v>
      </c>
      <c r="B173" s="12" t="s">
        <v>894</v>
      </c>
      <c r="C173" s="12" t="s">
        <v>895</v>
      </c>
      <c r="D173" s="24"/>
      <c r="E173" s="12" t="s">
        <v>51</v>
      </c>
      <c r="F173" s="13" t="s">
        <v>799</v>
      </c>
      <c r="G173" s="13" t="s">
        <v>908</v>
      </c>
      <c r="H173" s="14" t="s">
        <v>769</v>
      </c>
      <c r="I173" s="15" t="s">
        <v>909</v>
      </c>
      <c r="J173" s="14" t="s">
        <v>714</v>
      </c>
      <c r="K173" s="15" t="s">
        <v>910</v>
      </c>
      <c r="L173" s="14"/>
      <c r="M173" s="15"/>
      <c r="N173" s="14" t="s">
        <v>911</v>
      </c>
      <c r="O173" s="15" t="s">
        <v>912</v>
      </c>
      <c r="P173" s="14"/>
      <c r="Q173" s="15"/>
      <c r="R173" s="14" t="s">
        <v>577</v>
      </c>
      <c r="S173" s="15" t="s">
        <v>913</v>
      </c>
      <c r="T173" s="16">
        <f>24.95</f>
        <v>24.95</v>
      </c>
      <c r="U173" s="17">
        <f>4319</f>
        <v>4319</v>
      </c>
      <c r="V173" s="17"/>
      <c r="W173" s="25"/>
      <c r="X173" s="17">
        <f>1104556000</f>
        <v>1104556000</v>
      </c>
      <c r="Y173" s="17"/>
      <c r="Z173" s="26"/>
      <c r="AA173" s="14" t="s">
        <v>64</v>
      </c>
      <c r="AB173" s="18">
        <f>56</f>
        <v>56</v>
      </c>
      <c r="AC173" s="19">
        <f>38</f>
        <v>38</v>
      </c>
    </row>
    <row r="174" spans="1:29">
      <c r="A174" s="11" t="s">
        <v>48</v>
      </c>
      <c r="B174" s="12" t="s">
        <v>894</v>
      </c>
      <c r="C174" s="12" t="s">
        <v>895</v>
      </c>
      <c r="D174" s="24"/>
      <c r="E174" s="12" t="s">
        <v>284</v>
      </c>
      <c r="F174" s="13" t="s">
        <v>914</v>
      </c>
      <c r="G174" s="13" t="s">
        <v>915</v>
      </c>
      <c r="H174" s="14" t="s">
        <v>273</v>
      </c>
      <c r="I174" s="15" t="s">
        <v>916</v>
      </c>
      <c r="J174" s="14" t="s">
        <v>213</v>
      </c>
      <c r="K174" s="15" t="s">
        <v>917</v>
      </c>
      <c r="L174" s="14"/>
      <c r="M174" s="15"/>
      <c r="N174" s="14" t="s">
        <v>918</v>
      </c>
      <c r="O174" s="15" t="s">
        <v>919</v>
      </c>
      <c r="P174" s="14"/>
      <c r="Q174" s="15"/>
      <c r="R174" s="14" t="s">
        <v>918</v>
      </c>
      <c r="S174" s="15" t="s">
        <v>919</v>
      </c>
      <c r="T174" s="16">
        <f>22.53</f>
        <v>22.53</v>
      </c>
      <c r="U174" s="17">
        <f>4666</f>
        <v>4666</v>
      </c>
      <c r="V174" s="17"/>
      <c r="W174" s="25"/>
      <c r="X174" s="17">
        <f>1022604000</f>
        <v>1022604000</v>
      </c>
      <c r="Y174" s="17"/>
      <c r="Z174" s="26"/>
      <c r="AA174" s="14" t="s">
        <v>64</v>
      </c>
      <c r="AB174" s="18">
        <f>810</f>
        <v>810</v>
      </c>
      <c r="AC174" s="19">
        <f>44</f>
        <v>44</v>
      </c>
    </row>
    <row r="175" spans="1:29">
      <c r="A175" s="11" t="s">
        <v>48</v>
      </c>
      <c r="B175" s="12" t="s">
        <v>894</v>
      </c>
      <c r="C175" s="12" t="s">
        <v>895</v>
      </c>
      <c r="D175" s="24"/>
      <c r="E175" s="12" t="s">
        <v>294</v>
      </c>
      <c r="F175" s="13" t="s">
        <v>920</v>
      </c>
      <c r="G175" s="13" t="s">
        <v>921</v>
      </c>
      <c r="H175" s="14" t="s">
        <v>599</v>
      </c>
      <c r="I175" s="15" t="s">
        <v>922</v>
      </c>
      <c r="J175" s="14" t="s">
        <v>62</v>
      </c>
      <c r="K175" s="15" t="s">
        <v>923</v>
      </c>
      <c r="L175" s="14"/>
      <c r="M175" s="15"/>
      <c r="N175" s="14" t="s">
        <v>924</v>
      </c>
      <c r="O175" s="15" t="s">
        <v>925</v>
      </c>
      <c r="P175" s="14"/>
      <c r="Q175" s="15"/>
      <c r="R175" s="14" t="s">
        <v>162</v>
      </c>
      <c r="S175" s="15" t="s">
        <v>926</v>
      </c>
      <c r="T175" s="16">
        <f>23.55</f>
        <v>23.55</v>
      </c>
      <c r="U175" s="17">
        <f>5123</f>
        <v>5123</v>
      </c>
      <c r="V175" s="17"/>
      <c r="W175" s="25"/>
      <c r="X175" s="17">
        <f>1097677000</f>
        <v>1097677000</v>
      </c>
      <c r="Y175" s="17"/>
      <c r="Z175" s="26"/>
      <c r="AA175" s="14" t="s">
        <v>64</v>
      </c>
      <c r="AB175" s="18">
        <f>526</f>
        <v>526</v>
      </c>
      <c r="AC175" s="19">
        <f>41</f>
        <v>41</v>
      </c>
    </row>
    <row r="176" spans="1:29">
      <c r="A176" s="11" t="s">
        <v>48</v>
      </c>
      <c r="B176" s="12" t="s">
        <v>894</v>
      </c>
      <c r="C176" s="12" t="s">
        <v>895</v>
      </c>
      <c r="D176" s="24"/>
      <c r="E176" s="12" t="s">
        <v>65</v>
      </c>
      <c r="F176" s="13" t="s">
        <v>927</v>
      </c>
      <c r="G176" s="13" t="s">
        <v>928</v>
      </c>
      <c r="H176" s="14" t="s">
        <v>929</v>
      </c>
      <c r="I176" s="15" t="s">
        <v>930</v>
      </c>
      <c r="J176" s="14" t="s">
        <v>300</v>
      </c>
      <c r="K176" s="15" t="s">
        <v>931</v>
      </c>
      <c r="L176" s="14"/>
      <c r="M176" s="15"/>
      <c r="N176" s="14" t="s">
        <v>646</v>
      </c>
      <c r="O176" s="15" t="s">
        <v>932</v>
      </c>
      <c r="P176" s="14"/>
      <c r="Q176" s="15"/>
      <c r="R176" s="14" t="s">
        <v>584</v>
      </c>
      <c r="S176" s="15" t="s">
        <v>933</v>
      </c>
      <c r="T176" s="16">
        <f>23.29</f>
        <v>23.29</v>
      </c>
      <c r="U176" s="17">
        <f>4820</f>
        <v>4820</v>
      </c>
      <c r="V176" s="17"/>
      <c r="W176" s="25"/>
      <c r="X176" s="17">
        <f>1024366000</f>
        <v>1024366000</v>
      </c>
      <c r="Y176" s="17"/>
      <c r="Z176" s="26"/>
      <c r="AA176" s="14" t="s">
        <v>64</v>
      </c>
      <c r="AB176" s="18">
        <f>679</f>
        <v>679</v>
      </c>
      <c r="AC176" s="19">
        <f>36</f>
        <v>36</v>
      </c>
    </row>
    <row r="177" spans="1:29">
      <c r="A177" s="11" t="s">
        <v>48</v>
      </c>
      <c r="B177" s="12" t="s">
        <v>894</v>
      </c>
      <c r="C177" s="12" t="s">
        <v>895</v>
      </c>
      <c r="D177" s="24"/>
      <c r="E177" s="12" t="s">
        <v>310</v>
      </c>
      <c r="F177" s="13" t="s">
        <v>934</v>
      </c>
      <c r="G177" s="13" t="s">
        <v>935</v>
      </c>
      <c r="H177" s="14" t="s">
        <v>162</v>
      </c>
      <c r="I177" s="15" t="s">
        <v>936</v>
      </c>
      <c r="J177" s="14" t="s">
        <v>132</v>
      </c>
      <c r="K177" s="15" t="s">
        <v>937</v>
      </c>
      <c r="L177" s="14"/>
      <c r="M177" s="15"/>
      <c r="N177" s="14" t="s">
        <v>642</v>
      </c>
      <c r="O177" s="15" t="s">
        <v>938</v>
      </c>
      <c r="P177" s="14"/>
      <c r="Q177" s="15"/>
      <c r="R177" s="14" t="s">
        <v>642</v>
      </c>
      <c r="S177" s="15" t="s">
        <v>939</v>
      </c>
      <c r="T177" s="16">
        <f>22.72</f>
        <v>22.72</v>
      </c>
      <c r="U177" s="17">
        <f>6759</f>
        <v>6759</v>
      </c>
      <c r="V177" s="17"/>
      <c r="W177" s="25"/>
      <c r="X177" s="17">
        <f>1306575500</f>
        <v>1306575500</v>
      </c>
      <c r="Y177" s="17"/>
      <c r="Z177" s="26"/>
      <c r="AA177" s="14" t="s">
        <v>64</v>
      </c>
      <c r="AB177" s="18">
        <f>1029</f>
        <v>1029</v>
      </c>
      <c r="AC177" s="19">
        <f>46</f>
        <v>46</v>
      </c>
    </row>
    <row r="178" spans="1:29">
      <c r="A178" s="11" t="s">
        <v>48</v>
      </c>
      <c r="B178" s="12" t="s">
        <v>894</v>
      </c>
      <c r="C178" s="12" t="s">
        <v>895</v>
      </c>
      <c r="D178" s="24"/>
      <c r="E178" s="12" t="s">
        <v>321</v>
      </c>
      <c r="F178" s="13" t="s">
        <v>940</v>
      </c>
      <c r="G178" s="13" t="s">
        <v>941</v>
      </c>
      <c r="H178" s="14" t="s">
        <v>584</v>
      </c>
      <c r="I178" s="15" t="s">
        <v>936</v>
      </c>
      <c r="J178" s="14" t="s">
        <v>352</v>
      </c>
      <c r="K178" s="15" t="s">
        <v>942</v>
      </c>
      <c r="L178" s="14"/>
      <c r="M178" s="15"/>
      <c r="N178" s="14" t="s">
        <v>943</v>
      </c>
      <c r="O178" s="15" t="s">
        <v>944</v>
      </c>
      <c r="P178" s="14"/>
      <c r="Q178" s="15"/>
      <c r="R178" s="14" t="s">
        <v>943</v>
      </c>
      <c r="S178" s="15" t="s">
        <v>945</v>
      </c>
      <c r="T178" s="16">
        <f>23.05</f>
        <v>23.05</v>
      </c>
      <c r="U178" s="17">
        <f>3990</f>
        <v>3990</v>
      </c>
      <c r="V178" s="17"/>
      <c r="W178" s="25"/>
      <c r="X178" s="17">
        <f>834643500</f>
        <v>834643500</v>
      </c>
      <c r="Y178" s="17"/>
      <c r="Z178" s="26"/>
      <c r="AA178" s="14" t="s">
        <v>64</v>
      </c>
      <c r="AB178" s="18">
        <f>210</f>
        <v>210</v>
      </c>
      <c r="AC178" s="19">
        <f>43</f>
        <v>43</v>
      </c>
    </row>
    <row r="179" spans="1:29">
      <c r="A179" s="11" t="s">
        <v>48</v>
      </c>
      <c r="B179" s="12" t="s">
        <v>894</v>
      </c>
      <c r="C179" s="12" t="s">
        <v>895</v>
      </c>
      <c r="D179" s="24"/>
      <c r="E179" s="12" t="s">
        <v>76</v>
      </c>
      <c r="F179" s="13" t="s">
        <v>946</v>
      </c>
      <c r="G179" s="13" t="s">
        <v>947</v>
      </c>
      <c r="H179" s="14" t="s">
        <v>553</v>
      </c>
      <c r="I179" s="15" t="s">
        <v>936</v>
      </c>
      <c r="J179" s="14" t="s">
        <v>948</v>
      </c>
      <c r="K179" s="15" t="s">
        <v>949</v>
      </c>
      <c r="L179" s="14"/>
      <c r="M179" s="15"/>
      <c r="N179" s="14" t="s">
        <v>198</v>
      </c>
      <c r="O179" s="15" t="s">
        <v>950</v>
      </c>
      <c r="P179" s="14"/>
      <c r="Q179" s="15"/>
      <c r="R179" s="14" t="s">
        <v>467</v>
      </c>
      <c r="S179" s="15" t="s">
        <v>951</v>
      </c>
      <c r="T179" s="16">
        <f>22.77</f>
        <v>22.77</v>
      </c>
      <c r="U179" s="17">
        <f>4307</f>
        <v>4307</v>
      </c>
      <c r="V179" s="17"/>
      <c r="W179" s="25"/>
      <c r="X179" s="17">
        <f>843627000</f>
        <v>843627000</v>
      </c>
      <c r="Y179" s="17"/>
      <c r="Z179" s="26"/>
      <c r="AA179" s="14" t="s">
        <v>64</v>
      </c>
      <c r="AB179" s="18">
        <f>1404</f>
        <v>1404</v>
      </c>
      <c r="AC179" s="19">
        <f>38</f>
        <v>38</v>
      </c>
    </row>
    <row r="180" spans="1:29">
      <c r="A180" s="11" t="s">
        <v>48</v>
      </c>
      <c r="B180" s="12" t="s">
        <v>894</v>
      </c>
      <c r="C180" s="12" t="s">
        <v>895</v>
      </c>
      <c r="D180" s="24"/>
      <c r="E180" s="12" t="s">
        <v>340</v>
      </c>
      <c r="F180" s="13" t="s">
        <v>271</v>
      </c>
      <c r="G180" s="13" t="s">
        <v>952</v>
      </c>
      <c r="H180" s="14" t="s">
        <v>953</v>
      </c>
      <c r="I180" s="15" t="s">
        <v>954</v>
      </c>
      <c r="J180" s="14" t="s">
        <v>527</v>
      </c>
      <c r="K180" s="15" t="s">
        <v>955</v>
      </c>
      <c r="L180" s="14"/>
      <c r="M180" s="15"/>
      <c r="N180" s="14" t="s">
        <v>222</v>
      </c>
      <c r="O180" s="15" t="s">
        <v>956</v>
      </c>
      <c r="P180" s="14"/>
      <c r="Q180" s="15"/>
      <c r="R180" s="14" t="s">
        <v>957</v>
      </c>
      <c r="S180" s="15" t="s">
        <v>958</v>
      </c>
      <c r="T180" s="16">
        <f>22.84</f>
        <v>22.84</v>
      </c>
      <c r="U180" s="17">
        <f>3946</f>
        <v>3946</v>
      </c>
      <c r="V180" s="17"/>
      <c r="W180" s="25"/>
      <c r="X180" s="17">
        <f>849220500</f>
        <v>849220500</v>
      </c>
      <c r="Y180" s="17"/>
      <c r="Z180" s="26"/>
      <c r="AA180" s="14" t="s">
        <v>64</v>
      </c>
      <c r="AB180" s="18">
        <f>284</f>
        <v>284</v>
      </c>
      <c r="AC180" s="19">
        <f>43</f>
        <v>43</v>
      </c>
    </row>
    <row r="181" spans="1:29">
      <c r="A181" s="11" t="s">
        <v>48</v>
      </c>
      <c r="B181" s="12" t="s">
        <v>894</v>
      </c>
      <c r="C181" s="12" t="s">
        <v>895</v>
      </c>
      <c r="D181" s="24"/>
      <c r="E181" s="12" t="s">
        <v>349</v>
      </c>
      <c r="F181" s="13" t="s">
        <v>959</v>
      </c>
      <c r="G181" s="13" t="s">
        <v>960</v>
      </c>
      <c r="H181" s="14" t="s">
        <v>961</v>
      </c>
      <c r="I181" s="15" t="s">
        <v>912</v>
      </c>
      <c r="J181" s="14" t="s">
        <v>110</v>
      </c>
      <c r="K181" s="15" t="s">
        <v>962</v>
      </c>
      <c r="L181" s="14"/>
      <c r="M181" s="15"/>
      <c r="N181" s="14" t="s">
        <v>963</v>
      </c>
      <c r="O181" s="15" t="s">
        <v>964</v>
      </c>
      <c r="P181" s="14"/>
      <c r="Q181" s="15"/>
      <c r="R181" s="14" t="s">
        <v>529</v>
      </c>
      <c r="S181" s="15" t="s">
        <v>965</v>
      </c>
      <c r="T181" s="16">
        <f>22.71</f>
        <v>22.71</v>
      </c>
      <c r="U181" s="17">
        <f>2648</f>
        <v>2648</v>
      </c>
      <c r="V181" s="17"/>
      <c r="W181" s="25"/>
      <c r="X181" s="17">
        <f>588288500</f>
        <v>588288500</v>
      </c>
      <c r="Y181" s="17"/>
      <c r="Z181" s="26"/>
      <c r="AA181" s="14" t="s">
        <v>64</v>
      </c>
      <c r="AB181" s="18">
        <f>297</f>
        <v>297</v>
      </c>
      <c r="AC181" s="19">
        <f>42</f>
        <v>42</v>
      </c>
    </row>
    <row r="182" spans="1:29">
      <c r="A182" s="11" t="s">
        <v>48</v>
      </c>
      <c r="B182" s="12" t="s">
        <v>894</v>
      </c>
      <c r="C182" s="12" t="s">
        <v>895</v>
      </c>
      <c r="D182" s="24"/>
      <c r="E182" s="12" t="s">
        <v>89</v>
      </c>
      <c r="F182" s="13" t="s">
        <v>966</v>
      </c>
      <c r="G182" s="13" t="s">
        <v>812</v>
      </c>
      <c r="H182" s="14" t="s">
        <v>967</v>
      </c>
      <c r="I182" s="15" t="s">
        <v>968</v>
      </c>
      <c r="J182" s="14" t="s">
        <v>250</v>
      </c>
      <c r="K182" s="15" t="s">
        <v>969</v>
      </c>
      <c r="L182" s="14"/>
      <c r="M182" s="15"/>
      <c r="N182" s="14" t="s">
        <v>619</v>
      </c>
      <c r="O182" s="15" t="s">
        <v>970</v>
      </c>
      <c r="P182" s="14"/>
      <c r="Q182" s="15"/>
      <c r="R182" s="14" t="s">
        <v>971</v>
      </c>
      <c r="S182" s="15" t="s">
        <v>972</v>
      </c>
      <c r="T182" s="16">
        <f>22.25</f>
        <v>22.25</v>
      </c>
      <c r="U182" s="17">
        <f>3126</f>
        <v>3126</v>
      </c>
      <c r="V182" s="17"/>
      <c r="W182" s="25"/>
      <c r="X182" s="17">
        <f>641278500</f>
        <v>641278500</v>
      </c>
      <c r="Y182" s="17"/>
      <c r="Z182" s="26"/>
      <c r="AA182" s="14" t="s">
        <v>64</v>
      </c>
      <c r="AB182" s="18">
        <f>729</f>
        <v>729</v>
      </c>
      <c r="AC182" s="19">
        <f>48</f>
        <v>48</v>
      </c>
    </row>
    <row r="183" spans="1:29">
      <c r="A183" s="11" t="s">
        <v>48</v>
      </c>
      <c r="B183" s="12" t="s">
        <v>894</v>
      </c>
      <c r="C183" s="12" t="s">
        <v>895</v>
      </c>
      <c r="D183" s="24"/>
      <c r="E183" s="12" t="s">
        <v>365</v>
      </c>
      <c r="F183" s="13" t="s">
        <v>973</v>
      </c>
      <c r="G183" s="13" t="s">
        <v>974</v>
      </c>
      <c r="H183" s="14" t="s">
        <v>567</v>
      </c>
      <c r="I183" s="15" t="s">
        <v>968</v>
      </c>
      <c r="J183" s="14" t="s">
        <v>624</v>
      </c>
      <c r="K183" s="15" t="s">
        <v>975</v>
      </c>
      <c r="L183" s="14"/>
      <c r="M183" s="15"/>
      <c r="N183" s="14" t="s">
        <v>153</v>
      </c>
      <c r="O183" s="15" t="s">
        <v>976</v>
      </c>
      <c r="P183" s="14"/>
      <c r="Q183" s="15"/>
      <c r="R183" s="14" t="s">
        <v>112</v>
      </c>
      <c r="S183" s="15" t="s">
        <v>977</v>
      </c>
      <c r="T183" s="16">
        <f>22.19</f>
        <v>22.19</v>
      </c>
      <c r="U183" s="17">
        <f>2986</f>
        <v>2986</v>
      </c>
      <c r="V183" s="17"/>
      <c r="W183" s="25"/>
      <c r="X183" s="17">
        <f>640274000</f>
        <v>640274000</v>
      </c>
      <c r="Y183" s="17"/>
      <c r="Z183" s="26"/>
      <c r="AA183" s="14"/>
      <c r="AB183" s="18">
        <f>404</f>
        <v>404</v>
      </c>
      <c r="AC183" s="19">
        <f>42</f>
        <v>42</v>
      </c>
    </row>
    <row r="184" spans="1:29">
      <c r="A184" s="11" t="s">
        <v>48</v>
      </c>
      <c r="B184" s="12" t="s">
        <v>894</v>
      </c>
      <c r="C184" s="12" t="s">
        <v>895</v>
      </c>
      <c r="D184" s="24"/>
      <c r="E184" s="12" t="s">
        <v>376</v>
      </c>
      <c r="F184" s="13" t="s">
        <v>978</v>
      </c>
      <c r="G184" s="13" t="s">
        <v>979</v>
      </c>
      <c r="H184" s="14" t="s">
        <v>980</v>
      </c>
      <c r="I184" s="15" t="s">
        <v>981</v>
      </c>
      <c r="J184" s="14" t="s">
        <v>624</v>
      </c>
      <c r="K184" s="15" t="s">
        <v>982</v>
      </c>
      <c r="L184" s="14"/>
      <c r="M184" s="15"/>
      <c r="N184" s="14" t="s">
        <v>439</v>
      </c>
      <c r="O184" s="15" t="s">
        <v>983</v>
      </c>
      <c r="P184" s="14"/>
      <c r="Q184" s="15"/>
      <c r="R184" s="14" t="s">
        <v>112</v>
      </c>
      <c r="S184" s="15" t="s">
        <v>984</v>
      </c>
      <c r="T184" s="16">
        <f>22.01</f>
        <v>22.01</v>
      </c>
      <c r="U184" s="17">
        <f>159</f>
        <v>159</v>
      </c>
      <c r="V184" s="17"/>
      <c r="W184" s="25"/>
      <c r="X184" s="17">
        <f>36021500</f>
        <v>36021500</v>
      </c>
      <c r="Y184" s="17"/>
      <c r="Z184" s="26"/>
      <c r="AA184" s="14"/>
      <c r="AB184" s="18">
        <f>82</f>
        <v>82</v>
      </c>
      <c r="AC184" s="19">
        <f>20</f>
        <v>20</v>
      </c>
    </row>
    <row r="185" spans="1:29">
      <c r="A185" s="11" t="s">
        <v>48</v>
      </c>
      <c r="B185" s="12" t="s">
        <v>894</v>
      </c>
      <c r="C185" s="12" t="s">
        <v>895</v>
      </c>
      <c r="D185" s="24"/>
      <c r="E185" s="12" t="s">
        <v>103</v>
      </c>
      <c r="F185" s="13" t="s">
        <v>985</v>
      </c>
      <c r="G185" s="13" t="s">
        <v>986</v>
      </c>
      <c r="H185" s="14" t="s">
        <v>980</v>
      </c>
      <c r="I185" s="15" t="s">
        <v>987</v>
      </c>
      <c r="J185" s="14" t="s">
        <v>702</v>
      </c>
      <c r="K185" s="15" t="s">
        <v>988</v>
      </c>
      <c r="L185" s="14"/>
      <c r="M185" s="15"/>
      <c r="N185" s="14" t="s">
        <v>226</v>
      </c>
      <c r="O185" s="15" t="s">
        <v>989</v>
      </c>
      <c r="P185" s="14"/>
      <c r="Q185" s="15"/>
      <c r="R185" s="14" t="s">
        <v>112</v>
      </c>
      <c r="S185" s="15" t="s">
        <v>899</v>
      </c>
      <c r="T185" s="16">
        <f>21.76</f>
        <v>21.76</v>
      </c>
      <c r="U185" s="17">
        <f>16</f>
        <v>16</v>
      </c>
      <c r="V185" s="17"/>
      <c r="W185" s="25"/>
      <c r="X185" s="17">
        <f>3765000</f>
        <v>3765000</v>
      </c>
      <c r="Y185" s="17"/>
      <c r="Z185" s="26"/>
      <c r="AA185" s="14"/>
      <c r="AB185" s="18">
        <f>13</f>
        <v>13</v>
      </c>
      <c r="AC185" s="19">
        <f>8</f>
        <v>8</v>
      </c>
    </row>
    <row r="186" spans="1:29">
      <c r="A186" s="11" t="s">
        <v>48</v>
      </c>
      <c r="B186" s="12" t="s">
        <v>894</v>
      </c>
      <c r="C186" s="12" t="s">
        <v>895</v>
      </c>
      <c r="D186" s="24"/>
      <c r="E186" s="12" t="s">
        <v>389</v>
      </c>
      <c r="F186" s="13" t="s">
        <v>990</v>
      </c>
      <c r="G186" s="13" t="s">
        <v>991</v>
      </c>
      <c r="H186" s="14" t="s">
        <v>992</v>
      </c>
      <c r="I186" s="15" t="s">
        <v>987</v>
      </c>
      <c r="J186" s="14" t="s">
        <v>702</v>
      </c>
      <c r="K186" s="15" t="s">
        <v>982</v>
      </c>
      <c r="L186" s="14"/>
      <c r="M186" s="15"/>
      <c r="N186" s="14" t="s">
        <v>112</v>
      </c>
      <c r="O186" s="15" t="s">
        <v>993</v>
      </c>
      <c r="P186" s="14"/>
      <c r="Q186" s="15"/>
      <c r="R186" s="14" t="s">
        <v>112</v>
      </c>
      <c r="S186" s="15" t="s">
        <v>993</v>
      </c>
      <c r="T186" s="16">
        <f>21.57</f>
        <v>21.57</v>
      </c>
      <c r="U186" s="17">
        <f>4</f>
        <v>4</v>
      </c>
      <c r="V186" s="17"/>
      <c r="W186" s="25"/>
      <c r="X186" s="17">
        <f>974500</f>
        <v>974500</v>
      </c>
      <c r="Y186" s="17"/>
      <c r="Z186" s="26"/>
      <c r="AA186" s="14"/>
      <c r="AB186" s="18">
        <f>4</f>
        <v>4</v>
      </c>
      <c r="AC186" s="19">
        <f>3</f>
        <v>3</v>
      </c>
    </row>
    <row r="187" spans="1:29">
      <c r="A187" s="11" t="s">
        <v>48</v>
      </c>
      <c r="B187" s="12" t="s">
        <v>894</v>
      </c>
      <c r="C187" s="12" t="s">
        <v>895</v>
      </c>
      <c r="D187" s="24"/>
      <c r="E187" s="12" t="s">
        <v>994</v>
      </c>
      <c r="F187" s="13" t="s">
        <v>995</v>
      </c>
      <c r="G187" s="13" t="s">
        <v>996</v>
      </c>
      <c r="H187" s="14" t="s">
        <v>489</v>
      </c>
      <c r="I187" s="15" t="s">
        <v>982</v>
      </c>
      <c r="J187" s="14" t="s">
        <v>489</v>
      </c>
      <c r="K187" s="15" t="s">
        <v>982</v>
      </c>
      <c r="L187" s="14"/>
      <c r="M187" s="15"/>
      <c r="N187" s="14" t="s">
        <v>489</v>
      </c>
      <c r="O187" s="15" t="s">
        <v>982</v>
      </c>
      <c r="P187" s="14"/>
      <c r="Q187" s="15"/>
      <c r="R187" s="14" t="s">
        <v>489</v>
      </c>
      <c r="S187" s="15" t="s">
        <v>982</v>
      </c>
      <c r="T187" s="16">
        <f>21.31</f>
        <v>21.31</v>
      </c>
      <c r="U187" s="17">
        <f>1</f>
        <v>1</v>
      </c>
      <c r="V187" s="17"/>
      <c r="W187" s="25"/>
      <c r="X187" s="17">
        <f>250000</f>
        <v>250000</v>
      </c>
      <c r="Y187" s="17"/>
      <c r="Z187" s="26"/>
      <c r="AA187" s="14"/>
      <c r="AB187" s="18">
        <f>1</f>
        <v>1</v>
      </c>
      <c r="AC187" s="19">
        <f>1</f>
        <v>1</v>
      </c>
    </row>
    <row r="188" spans="1:29">
      <c r="A188" s="11" t="s">
        <v>48</v>
      </c>
      <c r="B188" s="12" t="s">
        <v>894</v>
      </c>
      <c r="C188" s="12" t="s">
        <v>895</v>
      </c>
      <c r="D188" s="24"/>
      <c r="E188" s="12" t="s">
        <v>114</v>
      </c>
      <c r="F188" s="13" t="s">
        <v>997</v>
      </c>
      <c r="G188" s="13" t="s">
        <v>998</v>
      </c>
      <c r="H188" s="14"/>
      <c r="I188" s="15" t="s">
        <v>207</v>
      </c>
      <c r="J188" s="14"/>
      <c r="K188" s="15" t="s">
        <v>207</v>
      </c>
      <c r="L188" s="14"/>
      <c r="M188" s="15"/>
      <c r="N188" s="14"/>
      <c r="O188" s="15" t="s">
        <v>207</v>
      </c>
      <c r="P188" s="14"/>
      <c r="Q188" s="15"/>
      <c r="R188" s="14"/>
      <c r="S188" s="15" t="s">
        <v>207</v>
      </c>
      <c r="T188" s="16">
        <f>21.14</f>
        <v>21.14</v>
      </c>
      <c r="U188" s="17" t="str">
        <f t="shared" ref="U188:U190" si="11">"－"</f>
        <v>－</v>
      </c>
      <c r="V188" s="17"/>
      <c r="W188" s="25"/>
      <c r="X188" s="17" t="str">
        <f t="shared" ref="X188:X190" si="12">"－"</f>
        <v>－</v>
      </c>
      <c r="Y188" s="17"/>
      <c r="Z188" s="26"/>
      <c r="AA188" s="14"/>
      <c r="AB188" s="18" t="str">
        <f t="shared" ref="AB188:AC190" si="13">"－"</f>
        <v>－</v>
      </c>
      <c r="AC188" s="19" t="str">
        <f t="shared" si="13"/>
        <v>－</v>
      </c>
    </row>
    <row r="189" spans="1:29">
      <c r="A189" s="11" t="s">
        <v>48</v>
      </c>
      <c r="B189" s="12" t="s">
        <v>894</v>
      </c>
      <c r="C189" s="12" t="s">
        <v>895</v>
      </c>
      <c r="D189" s="24"/>
      <c r="E189" s="12" t="s">
        <v>999</v>
      </c>
      <c r="F189" s="13" t="s">
        <v>1000</v>
      </c>
      <c r="G189" s="13" t="s">
        <v>1001</v>
      </c>
      <c r="H189" s="14"/>
      <c r="I189" s="15" t="s">
        <v>207</v>
      </c>
      <c r="J189" s="14"/>
      <c r="K189" s="15" t="s">
        <v>207</v>
      </c>
      <c r="L189" s="14"/>
      <c r="M189" s="15"/>
      <c r="N189" s="14"/>
      <c r="O189" s="15" t="s">
        <v>207</v>
      </c>
      <c r="P189" s="14"/>
      <c r="Q189" s="15"/>
      <c r="R189" s="14"/>
      <c r="S189" s="15" t="s">
        <v>207</v>
      </c>
      <c r="T189" s="16">
        <f>21.19</f>
        <v>21.19</v>
      </c>
      <c r="U189" s="17" t="str">
        <f t="shared" si="11"/>
        <v>－</v>
      </c>
      <c r="V189" s="17"/>
      <c r="W189" s="25"/>
      <c r="X189" s="17" t="str">
        <f t="shared" si="12"/>
        <v>－</v>
      </c>
      <c r="Y189" s="17"/>
      <c r="Z189" s="26"/>
      <c r="AA189" s="14"/>
      <c r="AB189" s="18" t="str">
        <f t="shared" si="13"/>
        <v>－</v>
      </c>
      <c r="AC189" s="19" t="str">
        <f t="shared" si="13"/>
        <v>－</v>
      </c>
    </row>
    <row r="190" spans="1:29">
      <c r="A190" s="11" t="s">
        <v>48</v>
      </c>
      <c r="B190" s="12" t="s">
        <v>894</v>
      </c>
      <c r="C190" s="12" t="s">
        <v>895</v>
      </c>
      <c r="D190" s="24"/>
      <c r="E190" s="12" t="s">
        <v>1002</v>
      </c>
      <c r="F190" s="13" t="s">
        <v>815</v>
      </c>
      <c r="G190" s="13" t="s">
        <v>1003</v>
      </c>
      <c r="H190" s="14"/>
      <c r="I190" s="15" t="s">
        <v>207</v>
      </c>
      <c r="J190" s="14"/>
      <c r="K190" s="15" t="s">
        <v>207</v>
      </c>
      <c r="L190" s="14"/>
      <c r="M190" s="15"/>
      <c r="N190" s="14"/>
      <c r="O190" s="15" t="s">
        <v>207</v>
      </c>
      <c r="P190" s="14"/>
      <c r="Q190" s="15"/>
      <c r="R190" s="14"/>
      <c r="S190" s="15" t="s">
        <v>207</v>
      </c>
      <c r="T190" s="16">
        <f>21.97</f>
        <v>21.97</v>
      </c>
      <c r="U190" s="17" t="str">
        <f t="shared" si="11"/>
        <v>－</v>
      </c>
      <c r="V190" s="17"/>
      <c r="W190" s="25"/>
      <c r="X190" s="17" t="str">
        <f t="shared" si="12"/>
        <v>－</v>
      </c>
      <c r="Y190" s="17"/>
      <c r="Z190" s="26"/>
      <c r="AA190" s="14"/>
      <c r="AB190" s="18" t="str">
        <f t="shared" si="13"/>
        <v>－</v>
      </c>
      <c r="AC190" s="19" t="str">
        <f t="shared" si="13"/>
        <v>－</v>
      </c>
    </row>
  </sheetData>
  <mergeCells count="32">
    <mergeCell ref="AC3:AC5"/>
    <mergeCell ref="U4:U5"/>
    <mergeCell ref="T3:T5"/>
    <mergeCell ref="F6:G6"/>
    <mergeCell ref="A2:C2"/>
    <mergeCell ref="AA6:AB6"/>
    <mergeCell ref="AA3:AB5"/>
    <mergeCell ref="Y4:Y5"/>
    <mergeCell ref="V4:V5"/>
    <mergeCell ref="X4:X5"/>
    <mergeCell ref="H4:H5"/>
    <mergeCell ref="I4:I5"/>
    <mergeCell ref="W4:W5"/>
    <mergeCell ref="U3:W3"/>
    <mergeCell ref="Z4:Z5"/>
    <mergeCell ref="X3:Z3"/>
    <mergeCell ref="A1:K1"/>
    <mergeCell ref="A3:A5"/>
    <mergeCell ref="H3:S3"/>
    <mergeCell ref="J4:J5"/>
    <mergeCell ref="K4:K5"/>
    <mergeCell ref="N4:N5"/>
    <mergeCell ref="O4:O5"/>
    <mergeCell ref="R4:R5"/>
    <mergeCell ref="S4:S5"/>
    <mergeCell ref="B3:B6"/>
    <mergeCell ref="C3:C6"/>
    <mergeCell ref="D3:D5"/>
    <mergeCell ref="E3:E5"/>
    <mergeCell ref="F3:G5"/>
    <mergeCell ref="P4:Q4"/>
    <mergeCell ref="L4:M4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6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BO_DY0000</vt:lpstr>
      <vt:lpstr>BO_DY0000!Print_Titles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2020-11-12T08:32:17Z</cp:lastPrinted>
  <dcterms:created xsi:type="dcterms:W3CDTF">2017-12-14T02:19:15Z</dcterms:created>
  <dcterms:modified xsi:type="dcterms:W3CDTF">2022-01-06T23:39:39Z</dcterms:modified>
</cp:coreProperties>
</file>