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<sst xmlns="http://schemas.openxmlformats.org/spreadsheetml/2006/main" count="871" uniqueCount="141">
  <si>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</si>
  <si>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</si>
  <si>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</si>
  <si>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</si>
  <si>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</si>
  <si>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</si>
  <si>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</si>
  <si>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</si>
  <si>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</si>
  <si>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</si>
  <si>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</si>
  <si>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</si>
  <si>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</si>
  <si>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</si>
  <si>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</si>
  <si>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</si>
  <si>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</si>
  <si>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</si>
  <si>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</si>
  <si>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</si>
  <si>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</si>
  <si>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</si>
  <si>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</si>
  <si>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</si>
  <si>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</si>
  <si>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</si>
  <si>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</si>
  <si>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</si>
  <si>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</si>
  <si>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</si>
  <si>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</si>
  <si>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</si>
  <si>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</si>
  <si>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</si>
  <si>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</si>
  <si>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</si>
  <si>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</si>
  <si>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</si>
  <si>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</si>
  <si>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</si>
  <si>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</si>
  <si>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</si>
  <si>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</si>
  <si>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</si>
  <si>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</si>
  <si>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</si>
  <si>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</si>
  <si>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</si>
  <si>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</si>
  <si>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3.本表の作成に当たって使用した親会社株主に帰属する当期純利益及び純資産は、2019年9月期～2020年8月期の確定数値である。</t>
  </si>
  <si>
    <t xml:space="preserve">       3.Figures of Net Income and Net Assets are based on the fixed figures during the term from September of 2019 to August of 2020.</t>
  </si>
  <si>
    <t xml:space="preserve">    2.本表の作成に当たって使用した当期純利益及び純資産は、2019年9月期～2020年8月期の確定数値である。</t>
  </si>
  <si>
    <t xml:space="preserve">         the term from September of 2019 to August of 2020.</t>
  </si>
  <si>
    <t>2020/11</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</si>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</sst>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2174</f>
      </c>
      <c r="G5" s="10">
        <f>22.2</f>
      </c>
      <c r="H5" s="10">
        <f>1.2</f>
      </c>
      <c r="I5" s="11">
        <f>104.13</f>
      </c>
      <c r="J5" s="11">
        <f>1865.79</f>
      </c>
      <c r="K5" s="10">
        <f>22.2</f>
      </c>
      <c r="L5" s="10">
        <f>1.3</f>
      </c>
      <c r="M5" s="21">
        <f>30083046309390</f>
      </c>
      <c r="N5" s="21">
        <f>510972246619486</f>
      </c>
      <c r="O5" s="3"/>
      <c r="P5" s="3"/>
      <c r="Q5" s="4"/>
      <c r="R5" s="4"/>
      <c r="S5" s="4"/>
      <c r="T5" s="4"/>
      <c r="U5" s="4"/>
      <c r="V5" s="4"/>
      <c r="W5" s="4"/>
      <c r="X5" s="4"/>
      <c r="Y5" s="4"/>
      <c r="Z5" s="4"/>
      <c r="AA5" s="4"/>
    </row>
    <row r="6">
      <c r="A6" s="22" t="s">
        <v>53</v>
      </c>
      <c r="B6" s="22" t="s">
        <v>54</v>
      </c>
      <c r="C6" s="22" t="s">
        <v>55</v>
      </c>
      <c r="D6" s="22" t="s">
        <v>58</v>
      </c>
      <c r="E6" s="22" t="s">
        <v>59</v>
      </c>
      <c r="F6" s="9">
        <f>100</f>
      </c>
      <c r="G6" s="10">
        <f>28.8</f>
      </c>
      <c r="H6" s="10">
        <f>2.4</f>
      </c>
      <c r="I6" s="11">
        <f>269.94</f>
      </c>
      <c r="J6" s="11">
        <f>3248.81</f>
      </c>
      <c r="K6" s="10">
        <f>22</f>
      </c>
      <c r="L6" s="10">
        <f>1.4</f>
      </c>
      <c r="M6" s="21">
        <f>17391251000000</f>
      </c>
      <c r="N6" s="21">
        <f>273611842000000</f>
      </c>
    </row>
    <row r="7">
      <c r="A7" s="22" t="s">
        <v>53</v>
      </c>
      <c r="B7" s="22" t="s">
        <v>54</v>
      </c>
      <c r="C7" s="22" t="s">
        <v>55</v>
      </c>
      <c r="D7" s="22" t="s">
        <v>60</v>
      </c>
      <c r="E7" s="22" t="s">
        <v>61</v>
      </c>
      <c r="F7" s="9">
        <f>398</f>
      </c>
      <c r="G7" s="10">
        <f>23.9</f>
      </c>
      <c r="H7" s="10">
        <f>1.6</f>
      </c>
      <c r="I7" s="11">
        <f>146.53</f>
      </c>
      <c r="J7" s="11">
        <f>2237.74</f>
      </c>
      <c r="K7" s="10">
        <f>22.5</f>
      </c>
      <c r="L7" s="10">
        <f>1.3</f>
      </c>
      <c r="M7" s="21">
        <f>9229547782036</f>
      </c>
      <c r="N7" s="21">
        <f>161766253316446</f>
      </c>
    </row>
    <row r="8">
      <c r="A8" s="22" t="s">
        <v>53</v>
      </c>
      <c r="B8" s="22" t="s">
        <v>54</v>
      </c>
      <c r="C8" s="22" t="s">
        <v>55</v>
      </c>
      <c r="D8" s="22" t="s">
        <v>62</v>
      </c>
      <c r="E8" s="22" t="s">
        <v>63</v>
      </c>
      <c r="F8" s="9">
        <f>1673</f>
      </c>
      <c r="G8" s="10">
        <f>20.2</f>
      </c>
      <c r="H8" s="10">
        <f>1</f>
      </c>
      <c r="I8" s="11">
        <f>84.23</f>
      </c>
      <c r="J8" s="11">
        <f>1697.52</f>
      </c>
      <c r="K8" s="10">
        <f>22.4</f>
      </c>
      <c r="L8" s="10">
        <f>1</f>
      </c>
      <c r="M8" s="21">
        <f>3460272527354</f>
      </c>
      <c r="N8" s="21">
        <f>75585592303040</f>
      </c>
    </row>
    <row r="9">
      <c r="A9" s="22" t="s">
        <v>53</v>
      </c>
      <c r="B9" s="22" t="s">
        <v>54</v>
      </c>
      <c r="C9" s="22" t="s">
        <v>55</v>
      </c>
      <c r="D9" s="22" t="s">
        <v>64</v>
      </c>
      <c r="E9" s="22" t="s">
        <v>65</v>
      </c>
      <c r="F9" s="9">
        <f>2036</f>
      </c>
      <c r="G9" s="10">
        <f>23.1</f>
      </c>
      <c r="H9" s="10">
        <f>1.3</f>
      </c>
      <c r="I9" s="11">
        <f>102.79</f>
      </c>
      <c r="J9" s="11">
        <f>1762.88</f>
      </c>
      <c r="K9" s="10">
        <f>24.7</f>
      </c>
      <c r="L9" s="10">
        <f>1.5</f>
      </c>
      <c r="M9" s="21">
        <f>25073574578987</f>
      </c>
      <c r="N9" s="21">
        <f>410191518056786</f>
      </c>
    </row>
    <row r="10">
      <c r="A10" s="22" t="s">
        <v>53</v>
      </c>
      <c r="B10" s="22" t="s">
        <v>54</v>
      </c>
      <c r="C10" s="22" t="s">
        <v>55</v>
      </c>
      <c r="D10" s="22" t="s">
        <v>66</v>
      </c>
      <c r="E10" s="22" t="s">
        <v>67</v>
      </c>
      <c r="F10" s="9">
        <f>911</f>
      </c>
      <c r="G10" s="10">
        <f>25.9</f>
      </c>
      <c r="H10" s="10">
        <f>1.2</f>
      </c>
      <c r="I10" s="11">
        <f>98.77</f>
      </c>
      <c r="J10" s="11">
        <f>2143.13</f>
      </c>
      <c r="K10" s="10">
        <f>28.3</f>
      </c>
      <c r="L10" s="10">
        <f>1.6</f>
      </c>
      <c r="M10" s="21">
        <f>12510471516527</f>
      </c>
      <c r="N10" s="21">
        <f>225998890685786</f>
      </c>
    </row>
    <row r="11">
      <c r="A11" s="22" t="s">
        <v>53</v>
      </c>
      <c r="B11" s="22" t="s">
        <v>54</v>
      </c>
      <c r="C11" s="22" t="s">
        <v>55</v>
      </c>
      <c r="D11" s="22" t="s">
        <v>68</v>
      </c>
      <c r="E11" s="22" t="s">
        <v>69</v>
      </c>
      <c r="F11" s="9">
        <f>1125</f>
      </c>
      <c r="G11" s="10">
        <f>21</f>
      </c>
      <c r="H11" s="10">
        <f>1.5</f>
      </c>
      <c r="I11" s="11">
        <f>106.04</f>
      </c>
      <c r="J11" s="11">
        <f>1454.96</f>
      </c>
      <c r="K11" s="10">
        <f>21.1</f>
      </c>
      <c r="L11" s="10">
        <f>1.4</f>
      </c>
      <c r="M11" s="21">
        <f>12563103062460</f>
      </c>
      <c r="N11" s="21">
        <f>184192627371000</f>
      </c>
    </row>
    <row r="12">
      <c r="A12" s="22" t="s">
        <v>53</v>
      </c>
      <c r="B12" s="22" t="s">
        <v>54</v>
      </c>
      <c r="C12" s="22" t="s">
        <v>55</v>
      </c>
      <c r="D12" s="22" t="s">
        <v>70</v>
      </c>
      <c r="E12" s="22" t="s">
        <v>71</v>
      </c>
      <c r="F12" s="9">
        <f>8</f>
      </c>
      <c r="G12" s="10">
        <f>16.9</f>
      </c>
      <c r="H12" s="10">
        <f>1.1</f>
      </c>
      <c r="I12" s="11">
        <f>109.62</f>
      </c>
      <c r="J12" s="11">
        <f>1640.83</f>
      </c>
      <c r="K12" s="10">
        <f>13.9</f>
      </c>
      <c r="L12" s="10">
        <f>1.1</f>
      </c>
      <c r="M12" s="21">
        <f>42658000000</f>
      </c>
      <c r="N12" s="21">
        <f>550439000000</f>
      </c>
    </row>
    <row r="13">
      <c r="A13" s="22" t="s">
        <v>53</v>
      </c>
      <c r="B13" s="22" t="s">
        <v>54</v>
      </c>
      <c r="C13" s="22" t="s">
        <v>55</v>
      </c>
      <c r="D13" s="22" t="s">
        <v>72</v>
      </c>
      <c r="E13" s="22" t="s">
        <v>73</v>
      </c>
      <c r="F13" s="9">
        <f>6</f>
      </c>
      <c r="G13" s="10">
        <f>7.1</f>
      </c>
      <c r="H13" s="10">
        <f>0.4</f>
      </c>
      <c r="I13" s="11">
        <f>234.25</f>
      </c>
      <c r="J13" s="11">
        <f>4646.41</f>
      </c>
      <c r="K13" s="10">
        <f>5.2</f>
      </c>
      <c r="L13" s="10">
        <f>0.3</f>
      </c>
      <c r="M13" s="21">
        <f>202102053333</f>
      </c>
      <c r="N13" s="21">
        <f>3966544720000</f>
      </c>
    </row>
    <row r="14">
      <c r="A14" s="22" t="s">
        <v>53</v>
      </c>
      <c r="B14" s="22" t="s">
        <v>54</v>
      </c>
      <c r="C14" s="22" t="s">
        <v>55</v>
      </c>
      <c r="D14" s="22" t="s">
        <v>74</v>
      </c>
      <c r="E14" s="22" t="s">
        <v>75</v>
      </c>
      <c r="F14" s="9">
        <f>100</f>
      </c>
      <c r="G14" s="10">
        <f>9.1</f>
      </c>
      <c r="H14" s="10">
        <f>0.8</f>
      </c>
      <c r="I14" s="11">
        <f>203.8</f>
      </c>
      <c r="J14" s="11">
        <f>2230.78</f>
      </c>
      <c r="K14" s="10">
        <f>8.8</f>
      </c>
      <c r="L14" s="10">
        <f>0.9</f>
      </c>
      <c r="M14" s="21">
        <f>1630113000000</f>
      </c>
      <c r="N14" s="21">
        <f>15085163978000</f>
      </c>
    </row>
    <row r="15">
      <c r="A15" s="22" t="s">
        <v>53</v>
      </c>
      <c r="B15" s="22" t="s">
        <v>54</v>
      </c>
      <c r="C15" s="22" t="s">
        <v>55</v>
      </c>
      <c r="D15" s="22" t="s">
        <v>76</v>
      </c>
      <c r="E15" s="22" t="s">
        <v>77</v>
      </c>
      <c r="F15" s="9">
        <f>83</f>
      </c>
      <c r="G15" s="10">
        <f>23.6</f>
      </c>
      <c r="H15" s="10">
        <f>1.3</f>
      </c>
      <c r="I15" s="11">
        <f>115.05</f>
      </c>
      <c r="J15" s="11">
        <f>2049.78</f>
      </c>
      <c r="K15" s="10">
        <f>21.9</f>
      </c>
      <c r="L15" s="10">
        <f>1.6</f>
      </c>
      <c r="M15" s="21">
        <f>1099451666667</f>
      </c>
      <c r="N15" s="21">
        <f>14955594316446</f>
      </c>
    </row>
    <row r="16">
      <c r="A16" s="22" t="s">
        <v>53</v>
      </c>
      <c r="B16" s="22" t="s">
        <v>54</v>
      </c>
      <c r="C16" s="22" t="s">
        <v>55</v>
      </c>
      <c r="D16" s="22" t="s">
        <v>78</v>
      </c>
      <c r="E16" s="22" t="s">
        <v>79</v>
      </c>
      <c r="F16" s="9">
        <f>40</f>
      </c>
      <c r="G16" s="10">
        <f>31.5</f>
      </c>
      <c r="H16" s="10">
        <f>0.7</f>
      </c>
      <c r="I16" s="11">
        <f>43.19</f>
      </c>
      <c r="J16" s="11">
        <f>1877.22</f>
      </c>
      <c r="K16" s="10">
        <f>30.5</f>
      </c>
      <c r="L16" s="10">
        <f>0.8</f>
      </c>
      <c r="M16" s="21">
        <f>94707940769</f>
      </c>
      <c r="N16" s="21">
        <f>3434430369340</f>
      </c>
    </row>
    <row r="17">
      <c r="A17" s="22" t="s">
        <v>53</v>
      </c>
      <c r="B17" s="22" t="s">
        <v>54</v>
      </c>
      <c r="C17" s="22" t="s">
        <v>55</v>
      </c>
      <c r="D17" s="22" t="s">
        <v>80</v>
      </c>
      <c r="E17" s="22" t="s">
        <v>81</v>
      </c>
      <c r="F17" s="9">
        <f>12</f>
      </c>
      <c r="G17" s="10">
        <f>13.6</f>
      </c>
      <c r="H17" s="10">
        <f>0.7</f>
      </c>
      <c r="I17" s="11">
        <f>107.6</f>
      </c>
      <c r="J17" s="11">
        <f>2145.56</f>
      </c>
      <c r="K17" s="10">
        <f>9.9</f>
      </c>
      <c r="L17" s="10">
        <f>0.6</f>
      </c>
      <c r="M17" s="21">
        <f>142607000000</f>
      </c>
      <c r="N17" s="21">
        <f>2226524000000</f>
      </c>
    </row>
    <row r="18">
      <c r="A18" s="22" t="s">
        <v>53</v>
      </c>
      <c r="B18" s="22" t="s">
        <v>54</v>
      </c>
      <c r="C18" s="22" t="s">
        <v>55</v>
      </c>
      <c r="D18" s="22" t="s">
        <v>82</v>
      </c>
      <c r="E18" s="22" t="s">
        <v>83</v>
      </c>
      <c r="F18" s="9">
        <f>145</f>
      </c>
      <c r="G18" s="10">
        <f>21.6</f>
      </c>
      <c r="H18" s="10">
        <f>1.3</f>
      </c>
      <c r="I18" s="11">
        <f>123.3</f>
      </c>
      <c r="J18" s="11">
        <f>2060.76</f>
      </c>
      <c r="K18" s="10">
        <f>23.9</f>
      </c>
      <c r="L18" s="10">
        <f>1.8</f>
      </c>
      <c r="M18" s="21">
        <f>2018561000000</f>
      </c>
      <c r="N18" s="21">
        <f>27415100000000</f>
      </c>
    </row>
    <row r="19">
      <c r="A19" s="22" t="s">
        <v>53</v>
      </c>
      <c r="B19" s="22" t="s">
        <v>54</v>
      </c>
      <c r="C19" s="22" t="s">
        <v>55</v>
      </c>
      <c r="D19" s="22" t="s">
        <v>84</v>
      </c>
      <c r="E19" s="22" t="s">
        <v>85</v>
      </c>
      <c r="F19" s="9">
        <f>38</f>
      </c>
      <c r="G19" s="10">
        <f>20.4</f>
      </c>
      <c r="H19" s="10">
        <f>1.5</f>
      </c>
      <c r="I19" s="11">
        <f>155.42</f>
      </c>
      <c r="J19" s="11">
        <f>2108.82</f>
      </c>
      <c r="K19" s="10">
        <f>31.8</f>
      </c>
      <c r="L19" s="10">
        <f>2.5</f>
      </c>
      <c r="M19" s="21">
        <f>1281602000000</f>
      </c>
      <c r="N19" s="21">
        <f>16624189000000</f>
      </c>
    </row>
    <row r="20">
      <c r="A20" s="22" t="s">
        <v>53</v>
      </c>
      <c r="B20" s="22" t="s">
        <v>54</v>
      </c>
      <c r="C20" s="22" t="s">
        <v>55</v>
      </c>
      <c r="D20" s="22" t="s">
        <v>86</v>
      </c>
      <c r="E20" s="22" t="s">
        <v>87</v>
      </c>
      <c r="F20" s="9">
        <f>9</f>
      </c>
      <c r="G20" s="10">
        <f>"－"</f>
      </c>
      <c r="H20" s="10">
        <f>0.6</f>
      </c>
      <c r="I20" s="11">
        <f>-54.43</f>
      </c>
      <c r="J20" s="11">
        <f>1794.55</f>
      </c>
      <c r="K20" s="10">
        <f>"－"</f>
      </c>
      <c r="L20" s="10">
        <f>0.5</f>
      </c>
      <c r="M20" s="21">
        <f>-261859000000</f>
      </c>
      <c r="N20" s="21">
        <f>4473724000000</f>
      </c>
    </row>
    <row r="21">
      <c r="A21" s="22" t="s">
        <v>53</v>
      </c>
      <c r="B21" s="22" t="s">
        <v>54</v>
      </c>
      <c r="C21" s="22" t="s">
        <v>55</v>
      </c>
      <c r="D21" s="22" t="s">
        <v>88</v>
      </c>
      <c r="E21" s="22" t="s">
        <v>89</v>
      </c>
      <c r="F21" s="9">
        <f>11</f>
      </c>
      <c r="G21" s="10">
        <f>12.1</f>
      </c>
      <c r="H21" s="10">
        <f>0.7</f>
      </c>
      <c r="I21" s="11">
        <f>133.46</f>
      </c>
      <c r="J21" s="11">
        <f>2164.7</f>
      </c>
      <c r="K21" s="10">
        <f>9.4</f>
      </c>
      <c r="L21" s="10">
        <f>0.9</f>
      </c>
      <c r="M21" s="21">
        <f>388486000000</f>
      </c>
      <c r="N21" s="21">
        <f>4000523000000</f>
      </c>
    </row>
    <row r="22">
      <c r="A22" s="22" t="s">
        <v>53</v>
      </c>
      <c r="B22" s="22" t="s">
        <v>54</v>
      </c>
      <c r="C22" s="22" t="s">
        <v>55</v>
      </c>
      <c r="D22" s="22" t="s">
        <v>90</v>
      </c>
      <c r="E22" s="22" t="s">
        <v>91</v>
      </c>
      <c r="F22" s="9">
        <f>33</f>
      </c>
      <c r="G22" s="10">
        <f>13.4</f>
      </c>
      <c r="H22" s="10">
        <f>0.8</f>
      </c>
      <c r="I22" s="11">
        <f>173.72</f>
      </c>
      <c r="J22" s="11">
        <f>2798.33</f>
      </c>
      <c r="K22" s="10">
        <f>20.3</f>
      </c>
      <c r="L22" s="10">
        <f>1</f>
      </c>
      <c r="M22" s="21">
        <f>243433000000</f>
      </c>
      <c r="N22" s="21">
        <f>5119632000000</f>
      </c>
    </row>
    <row r="23">
      <c r="A23" s="22" t="s">
        <v>53</v>
      </c>
      <c r="B23" s="22" t="s">
        <v>54</v>
      </c>
      <c r="C23" s="22" t="s">
        <v>55</v>
      </c>
      <c r="D23" s="22" t="s">
        <v>92</v>
      </c>
      <c r="E23" s="22" t="s">
        <v>93</v>
      </c>
      <c r="F23" s="9">
        <f>31</f>
      </c>
      <c r="G23" s="10">
        <f>25</f>
      </c>
      <c r="H23" s="10">
        <f>0.4</f>
      </c>
      <c r="I23" s="11">
        <f>58.1</f>
      </c>
      <c r="J23" s="11">
        <f>3255.73</f>
      </c>
      <c r="K23" s="10">
        <f>"－"</f>
      </c>
      <c r="L23" s="10">
        <f>0.5</f>
      </c>
      <c r="M23" s="21">
        <f>-663710000000</f>
      </c>
      <c r="N23" s="21">
        <f>8551392000000</f>
      </c>
    </row>
    <row r="24">
      <c r="A24" s="22" t="s">
        <v>53</v>
      </c>
      <c r="B24" s="22" t="s">
        <v>54</v>
      </c>
      <c r="C24" s="22" t="s">
        <v>55</v>
      </c>
      <c r="D24" s="22" t="s">
        <v>94</v>
      </c>
      <c r="E24" s="22" t="s">
        <v>95</v>
      </c>
      <c r="F24" s="9">
        <f>24</f>
      </c>
      <c r="G24" s="10">
        <f>65.9</f>
      </c>
      <c r="H24" s="10">
        <f>0.7</f>
      </c>
      <c r="I24" s="11">
        <f>26.22</f>
      </c>
      <c r="J24" s="11">
        <f>2357.33</f>
      </c>
      <c r="K24" s="10">
        <f>40.8</f>
      </c>
      <c r="L24" s="10">
        <f>0.7</f>
      </c>
      <c r="M24" s="21">
        <f>92270000000</f>
      </c>
      <c r="N24" s="21">
        <f>5416525000000</f>
      </c>
    </row>
    <row r="25">
      <c r="A25" s="22" t="s">
        <v>53</v>
      </c>
      <c r="B25" s="22" t="s">
        <v>54</v>
      </c>
      <c r="C25" s="22" t="s">
        <v>55</v>
      </c>
      <c r="D25" s="22" t="s">
        <v>96</v>
      </c>
      <c r="E25" s="22" t="s">
        <v>97</v>
      </c>
      <c r="F25" s="9">
        <f>42</f>
      </c>
      <c r="G25" s="10">
        <f>15.9</f>
      </c>
      <c r="H25" s="10">
        <f>0.7</f>
      </c>
      <c r="I25" s="11">
        <f>110.65</f>
      </c>
      <c r="J25" s="11">
        <f>2604.59</f>
      </c>
      <c r="K25" s="10">
        <f>23</f>
      </c>
      <c r="L25" s="10">
        <f>0.9</f>
      </c>
      <c r="M25" s="21">
        <f>167597000000</f>
      </c>
      <c r="N25" s="21">
        <f>4121954000000</f>
      </c>
    </row>
    <row r="26">
      <c r="A26" s="22" t="s">
        <v>53</v>
      </c>
      <c r="B26" s="22" t="s">
        <v>54</v>
      </c>
      <c r="C26" s="22" t="s">
        <v>55</v>
      </c>
      <c r="D26" s="22" t="s">
        <v>98</v>
      </c>
      <c r="E26" s="22" t="s">
        <v>99</v>
      </c>
      <c r="F26" s="9">
        <f>141</f>
      </c>
      <c r="G26" s="10">
        <f>26</f>
      </c>
      <c r="H26" s="10">
        <f>1.3</f>
      </c>
      <c r="I26" s="11">
        <f>107.52</f>
      </c>
      <c r="J26" s="11">
        <f>2123.39</f>
      </c>
      <c r="K26" s="10">
        <f>26.3</f>
      </c>
      <c r="L26" s="10">
        <f>1.7</f>
      </c>
      <c r="M26" s="21">
        <f>1277125000000</f>
      </c>
      <c r="N26" s="21">
        <f>19667293000000</f>
      </c>
    </row>
    <row r="27">
      <c r="A27" s="22" t="s">
        <v>53</v>
      </c>
      <c r="B27" s="22" t="s">
        <v>54</v>
      </c>
      <c r="C27" s="22" t="s">
        <v>55</v>
      </c>
      <c r="D27" s="22" t="s">
        <v>100</v>
      </c>
      <c r="E27" s="22" t="s">
        <v>101</v>
      </c>
      <c r="F27" s="9">
        <f>158</f>
      </c>
      <c r="G27" s="10">
        <f>36.9</f>
      </c>
      <c r="H27" s="10">
        <f>1.7</f>
      </c>
      <c r="I27" s="11">
        <f>90.36</f>
      </c>
      <c r="J27" s="11">
        <f>1999.71</f>
      </c>
      <c r="K27" s="10">
        <f>32.3</f>
      </c>
      <c r="L27" s="10">
        <f>2.3</f>
      </c>
      <c r="M27" s="21">
        <f>3089628000000</f>
      </c>
      <c r="N27" s="21">
        <f>44332287000000</f>
      </c>
    </row>
    <row r="28">
      <c r="A28" s="22" t="s">
        <v>53</v>
      </c>
      <c r="B28" s="22" t="s">
        <v>54</v>
      </c>
      <c r="C28" s="22" t="s">
        <v>55</v>
      </c>
      <c r="D28" s="22" t="s">
        <v>102</v>
      </c>
      <c r="E28" s="22" t="s">
        <v>103</v>
      </c>
      <c r="F28" s="9">
        <f>59</f>
      </c>
      <c r="G28" s="10">
        <f>108.3</f>
      </c>
      <c r="H28" s="10">
        <f>0.8</f>
      </c>
      <c r="I28" s="11">
        <f>17.17</f>
      </c>
      <c r="J28" s="11">
        <f>2409.91</f>
      </c>
      <c r="K28" s="10">
        <f>19.3</f>
      </c>
      <c r="L28" s="10">
        <f>0.9</f>
      </c>
      <c r="M28" s="21">
        <f>2564134000000</f>
      </c>
      <c r="N28" s="21">
        <f>54451878000000</f>
      </c>
    </row>
    <row r="29">
      <c r="A29" s="22" t="s">
        <v>53</v>
      </c>
      <c r="B29" s="22" t="s">
        <v>54</v>
      </c>
      <c r="C29" s="22" t="s">
        <v>55</v>
      </c>
      <c r="D29" s="22" t="s">
        <v>104</v>
      </c>
      <c r="E29" s="22" t="s">
        <v>105</v>
      </c>
      <c r="F29" s="9">
        <f>33</f>
      </c>
      <c r="G29" s="10">
        <f>28.4</f>
      </c>
      <c r="H29" s="10">
        <f>1.7</f>
      </c>
      <c r="I29" s="11">
        <f>81.99</f>
      </c>
      <c r="J29" s="11">
        <f>1363.37</f>
      </c>
      <c r="K29" s="10">
        <f>48.1</f>
      </c>
      <c r="L29" s="10">
        <f>3.9</f>
      </c>
      <c r="M29" s="21">
        <f>324646000000</f>
      </c>
      <c r="N29" s="21">
        <f>3990461000000</f>
      </c>
    </row>
    <row r="30">
      <c r="A30" s="22" t="s">
        <v>53</v>
      </c>
      <c r="B30" s="22" t="s">
        <v>54</v>
      </c>
      <c r="C30" s="22" t="s">
        <v>55</v>
      </c>
      <c r="D30" s="22" t="s">
        <v>106</v>
      </c>
      <c r="E30" s="22" t="s">
        <v>107</v>
      </c>
      <c r="F30" s="9">
        <f>52</f>
      </c>
      <c r="G30" s="10">
        <f>22.8</f>
      </c>
      <c r="H30" s="10">
        <f>1.5</f>
      </c>
      <c r="I30" s="11">
        <f>128.58</f>
      </c>
      <c r="J30" s="11">
        <f>1937.42</f>
      </c>
      <c r="K30" s="10">
        <f>23.5</f>
      </c>
      <c r="L30" s="10">
        <f>2.1</f>
      </c>
      <c r="M30" s="21">
        <f>651791909091</f>
      </c>
      <c r="N30" s="21">
        <f>7217384000000</f>
      </c>
    </row>
    <row r="31">
      <c r="A31" s="22" t="s">
        <v>53</v>
      </c>
      <c r="B31" s="22" t="s">
        <v>54</v>
      </c>
      <c r="C31" s="22" t="s">
        <v>55</v>
      </c>
      <c r="D31" s="22" t="s">
        <v>108</v>
      </c>
      <c r="E31" s="22" t="s">
        <v>109</v>
      </c>
      <c r="F31" s="9">
        <f>22</f>
      </c>
      <c r="G31" s="10">
        <f>14.5</f>
      </c>
      <c r="H31" s="10">
        <f>0.9</f>
      </c>
      <c r="I31" s="11">
        <f>112.72</f>
      </c>
      <c r="J31" s="11">
        <f>1780.1</f>
      </c>
      <c r="K31" s="10">
        <f>10.5</f>
      </c>
      <c r="L31" s="10">
        <f>0.6</f>
      </c>
      <c r="M31" s="21">
        <f>733642000000</f>
      </c>
      <c r="N31" s="21">
        <f>12347892000000</f>
      </c>
    </row>
    <row r="32">
      <c r="A32" s="22" t="s">
        <v>53</v>
      </c>
      <c r="B32" s="22" t="s">
        <v>54</v>
      </c>
      <c r="C32" s="22" t="s">
        <v>55</v>
      </c>
      <c r="D32" s="22" t="s">
        <v>110</v>
      </c>
      <c r="E32" s="22" t="s">
        <v>111</v>
      </c>
      <c r="F32" s="9">
        <f>43</f>
      </c>
      <c r="G32" s="10">
        <f>15.2</f>
      </c>
      <c r="H32" s="10">
        <f>1.1</f>
      </c>
      <c r="I32" s="11">
        <f>226.85</f>
      </c>
      <c r="J32" s="11">
        <f>3125.76</f>
      </c>
      <c r="K32" s="10">
        <f>16.4</f>
      </c>
      <c r="L32" s="10">
        <f>1.2</f>
      </c>
      <c r="M32" s="21">
        <f>1312787000000</f>
      </c>
      <c r="N32" s="21">
        <f>18216244000000</f>
      </c>
    </row>
    <row r="33">
      <c r="A33" s="22" t="s">
        <v>53</v>
      </c>
      <c r="B33" s="22" t="s">
        <v>54</v>
      </c>
      <c r="C33" s="22" t="s">
        <v>55</v>
      </c>
      <c r="D33" s="22" t="s">
        <v>112</v>
      </c>
      <c r="E33" s="22" t="s">
        <v>113</v>
      </c>
      <c r="F33" s="9">
        <f>8</f>
      </c>
      <c r="G33" s="10">
        <f>9.5</f>
      </c>
      <c r="H33" s="10">
        <f>0.6</f>
      </c>
      <c r="I33" s="11">
        <f>139.62</f>
      </c>
      <c r="J33" s="11">
        <f>2312.27</f>
      </c>
      <c r="K33" s="10">
        <f>12</f>
      </c>
      <c r="L33" s="10">
        <f>0.6</f>
      </c>
      <c r="M33" s="21">
        <f>82654000000</f>
      </c>
      <c r="N33" s="21">
        <f>1578752000000</f>
      </c>
    </row>
    <row r="34">
      <c r="A34" s="22" t="s">
        <v>53</v>
      </c>
      <c r="B34" s="22" t="s">
        <v>54</v>
      </c>
      <c r="C34" s="22" t="s">
        <v>55</v>
      </c>
      <c r="D34" s="22" t="s">
        <v>114</v>
      </c>
      <c r="E34" s="22" t="s">
        <v>115</v>
      </c>
      <c r="F34" s="9">
        <f>3</f>
      </c>
      <c r="G34" s="10">
        <f>13.2</f>
      </c>
      <c r="H34" s="10">
        <f>0.8</f>
      </c>
      <c r="I34" s="11">
        <f>146.4</f>
      </c>
      <c r="J34" s="11">
        <f>2308.92</f>
      </c>
      <c r="K34" s="10">
        <f>20.6</f>
      </c>
      <c r="L34" s="10">
        <f>0.8</f>
      </c>
      <c r="M34" s="21">
        <f>84534000000</f>
      </c>
      <c r="N34" s="21">
        <f>2218656000000</f>
      </c>
    </row>
    <row r="35">
      <c r="A35" s="22" t="s">
        <v>53</v>
      </c>
      <c r="B35" s="22" t="s">
        <v>54</v>
      </c>
      <c r="C35" s="22" t="s">
        <v>55</v>
      </c>
      <c r="D35" s="22" t="s">
        <v>116</v>
      </c>
      <c r="E35" s="22" t="s">
        <v>117</v>
      </c>
      <c r="F35" s="9">
        <f>24</f>
      </c>
      <c r="G35" s="10">
        <f>13.6</f>
      </c>
      <c r="H35" s="10">
        <f>0.9</f>
      </c>
      <c r="I35" s="11">
        <f>118.37</f>
      </c>
      <c r="J35" s="11">
        <f>1882.27</f>
      </c>
      <c r="K35" s="10">
        <f>15.1</f>
      </c>
      <c r="L35" s="10">
        <f>0.8</f>
      </c>
      <c r="M35" s="21">
        <f>82545000000</f>
      </c>
      <c r="N35" s="21">
        <f>1523930000000</f>
      </c>
    </row>
    <row r="36">
      <c r="A36" s="22" t="s">
        <v>53</v>
      </c>
      <c r="B36" s="22" t="s">
        <v>54</v>
      </c>
      <c r="C36" s="22" t="s">
        <v>55</v>
      </c>
      <c r="D36" s="22" t="s">
        <v>118</v>
      </c>
      <c r="E36" s="22" t="s">
        <v>119</v>
      </c>
      <c r="F36" s="9">
        <f>228</f>
      </c>
      <c r="G36" s="10">
        <f>34.8</f>
      </c>
      <c r="H36" s="10">
        <f>3</f>
      </c>
      <c r="I36" s="11">
        <f>77.46</f>
      </c>
      <c r="J36" s="11">
        <f>894.48</f>
      </c>
      <c r="K36" s="10">
        <f>31.7</f>
      </c>
      <c r="L36" s="10">
        <f>2</f>
      </c>
      <c r="M36" s="21">
        <f>2815911600000</f>
      </c>
      <c r="N36" s="21">
        <f>43672516000000</f>
      </c>
    </row>
    <row r="37">
      <c r="A37" s="22" t="s">
        <v>53</v>
      </c>
      <c r="B37" s="22" t="s">
        <v>54</v>
      </c>
      <c r="C37" s="22" t="s">
        <v>55</v>
      </c>
      <c r="D37" s="22" t="s">
        <v>120</v>
      </c>
      <c r="E37" s="22" t="s">
        <v>121</v>
      </c>
      <c r="F37" s="9">
        <f>180</f>
      </c>
      <c r="G37" s="10">
        <f>13.8</f>
      </c>
      <c r="H37" s="10">
        <f>0.9</f>
      </c>
      <c r="I37" s="11">
        <f>132.11</f>
      </c>
      <c r="J37" s="11">
        <f>2017.91</f>
      </c>
      <c r="K37" s="10">
        <f>11.7</f>
      </c>
      <c r="L37" s="10">
        <f>0.9</f>
      </c>
      <c r="M37" s="21">
        <f>2294526000000</f>
      </c>
      <c r="N37" s="21">
        <f>30675934000000</f>
      </c>
    </row>
    <row r="38">
      <c r="A38" s="22" t="s">
        <v>53</v>
      </c>
      <c r="B38" s="22" t="s">
        <v>54</v>
      </c>
      <c r="C38" s="22" t="s">
        <v>55</v>
      </c>
      <c r="D38" s="22" t="s">
        <v>122</v>
      </c>
      <c r="E38" s="22" t="s">
        <v>123</v>
      </c>
      <c r="F38" s="9">
        <f>201</f>
      </c>
      <c r="G38" s="10">
        <f>36.5</f>
      </c>
      <c r="H38" s="10">
        <f>1.9</f>
      </c>
      <c r="I38" s="11">
        <f>72.67</f>
      </c>
      <c r="J38" s="11">
        <f>1377.26</f>
      </c>
      <c r="K38" s="10">
        <f>35.8</f>
      </c>
      <c r="L38" s="10">
        <f>2.1</f>
      </c>
      <c r="M38" s="21">
        <f>1132047418400</f>
      </c>
      <c r="N38" s="21">
        <f>19354490000000</f>
      </c>
    </row>
    <row r="39">
      <c r="A39" s="22" t="s">
        <v>53</v>
      </c>
      <c r="B39" s="22" t="s">
        <v>54</v>
      </c>
      <c r="C39" s="22" t="s">
        <v>55</v>
      </c>
      <c r="D39" s="22" t="s">
        <v>124</v>
      </c>
      <c r="E39" s="22" t="s">
        <v>125</v>
      </c>
      <c r="F39" s="9">
        <f>81</f>
      </c>
      <c r="G39" s="10">
        <f>10.5</f>
      </c>
      <c r="H39" s="10">
        <f>0.3</f>
      </c>
      <c r="I39" s="11">
        <f>122.18</f>
      </c>
      <c r="J39" s="11">
        <f>4502.57</f>
      </c>
      <c r="K39" s="10">
        <f>8.6</f>
      </c>
      <c r="L39" s="10">
        <f>0.4</f>
      </c>
      <c r="M39" s="21">
        <f>3104084875858</f>
      </c>
      <c r="N39" s="21">
        <f>72386704562700</f>
      </c>
    </row>
    <row r="40">
      <c r="A40" s="22" t="s">
        <v>53</v>
      </c>
      <c r="B40" s="22" t="s">
        <v>54</v>
      </c>
      <c r="C40" s="22" t="s">
        <v>55</v>
      </c>
      <c r="D40" s="22" t="s">
        <v>126</v>
      </c>
      <c r="E40" s="22" t="s">
        <v>127</v>
      </c>
      <c r="F40" s="9">
        <f>23</f>
      </c>
      <c r="G40" s="10">
        <f>16.4</f>
      </c>
      <c r="H40" s="10">
        <f>0.8</f>
      </c>
      <c r="I40" s="11">
        <f>49</f>
      </c>
      <c r="J40" s="11">
        <f>1053.74</f>
      </c>
      <c r="K40" s="10">
        <f>11.7</f>
      </c>
      <c r="L40" s="10">
        <f>0.7</f>
      </c>
      <c r="M40" s="21">
        <f>363944000000</f>
      </c>
      <c r="N40" s="21">
        <f>5689307000000</f>
      </c>
    </row>
    <row r="41">
      <c r="A41" s="22" t="s">
        <v>53</v>
      </c>
      <c r="B41" s="22" t="s">
        <v>54</v>
      </c>
      <c r="C41" s="22" t="s">
        <v>55</v>
      </c>
      <c r="D41" s="22" t="s">
        <v>128</v>
      </c>
      <c r="E41" s="22" t="s">
        <v>129</v>
      </c>
      <c r="F41" s="9">
        <f>8</f>
      </c>
      <c r="G41" s="10">
        <f>13.8</f>
      </c>
      <c r="H41" s="10">
        <f>0.9</f>
      </c>
      <c r="I41" s="11">
        <f>179.41</f>
      </c>
      <c r="J41" s="11">
        <f>2807.32</f>
      </c>
      <c r="K41" s="10">
        <f>13.8</f>
      </c>
      <c r="L41" s="10">
        <f>0.7</f>
      </c>
      <c r="M41" s="21">
        <f>777900000000</f>
      </c>
      <c r="N41" s="21">
        <f>14389660000000</f>
      </c>
    </row>
    <row r="42">
      <c r="A42" s="22" t="s">
        <v>53</v>
      </c>
      <c r="B42" s="22" t="s">
        <v>54</v>
      </c>
      <c r="C42" s="22" t="s">
        <v>55</v>
      </c>
      <c r="D42" s="22" t="s">
        <v>130</v>
      </c>
      <c r="E42" s="22" t="s">
        <v>131</v>
      </c>
      <c r="F42" s="9">
        <f>26</f>
      </c>
      <c r="G42" s="10">
        <f>10.7</f>
      </c>
      <c r="H42" s="10">
        <f>0.9</f>
      </c>
      <c r="I42" s="11">
        <f>178.43</f>
      </c>
      <c r="J42" s="11">
        <f>2138.41</f>
      </c>
      <c r="K42" s="10">
        <f>10.2</f>
      </c>
      <c r="L42" s="10">
        <f>0.9</f>
      </c>
      <c r="M42" s="21">
        <f>763542854545</f>
      </c>
      <c r="N42" s="21">
        <f>8315057000000</f>
      </c>
    </row>
    <row r="43">
      <c r="A43" s="22" t="s">
        <v>53</v>
      </c>
      <c r="B43" s="22" t="s">
        <v>54</v>
      </c>
      <c r="C43" s="22" t="s">
        <v>55</v>
      </c>
      <c r="D43" s="22" t="s">
        <v>132</v>
      </c>
      <c r="E43" s="22" t="s">
        <v>133</v>
      </c>
      <c r="F43" s="9">
        <f>70</f>
      </c>
      <c r="G43" s="10">
        <f>12.2</f>
      </c>
      <c r="H43" s="10">
        <f>1.1</f>
      </c>
      <c r="I43" s="11">
        <f>111.43</f>
      </c>
      <c r="J43" s="11">
        <f>1233.37</f>
      </c>
      <c r="K43" s="10">
        <f>13.9</f>
      </c>
      <c r="L43" s="10">
        <f>1.1</f>
      </c>
      <c r="M43" s="21">
        <f>911548000000</f>
      </c>
      <c r="N43" s="21">
        <f>11401761000000</f>
      </c>
    </row>
    <row r="44">
      <c r="A44" s="22" t="s">
        <v>53</v>
      </c>
      <c r="B44" s="22" t="s">
        <v>54</v>
      </c>
      <c r="C44" s="22" t="s">
        <v>55</v>
      </c>
      <c r="D44" s="22" t="s">
        <v>134</v>
      </c>
      <c r="E44" s="22" t="s">
        <v>135</v>
      </c>
      <c r="F44" s="9">
        <f>232</f>
      </c>
      <c r="G44" s="10">
        <f>30.1</f>
      </c>
      <c r="H44" s="10">
        <f>2.5</f>
      </c>
      <c r="I44" s="11">
        <f>69.65</f>
      </c>
      <c r="J44" s="11">
        <f>854.53</f>
      </c>
      <c r="K44" s="10">
        <f>37.3</f>
      </c>
      <c r="L44" s="10">
        <f>2</f>
      </c>
      <c r="M44" s="21">
        <f>1238034990727</f>
      </c>
      <c r="N44" s="21">
        <f>23600304673000</f>
      </c>
    </row>
    <row r="45">
      <c r="A45" s="22" t="s">
        <v>53</v>
      </c>
      <c r="B45" s="22" t="s">
        <v>136</v>
      </c>
      <c r="C45" s="22" t="s">
        <v>137</v>
      </c>
      <c r="D45" s="22" t="s">
        <v>56</v>
      </c>
      <c r="E45" s="22" t="s">
        <v>57</v>
      </c>
      <c r="F45" s="9">
        <f>478</f>
      </c>
      <c r="G45" s="10">
        <f>15.8</f>
      </c>
      <c r="H45" s="10">
        <f>0.7</f>
      </c>
      <c r="I45" s="11">
        <f>84.5</f>
      </c>
      <c r="J45" s="11">
        <f>1950.97</f>
      </c>
      <c r="K45" s="10">
        <f>47.6</f>
      </c>
      <c r="L45" s="10">
        <f>0.9</f>
      </c>
      <c r="M45" s="21">
        <f>144530162800</f>
      </c>
      <c r="N45" s="21">
        <f>7542894964000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474</f>
      </c>
      <c r="G49" s="10">
        <f>15.7</f>
      </c>
      <c r="H49" s="10">
        <f>0.7</f>
      </c>
      <c r="I49" s="11">
        <f>85.28</f>
      </c>
      <c r="J49" s="11">
        <f>1964.2</f>
      </c>
      <c r="K49" s="10">
        <f>45.5</f>
      </c>
      <c r="L49" s="10">
        <f>0.9</f>
      </c>
      <c r="M49" s="21">
        <f>150355162800</f>
      </c>
      <c r="N49" s="21">
        <f>7403301964000</f>
      </c>
    </row>
    <row r="50">
      <c r="A50" s="22" t="s">
        <v>53</v>
      </c>
      <c r="B50" s="22" t="s">
        <v>136</v>
      </c>
      <c r="C50" s="22" t="s">
        <v>137</v>
      </c>
      <c r="D50" s="22" t="s">
        <v>66</v>
      </c>
      <c r="E50" s="22" t="s">
        <v>67</v>
      </c>
      <c r="F50" s="9">
        <f>252</f>
      </c>
      <c r="G50" s="10">
        <f>13.2</f>
      </c>
      <c r="H50" s="10">
        <f>0.6</f>
      </c>
      <c r="I50" s="11">
        <f>110.11</f>
      </c>
      <c r="J50" s="11">
        <f>2340.4</f>
      </c>
      <c r="K50" s="10">
        <f>75</f>
      </c>
      <c r="L50" s="10">
        <f>0.9</f>
      </c>
      <c r="M50" s="21">
        <f>55782130000</f>
      </c>
      <c r="N50" s="21">
        <f>4901340835000</f>
      </c>
    </row>
    <row r="51">
      <c r="A51" s="22" t="s">
        <v>53</v>
      </c>
      <c r="B51" s="22" t="s">
        <v>136</v>
      </c>
      <c r="C51" s="22" t="s">
        <v>137</v>
      </c>
      <c r="D51" s="22" t="s">
        <v>68</v>
      </c>
      <c r="E51" s="22" t="s">
        <v>69</v>
      </c>
      <c r="F51" s="9">
        <f>222</f>
      </c>
      <c r="G51" s="10">
        <f>21.3</f>
      </c>
      <c r="H51" s="10">
        <f>0.8</f>
      </c>
      <c r="I51" s="11">
        <f>57.1</f>
      </c>
      <c r="J51" s="11">
        <f>1537.16</f>
      </c>
      <c r="K51" s="10">
        <f>28.1</f>
      </c>
      <c r="L51" s="10">
        <f>1.1</f>
      </c>
      <c r="M51" s="21">
        <f>94573032800</f>
      </c>
      <c r="N51" s="21">
        <f>2501961129000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8.7</f>
      </c>
      <c r="H54" s="10">
        <f>0.6</f>
      </c>
      <c r="I54" s="11">
        <f>132.31</f>
      </c>
      <c r="J54" s="11">
        <f>1993.65</f>
      </c>
      <c r="K54" s="10">
        <f>8.3</f>
      </c>
      <c r="L54" s="10">
        <f>1.1</f>
      </c>
      <c r="M54" s="21">
        <f>27652632800</f>
      </c>
      <c r="N54" s="21">
        <f>204419000000</f>
      </c>
    </row>
    <row r="55">
      <c r="A55" s="22" t="s">
        <v>53</v>
      </c>
      <c r="B55" s="22" t="s">
        <v>136</v>
      </c>
      <c r="C55" s="22" t="s">
        <v>137</v>
      </c>
      <c r="D55" s="22" t="s">
        <v>76</v>
      </c>
      <c r="E55" s="22" t="s">
        <v>77</v>
      </c>
      <c r="F55" s="9">
        <f>23</f>
      </c>
      <c r="G55" s="10">
        <f>36.9</f>
      </c>
      <c r="H55" s="10">
        <f>1.3</f>
      </c>
      <c r="I55" s="11">
        <f>56.82</f>
      </c>
      <c r="J55" s="11">
        <f>1677.02</f>
      </c>
      <c r="K55" s="10">
        <f>28.5</f>
      </c>
      <c r="L55" s="10">
        <f>1.6</f>
      </c>
      <c r="M55" s="21">
        <f>19824930000</f>
      </c>
      <c r="N55" s="21">
        <f>358165835000</f>
      </c>
    </row>
    <row r="56">
      <c r="A56" s="22" t="s">
        <v>53</v>
      </c>
      <c r="B56" s="22" t="s">
        <v>136</v>
      </c>
      <c r="C56" s="22" t="s">
        <v>137</v>
      </c>
      <c r="D56" s="22" t="s">
        <v>78</v>
      </c>
      <c r="E56" s="22" t="s">
        <v>79</v>
      </c>
      <c r="F56" s="9">
        <f>12</f>
      </c>
      <c r="G56" s="10">
        <f>"－"</f>
      </c>
      <c r="H56" s="10">
        <f>0.5</f>
      </c>
      <c r="I56" s="11">
        <f>-52.73</f>
      </c>
      <c r="J56" s="11">
        <f>2180.21</f>
      </c>
      <c r="K56" s="10">
        <f>"－"</f>
      </c>
      <c r="L56" s="10">
        <f>0.6</f>
      </c>
      <c r="M56" s="21">
        <f>-2481000000</f>
      </c>
      <c r="N56" s="21">
        <f>90900000000</f>
      </c>
    </row>
    <row r="57">
      <c r="A57" s="22" t="s">
        <v>53</v>
      </c>
      <c r="B57" s="22" t="s">
        <v>136</v>
      </c>
      <c r="C57" s="22" t="s">
        <v>137</v>
      </c>
      <c r="D57" s="22" t="s">
        <v>80</v>
      </c>
      <c r="E57" s="22" t="s">
        <v>81</v>
      </c>
      <c r="F57" s="9">
        <f>5</f>
      </c>
      <c r="G57" s="10">
        <f>9</f>
      </c>
      <c r="H57" s="10">
        <f>0.5</f>
      </c>
      <c r="I57" s="11">
        <f>153.35</f>
      </c>
      <c r="J57" s="11">
        <f>2670.11</f>
      </c>
      <c r="K57" s="10">
        <f>14.5</f>
      </c>
      <c r="L57" s="10">
        <f>0.6</f>
      </c>
      <c r="M57" s="21">
        <f>3597000000</f>
      </c>
      <c r="N57" s="21">
        <f>92368000000</f>
      </c>
    </row>
    <row r="58">
      <c r="A58" s="22" t="s">
        <v>53</v>
      </c>
      <c r="B58" s="22" t="s">
        <v>136</v>
      </c>
      <c r="C58" s="22" t="s">
        <v>137</v>
      </c>
      <c r="D58" s="22" t="s">
        <v>82</v>
      </c>
      <c r="E58" s="22" t="s">
        <v>83</v>
      </c>
      <c r="F58" s="9">
        <f>33</f>
      </c>
      <c r="G58" s="10">
        <f>13.9</f>
      </c>
      <c r="H58" s="10">
        <f>0.7</f>
      </c>
      <c r="I58" s="11">
        <f>128.44</f>
      </c>
      <c r="J58" s="11">
        <f>2543.69</f>
      </c>
      <c r="K58" s="10">
        <f>13.5</f>
      </c>
      <c r="L58" s="10">
        <f>0.7</f>
      </c>
      <c r="M58" s="21">
        <f>30602000000</f>
      </c>
      <c r="N58" s="21">
        <f>582546000000</f>
      </c>
    </row>
    <row r="59">
      <c r="A59" s="22" t="s">
        <v>53</v>
      </c>
      <c r="B59" s="22" t="s">
        <v>136</v>
      </c>
      <c r="C59" s="22" t="s">
        <v>137</v>
      </c>
      <c r="D59" s="22" t="s">
        <v>84</v>
      </c>
      <c r="E59" s="22" t="s">
        <v>85</v>
      </c>
      <c r="F59" s="9">
        <f>2</f>
      </c>
      <c r="G59" s="10">
        <f>19.1</f>
      </c>
      <c r="H59" s="10">
        <f>1.2</f>
      </c>
      <c r="I59" s="11">
        <f>84.67</f>
      </c>
      <c r="J59" s="11">
        <f>1403.38</f>
      </c>
      <c r="K59" s="10">
        <f>17.2</f>
      </c>
      <c r="L59" s="10">
        <f>1.5</f>
      </c>
      <c r="M59" s="21">
        <f>1196000000</f>
      </c>
      <c r="N59" s="21">
        <f>13766000000</f>
      </c>
    </row>
    <row r="60">
      <c r="A60" s="22" t="s">
        <v>53</v>
      </c>
      <c r="B60" s="22" t="s">
        <v>136</v>
      </c>
      <c r="C60" s="22" t="s">
        <v>137</v>
      </c>
      <c r="D60" s="22" t="s">
        <v>86</v>
      </c>
      <c r="E60" s="22" t="s">
        <v>87</v>
      </c>
      <c r="F60" s="9">
        <f>2</f>
      </c>
      <c r="G60" s="10">
        <f>"－"</f>
      </c>
      <c r="H60" s="10">
        <f>0.8</f>
      </c>
      <c r="I60" s="11">
        <f>-64.61</f>
      </c>
      <c r="J60" s="11">
        <f>1299.59</f>
      </c>
      <c r="K60" s="10">
        <f>"－"</f>
      </c>
      <c r="L60" s="10">
        <f>0.8</f>
      </c>
      <c r="M60" s="21">
        <f>-1984800000</f>
      </c>
      <c r="N60" s="21">
        <f>36853000000</f>
      </c>
    </row>
    <row r="61">
      <c r="A61" s="22" t="s">
        <v>53</v>
      </c>
      <c r="B61" s="22" t="s">
        <v>136</v>
      </c>
      <c r="C61" s="22" t="s">
        <v>137</v>
      </c>
      <c r="D61" s="22" t="s">
        <v>88</v>
      </c>
      <c r="E61" s="22" t="s">
        <v>89</v>
      </c>
      <c r="F61" s="9">
        <f>6</f>
      </c>
      <c r="G61" s="10">
        <f>7.7</f>
      </c>
      <c r="H61" s="10">
        <f>0.6</f>
      </c>
      <c r="I61" s="11">
        <f>199.45</f>
      </c>
      <c r="J61" s="11">
        <f>2471.15</f>
      </c>
      <c r="K61" s="10">
        <f>9.1</f>
      </c>
      <c r="L61" s="10">
        <f>0.5</f>
      </c>
      <c r="M61" s="21">
        <f>8361000000</f>
      </c>
      <c r="N61" s="21">
        <f>139538000000</f>
      </c>
    </row>
    <row r="62">
      <c r="A62" s="22" t="s">
        <v>53</v>
      </c>
      <c r="B62" s="22" t="s">
        <v>136</v>
      </c>
      <c r="C62" s="22" t="s">
        <v>137</v>
      </c>
      <c r="D62" s="22" t="s">
        <v>90</v>
      </c>
      <c r="E62" s="22" t="s">
        <v>91</v>
      </c>
      <c r="F62" s="9">
        <f>13</f>
      </c>
      <c r="G62" s="10">
        <f>7.8</f>
      </c>
      <c r="H62" s="10">
        <f>0.6</f>
      </c>
      <c r="I62" s="11">
        <f>190.94</f>
      </c>
      <c r="J62" s="11">
        <f>2427.83</f>
      </c>
      <c r="K62" s="10">
        <f>6.8</f>
      </c>
      <c r="L62" s="10">
        <f>0.7</f>
      </c>
      <c r="M62" s="21">
        <f>15684000000</f>
      </c>
      <c r="N62" s="21">
        <f>163552000000</f>
      </c>
    </row>
    <row r="63">
      <c r="A63" s="22" t="s">
        <v>53</v>
      </c>
      <c r="B63" s="22" t="s">
        <v>136</v>
      </c>
      <c r="C63" s="22" t="s">
        <v>137</v>
      </c>
      <c r="D63" s="22" t="s">
        <v>92</v>
      </c>
      <c r="E63" s="22" t="s">
        <v>93</v>
      </c>
      <c r="F63" s="9">
        <f>9</f>
      </c>
      <c r="G63" s="10">
        <f>7.8</f>
      </c>
      <c r="H63" s="10">
        <f>0.3</f>
      </c>
      <c r="I63" s="11">
        <f>97.01</f>
      </c>
      <c r="J63" s="11">
        <f>2280.72</f>
      </c>
      <c r="K63" s="10">
        <f>8.5</f>
      </c>
      <c r="L63" s="10">
        <f>0.4</f>
      </c>
      <c r="M63" s="21">
        <f>4915000000</f>
      </c>
      <c r="N63" s="21">
        <f>109717000000</f>
      </c>
    </row>
    <row r="64">
      <c r="A64" s="22" t="s">
        <v>53</v>
      </c>
      <c r="B64" s="22" t="s">
        <v>136</v>
      </c>
      <c r="C64" s="22" t="s">
        <v>137</v>
      </c>
      <c r="D64" s="22" t="s">
        <v>94</v>
      </c>
      <c r="E64" s="22" t="s">
        <v>95</v>
      </c>
      <c r="F64" s="9">
        <f>6</f>
      </c>
      <c r="G64" s="10">
        <f>12.1</f>
      </c>
      <c r="H64" s="10">
        <f>0.7</f>
      </c>
      <c r="I64" s="11">
        <f>87.34</f>
      </c>
      <c r="J64" s="11">
        <f>1566.89</f>
      </c>
      <c r="K64" s="10">
        <f>22.5</f>
      </c>
      <c r="L64" s="10">
        <f>0.7</f>
      </c>
      <c r="M64" s="21">
        <f>1419000000</f>
      </c>
      <c r="N64" s="21">
        <f>44297000000</f>
      </c>
    </row>
    <row r="65">
      <c r="A65" s="22" t="s">
        <v>53</v>
      </c>
      <c r="B65" s="22" t="s">
        <v>136</v>
      </c>
      <c r="C65" s="22" t="s">
        <v>137</v>
      </c>
      <c r="D65" s="22" t="s">
        <v>96</v>
      </c>
      <c r="E65" s="22" t="s">
        <v>97</v>
      </c>
      <c r="F65" s="9">
        <f>28</f>
      </c>
      <c r="G65" s="10">
        <f>5.5</f>
      </c>
      <c r="H65" s="10">
        <f>0.5</f>
      </c>
      <c r="I65" s="11">
        <f>265.25</f>
      </c>
      <c r="J65" s="11">
        <f>3173.37</f>
      </c>
      <c r="K65" s="10">
        <f>9.7</f>
      </c>
      <c r="L65" s="10">
        <f>0.6</f>
      </c>
      <c r="M65" s="21">
        <f>22372000000</f>
      </c>
      <c r="N65" s="21">
        <f>380272000000</f>
      </c>
    </row>
    <row r="66">
      <c r="A66" s="22" t="s">
        <v>53</v>
      </c>
      <c r="B66" s="22" t="s">
        <v>136</v>
      </c>
      <c r="C66" s="22" t="s">
        <v>137</v>
      </c>
      <c r="D66" s="22" t="s">
        <v>98</v>
      </c>
      <c r="E66" s="22" t="s">
        <v>99</v>
      </c>
      <c r="F66" s="9">
        <f>40</f>
      </c>
      <c r="G66" s="10">
        <f>14.9</f>
      </c>
      <c r="H66" s="10">
        <f>0.7</f>
      </c>
      <c r="I66" s="11">
        <f>111.17</f>
      </c>
      <c r="J66" s="11">
        <f>2429.7</f>
      </c>
      <c r="K66" s="10">
        <f>14.3</f>
      </c>
      <c r="L66" s="10">
        <f>0.8</f>
      </c>
      <c r="M66" s="21">
        <f>28741000000</f>
      </c>
      <c r="N66" s="21">
        <f>510687000000</f>
      </c>
    </row>
    <row r="67">
      <c r="A67" s="22" t="s">
        <v>53</v>
      </c>
      <c r="B67" s="22" t="s">
        <v>136</v>
      </c>
      <c r="C67" s="22" t="s">
        <v>137</v>
      </c>
      <c r="D67" s="22" t="s">
        <v>100</v>
      </c>
      <c r="E67" s="22" t="s">
        <v>101</v>
      </c>
      <c r="F67" s="9">
        <f>34</f>
      </c>
      <c r="G67" s="10">
        <f>29.1</f>
      </c>
      <c r="H67" s="10">
        <f>0.9</f>
      </c>
      <c r="I67" s="11">
        <f>42.72</f>
      </c>
      <c r="J67" s="11">
        <f>1342.95</f>
      </c>
      <c r="K67" s="10">
        <f>"－"</f>
      </c>
      <c r="L67" s="10">
        <f>1.2</f>
      </c>
      <c r="M67" s="21">
        <f>-100172000000</f>
      </c>
      <c r="N67" s="21">
        <f>1447730000000</f>
      </c>
    </row>
    <row r="68">
      <c r="A68" s="22" t="s">
        <v>53</v>
      </c>
      <c r="B68" s="22" t="s">
        <v>136</v>
      </c>
      <c r="C68" s="22" t="s">
        <v>137</v>
      </c>
      <c r="D68" s="22" t="s">
        <v>102</v>
      </c>
      <c r="E68" s="22" t="s">
        <v>103</v>
      </c>
      <c r="F68" s="9">
        <f>16</f>
      </c>
      <c r="G68" s="10">
        <f>11.3</f>
      </c>
      <c r="H68" s="10">
        <f>0.3</f>
      </c>
      <c r="I68" s="11">
        <f>95.45</f>
      </c>
      <c r="J68" s="11">
        <f>3155.42</f>
      </c>
      <c r="K68" s="10">
        <f>15.8</f>
      </c>
      <c r="L68" s="10">
        <f>0.3</f>
      </c>
      <c r="M68" s="21">
        <f>14450000000</f>
      </c>
      <c r="N68" s="21">
        <f>681254000000</f>
      </c>
    </row>
    <row r="69">
      <c r="A69" s="22" t="s">
        <v>53</v>
      </c>
      <c r="B69" s="22" t="s">
        <v>136</v>
      </c>
      <c r="C69" s="22" t="s">
        <v>137</v>
      </c>
      <c r="D69" s="22" t="s">
        <v>104</v>
      </c>
      <c r="E69" s="22" t="s">
        <v>105</v>
      </c>
      <c r="F69" s="9">
        <f>3</f>
      </c>
      <c r="G69" s="10">
        <f>"－"</f>
      </c>
      <c r="H69" s="10">
        <f>0.5</f>
      </c>
      <c r="I69" s="11">
        <f>-10.4</f>
      </c>
      <c r="J69" s="11">
        <f>3456.07</f>
      </c>
      <c r="K69" s="10">
        <f>23.4</f>
      </c>
      <c r="L69" s="10">
        <f>0.9</f>
      </c>
      <c r="M69" s="21">
        <f>1568000000</f>
      </c>
      <c r="N69" s="21">
        <f>39743000000</f>
      </c>
    </row>
    <row r="70">
      <c r="A70" s="22" t="s">
        <v>53</v>
      </c>
      <c r="B70" s="22" t="s">
        <v>136</v>
      </c>
      <c r="C70" s="22" t="s">
        <v>137</v>
      </c>
      <c r="D70" s="22" t="s">
        <v>106</v>
      </c>
      <c r="E70" s="22" t="s">
        <v>107</v>
      </c>
      <c r="F70" s="9">
        <f>20</f>
      </c>
      <c r="G70" s="10">
        <f>9.1</f>
      </c>
      <c r="H70" s="10">
        <f>0.4</f>
      </c>
      <c r="I70" s="11">
        <f>106.46</f>
      </c>
      <c r="J70" s="11">
        <f>2673.69</f>
      </c>
      <c r="K70" s="10">
        <f>16.6</f>
      </c>
      <c r="L70" s="10">
        <f>0.6</f>
      </c>
      <c r="M70" s="21">
        <f>7690000000</f>
      </c>
      <c r="N70" s="21">
        <f>209952000000</f>
      </c>
    </row>
    <row r="71">
      <c r="A71" s="22" t="s">
        <v>53</v>
      </c>
      <c r="B71" s="22" t="s">
        <v>136</v>
      </c>
      <c r="C71" s="22" t="s">
        <v>137</v>
      </c>
      <c r="D71" s="22" t="s">
        <v>108</v>
      </c>
      <c r="E71" s="22" t="s">
        <v>109</v>
      </c>
      <c r="F71" s="9">
        <f>2</f>
      </c>
      <c r="G71" s="10">
        <f>9.8</f>
      </c>
      <c r="H71" s="10">
        <f>0.4</f>
      </c>
      <c r="I71" s="11">
        <f>344.27</f>
      </c>
      <c r="J71" s="11">
        <f>8681.85</f>
      </c>
      <c r="K71" s="10">
        <f>9.1</f>
      </c>
      <c r="L71" s="10">
        <f>0.4</f>
      </c>
      <c r="M71" s="21">
        <f>6058000000</f>
      </c>
      <c r="N71" s="21">
        <f>128113000000</f>
      </c>
    </row>
    <row r="72">
      <c r="A72" s="22" t="s">
        <v>53</v>
      </c>
      <c r="B72" s="22" t="s">
        <v>136</v>
      </c>
      <c r="C72" s="22" t="s">
        <v>137</v>
      </c>
      <c r="D72" s="22" t="s">
        <v>110</v>
      </c>
      <c r="E72" s="22" t="s">
        <v>111</v>
      </c>
      <c r="F72" s="9">
        <f>10</f>
      </c>
      <c r="G72" s="10">
        <f>10.6</f>
      </c>
      <c r="H72" s="10">
        <f>0.5</f>
      </c>
      <c r="I72" s="11">
        <f>142.34</f>
      </c>
      <c r="J72" s="11">
        <f>3121.3</f>
      </c>
      <c r="K72" s="10">
        <f>12.5</f>
      </c>
      <c r="L72" s="10">
        <f>0.6</f>
      </c>
      <c r="M72" s="21">
        <f>10721000000</f>
      </c>
      <c r="N72" s="21">
        <f>239078000000</f>
      </c>
    </row>
    <row r="73">
      <c r="A73" s="22" t="s">
        <v>53</v>
      </c>
      <c r="B73" s="22" t="s">
        <v>136</v>
      </c>
      <c r="C73" s="22" t="s">
        <v>137</v>
      </c>
      <c r="D73" s="22" t="s">
        <v>112</v>
      </c>
      <c r="E73" s="22" t="s">
        <v>113</v>
      </c>
      <c r="F73" s="9">
        <f>4</f>
      </c>
      <c r="G73" s="10">
        <f>39.9</f>
      </c>
      <c r="H73" s="10">
        <f>0.4</f>
      </c>
      <c r="I73" s="11">
        <f>35.68</f>
      </c>
      <c r="J73" s="11">
        <f>3955.14</f>
      </c>
      <c r="K73" s="10">
        <f>15.7</f>
      </c>
      <c r="L73" s="10">
        <f>0.3</f>
      </c>
      <c r="M73" s="21">
        <f>1117000000</f>
      </c>
      <c r="N73" s="21">
        <f>58366000000</f>
      </c>
    </row>
    <row r="74">
      <c r="A74" s="22" t="s">
        <v>53</v>
      </c>
      <c r="B74" s="22" t="s">
        <v>136</v>
      </c>
      <c r="C74" s="22" t="s">
        <v>137</v>
      </c>
      <c r="D74" s="22" t="s">
        <v>114</v>
      </c>
      <c r="E74" s="22" t="s">
        <v>115</v>
      </c>
      <c r="F74" s="9">
        <f>2</f>
      </c>
      <c r="G74" s="10">
        <f>"－"</f>
      </c>
      <c r="H74" s="10">
        <f>1</f>
      </c>
      <c r="I74" s="11">
        <f>-40.78</f>
      </c>
      <c r="J74" s="11">
        <f>1555.15</f>
      </c>
      <c r="K74" s="10">
        <f>32.4</f>
      </c>
      <c r="L74" s="10">
        <f>1.1</f>
      </c>
      <c r="M74" s="21">
        <f>680000000</f>
      </c>
      <c r="N74" s="21">
        <f>20778000000</f>
      </c>
    </row>
    <row r="75">
      <c r="A75" s="22" t="s">
        <v>53</v>
      </c>
      <c r="B75" s="22" t="s">
        <v>136</v>
      </c>
      <c r="C75" s="22" t="s">
        <v>137</v>
      </c>
      <c r="D75" s="22" t="s">
        <v>116</v>
      </c>
      <c r="E75" s="22" t="s">
        <v>117</v>
      </c>
      <c r="F75" s="9">
        <f>10</f>
      </c>
      <c r="G75" s="10">
        <f>11.4</f>
      </c>
      <c r="H75" s="10">
        <f>0.4</f>
      </c>
      <c r="I75" s="11">
        <f>117.51</f>
      </c>
      <c r="J75" s="11">
        <f>3220.8</f>
      </c>
      <c r="K75" s="10">
        <f>12.2</f>
      </c>
      <c r="L75" s="10">
        <f>0.4</f>
      </c>
      <c r="M75" s="21">
        <f>3433000000</f>
      </c>
      <c r="N75" s="21">
        <f>97137000000</f>
      </c>
    </row>
    <row r="76">
      <c r="A76" s="22" t="s">
        <v>53</v>
      </c>
      <c r="B76" s="22" t="s">
        <v>136</v>
      </c>
      <c r="C76" s="22" t="s">
        <v>137</v>
      </c>
      <c r="D76" s="22" t="s">
        <v>118</v>
      </c>
      <c r="E76" s="22" t="s">
        <v>119</v>
      </c>
      <c r="F76" s="9">
        <f>32</f>
      </c>
      <c r="G76" s="10">
        <f>33.8</f>
      </c>
      <c r="H76" s="10">
        <f>2.7</f>
      </c>
      <c r="I76" s="11">
        <f>41.54</f>
      </c>
      <c r="J76" s="11">
        <f>521.37</f>
      </c>
      <c r="K76" s="10">
        <f>92.6</f>
      </c>
      <c r="L76" s="10">
        <f>2.6</f>
      </c>
      <c r="M76" s="21">
        <f>3564400000</f>
      </c>
      <c r="N76" s="21">
        <f>128455000000</f>
      </c>
    </row>
    <row r="77">
      <c r="A77" s="22" t="s">
        <v>53</v>
      </c>
      <c r="B77" s="22" t="s">
        <v>136</v>
      </c>
      <c r="C77" s="22" t="s">
        <v>137</v>
      </c>
      <c r="D77" s="22" t="s">
        <v>120</v>
      </c>
      <c r="E77" s="22" t="s">
        <v>121</v>
      </c>
      <c r="F77" s="9">
        <f>45</f>
      </c>
      <c r="G77" s="10">
        <f>15.7</f>
      </c>
      <c r="H77" s="10">
        <f>0.6</f>
      </c>
      <c r="I77" s="11">
        <f>79.59</f>
      </c>
      <c r="J77" s="11">
        <f>2150.32</f>
      </c>
      <c r="K77" s="10">
        <f>15.8</f>
      </c>
      <c r="L77" s="10">
        <f>0.8</f>
      </c>
      <c r="M77" s="21">
        <f>33323000000</f>
      </c>
      <c r="N77" s="21">
        <f>700704000000</f>
      </c>
    </row>
    <row r="78">
      <c r="A78" s="22" t="s">
        <v>53</v>
      </c>
      <c r="B78" s="22" t="s">
        <v>136</v>
      </c>
      <c r="C78" s="22" t="s">
        <v>137</v>
      </c>
      <c r="D78" s="22" t="s">
        <v>122</v>
      </c>
      <c r="E78" s="22" t="s">
        <v>123</v>
      </c>
      <c r="F78" s="9">
        <f>40</f>
      </c>
      <c r="G78" s="10">
        <f>"－"</f>
      </c>
      <c r="H78" s="10">
        <f>1.4</f>
      </c>
      <c r="I78" s="11">
        <f>-33.05</f>
      </c>
      <c r="J78" s="11">
        <f>649.25</f>
      </c>
      <c r="K78" s="10">
        <f>"－"</f>
      </c>
      <c r="L78" s="10">
        <f>1.5</f>
      </c>
      <c r="M78" s="21">
        <f>-20665000000</f>
      </c>
      <c r="N78" s="21">
        <f>407604129000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52.9</f>
      </c>
      <c r="H80" s="10">
        <f>0.8</f>
      </c>
      <c r="I80" s="11">
        <f>2.41</f>
      </c>
      <c r="J80" s="11">
        <f>167.37</f>
      </c>
      <c r="K80" s="10">
        <f>"－"</f>
      </c>
      <c r="L80" s="10">
        <f>1.1</f>
      </c>
      <c r="M80" s="21">
        <f>-1493000000</f>
      </c>
      <c r="N80" s="21">
        <f>20640000000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0.2</f>
      </c>
      <c r="I82" s="11">
        <f>-37.52</f>
      </c>
      <c r="J82" s="11">
        <f>1030.16</f>
      </c>
      <c r="K82" s="10">
        <f>"－"</f>
      </c>
      <c r="L82" s="10">
        <f>0.2</f>
      </c>
      <c r="M82" s="21">
        <f>-4332000000</f>
      </c>
      <c r="N82" s="21">
        <f>118953000000</f>
      </c>
    </row>
    <row r="83">
      <c r="A83" s="22" t="s">
        <v>53</v>
      </c>
      <c r="B83" s="22" t="s">
        <v>136</v>
      </c>
      <c r="C83" s="22" t="s">
        <v>137</v>
      </c>
      <c r="D83" s="22" t="s">
        <v>132</v>
      </c>
      <c r="E83" s="22" t="s">
        <v>133</v>
      </c>
      <c r="F83" s="9">
        <f>15</f>
      </c>
      <c r="G83" s="10">
        <f>9.9</f>
      </c>
      <c r="H83" s="10">
        <f>0.7</f>
      </c>
      <c r="I83" s="11">
        <f>67.7</f>
      </c>
      <c r="J83" s="11">
        <f>912.79</f>
      </c>
      <c r="K83" s="10">
        <f>12.5</f>
      </c>
      <c r="L83" s="10">
        <f>1.1</f>
      </c>
      <c r="M83" s="21">
        <f>9466000000</f>
      </c>
      <c r="N83" s="21">
        <f>106432000000</f>
      </c>
    </row>
    <row r="84">
      <c r="A84" s="22" t="s">
        <v>53</v>
      </c>
      <c r="B84" s="22" t="s">
        <v>136</v>
      </c>
      <c r="C84" s="22" t="s">
        <v>137</v>
      </c>
      <c r="D84" s="22" t="s">
        <v>134</v>
      </c>
      <c r="E84" s="22" t="s">
        <v>135</v>
      </c>
      <c r="F84" s="9">
        <f>41</f>
      </c>
      <c r="G84" s="10">
        <f>28.2</f>
      </c>
      <c r="H84" s="10">
        <f>1.2</f>
      </c>
      <c r="I84" s="11">
        <f>47.44</f>
      </c>
      <c r="J84" s="11">
        <f>1135.57</f>
      </c>
      <c r="K84" s="10">
        <f>29.9</f>
      </c>
      <c r="L84" s="10">
        <f>1.4</f>
      </c>
      <c r="M84" s="21">
        <f>19223000000</f>
      </c>
      <c r="N84" s="21">
        <f>410875000000</f>
      </c>
    </row>
    <row r="85">
      <c r="A85" s="22" t="s">
        <v>53</v>
      </c>
      <c r="B85" s="22" t="s">
        <v>138</v>
      </c>
      <c r="C85" s="22" t="s">
        <v>139</v>
      </c>
      <c r="D85" s="22" t="s">
        <v>56</v>
      </c>
      <c r="E85" s="22" t="s">
        <v>57</v>
      </c>
      <c r="F85" s="9">
        <f>329</f>
      </c>
      <c r="G85" s="10">
        <f>157.3</f>
      </c>
      <c r="H85" s="10">
        <f>6.6</f>
      </c>
      <c r="I85" s="11">
        <f>14.88</f>
      </c>
      <c r="J85" s="11">
        <f>357.21</f>
      </c>
      <c r="K85" s="10">
        <f>"－"</f>
      </c>
      <c r="L85" s="10">
        <f>7.6</f>
      </c>
      <c r="M85" s="21">
        <f>-56742117765</f>
      </c>
      <c r="N85" s="21">
        <f>1235833435782</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323</f>
      </c>
      <c r="G89" s="10">
        <f>157.8</f>
      </c>
      <c r="H89" s="10">
        <f>6.6</f>
      </c>
      <c r="I89" s="11">
        <f>14.98</f>
      </c>
      <c r="J89" s="11">
        <f>355.96</f>
      </c>
      <c r="K89" s="10">
        <f>"－"</f>
      </c>
      <c r="L89" s="10">
        <f>7.8</f>
      </c>
      <c r="M89" s="21">
        <f>-53899117765</f>
      </c>
      <c r="N89" s="21">
        <f>1169404435782</f>
      </c>
    </row>
    <row r="90">
      <c r="A90" s="22" t="s">
        <v>53</v>
      </c>
      <c r="B90" s="22" t="s">
        <v>138</v>
      </c>
      <c r="C90" s="22" t="s">
        <v>139</v>
      </c>
      <c r="D90" s="22" t="s">
        <v>66</v>
      </c>
      <c r="E90" s="22" t="s">
        <v>67</v>
      </c>
      <c r="F90" s="9">
        <f>40</f>
      </c>
      <c r="G90" s="10">
        <f>"－"</f>
      </c>
      <c r="H90" s="10">
        <f>4.7</f>
      </c>
      <c r="I90" s="11">
        <f>-29.64</f>
      </c>
      <c r="J90" s="11">
        <f>359.5</f>
      </c>
      <c r="K90" s="10">
        <f>"－"</f>
      </c>
      <c r="L90" s="10">
        <f>4.7</f>
      </c>
      <c r="M90" s="21">
        <f>-58956472000</f>
      </c>
      <c r="N90" s="21">
        <f>319066542000</f>
      </c>
    </row>
    <row r="91">
      <c r="A91" s="22" t="s">
        <v>53</v>
      </c>
      <c r="B91" s="22" t="s">
        <v>138</v>
      </c>
      <c r="C91" s="22" t="s">
        <v>139</v>
      </c>
      <c r="D91" s="22" t="s">
        <v>68</v>
      </c>
      <c r="E91" s="22" t="s">
        <v>69</v>
      </c>
      <c r="F91" s="9">
        <f>283</f>
      </c>
      <c r="G91" s="10">
        <f>115.6</f>
      </c>
      <c r="H91" s="10">
        <f>6.9</f>
      </c>
      <c r="I91" s="11">
        <f>21.29</f>
      </c>
      <c r="J91" s="11">
        <f>355.46</f>
      </c>
      <c r="K91" s="10">
        <f>"＊"</f>
      </c>
      <c r="L91" s="10">
        <f>9</f>
      </c>
      <c r="M91" s="21">
        <f>5057354235</f>
      </c>
      <c r="N91" s="21">
        <f>850337893782</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37.2</f>
      </c>
      <c r="H94" s="10">
        <f>3.2</f>
      </c>
      <c r="I94" s="11">
        <f>33.95</f>
      </c>
      <c r="J94" s="11">
        <f>400.07</f>
      </c>
      <c r="K94" s="10">
        <f>43.2</f>
      </c>
      <c r="L94" s="10">
        <f>3.8</f>
      </c>
      <c r="M94" s="21">
        <f>1433000000</f>
      </c>
      <c r="N94" s="21">
        <f>16196000000</f>
      </c>
    </row>
    <row r="95">
      <c r="A95" s="22" t="s">
        <v>53</v>
      </c>
      <c r="B95" s="22" t="s">
        <v>138</v>
      </c>
      <c r="C95" s="22" t="s">
        <v>139</v>
      </c>
      <c r="D95" s="22" t="s">
        <v>76</v>
      </c>
      <c r="E95" s="22" t="s">
        <v>77</v>
      </c>
      <c r="F95" s="9">
        <f>1</f>
      </c>
      <c r="G95" s="10">
        <f>"－"</f>
      </c>
      <c r="H95" s="10">
        <f>7</f>
      </c>
      <c r="I95" s="11">
        <f>-51.71</f>
      </c>
      <c r="J95" s="11">
        <f>26.44</f>
      </c>
      <c r="K95" s="10">
        <f>"－"</f>
      </c>
      <c r="L95" s="10">
        <f>7</f>
      </c>
      <c r="M95" s="21">
        <f>-440000000</f>
      </c>
      <c r="N95" s="21">
        <f>225000000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3</f>
      </c>
      <c r="G98" s="10">
        <f>46.8</f>
      </c>
      <c r="H98" s="10">
        <f>14.5</f>
      </c>
      <c r="I98" s="11">
        <f>86.75</f>
      </c>
      <c r="J98" s="11">
        <f>279.13</f>
      </c>
      <c r="K98" s="10">
        <f>43.9</f>
      </c>
      <c r="L98" s="10">
        <f>9.9</f>
      </c>
      <c r="M98" s="21">
        <f>3351000000</f>
      </c>
      <c r="N98" s="21">
        <f>14902000000</f>
      </c>
    </row>
    <row r="99">
      <c r="A99" s="22" t="s">
        <v>53</v>
      </c>
      <c r="B99" s="22" t="s">
        <v>138</v>
      </c>
      <c r="C99" s="22" t="s">
        <v>139</v>
      </c>
      <c r="D99" s="22" t="s">
        <v>84</v>
      </c>
      <c r="E99" s="22" t="s">
        <v>85</v>
      </c>
      <c r="F99" s="9">
        <f>20</f>
      </c>
      <c r="G99" s="10">
        <f>"－"</f>
      </c>
      <c r="H99" s="10">
        <f>8.3</f>
      </c>
      <c r="I99" s="11">
        <f>-60.63</f>
      </c>
      <c r="J99" s="11">
        <f>170.86</f>
      </c>
      <c r="K99" s="10">
        <f>"－"</f>
      </c>
      <c r="L99" s="10">
        <f>6</f>
      </c>
      <c r="M99" s="21">
        <f>-36316472000</f>
      </c>
      <c r="N99" s="21">
        <f>152079542000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26.1</f>
      </c>
      <c r="H104" s="10">
        <f>1.9</f>
      </c>
      <c r="I104" s="11">
        <f>30.99</f>
      </c>
      <c r="J104" s="11">
        <f>425.97</f>
      </c>
      <c r="K104" s="10">
        <f>26.1</f>
      </c>
      <c r="L104" s="10">
        <f>1.9</f>
      </c>
      <c r="M104" s="21">
        <f>164000000</f>
      </c>
      <c r="N104" s="21">
        <f>2254000000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5.3</f>
      </c>
      <c r="I106" s="11">
        <f>-1.32</f>
      </c>
      <c r="J106" s="11">
        <f>277.89</f>
      </c>
      <c r="K106" s="10">
        <f>142.3</f>
      </c>
      <c r="L106" s="10">
        <f>4.4</f>
      </c>
      <c r="M106" s="21">
        <f>388000000</f>
      </c>
      <c r="N106" s="21">
        <f>12601000000</f>
      </c>
    </row>
    <row r="107">
      <c r="A107" s="22" t="s">
        <v>53</v>
      </c>
      <c r="B107" s="22" t="s">
        <v>138</v>
      </c>
      <c r="C107" s="22" t="s">
        <v>139</v>
      </c>
      <c r="D107" s="22" t="s">
        <v>100</v>
      </c>
      <c r="E107" s="22" t="s">
        <v>101</v>
      </c>
      <c r="F107" s="9">
        <f>4</f>
      </c>
      <c r="G107" s="10">
        <f>129.3</f>
      </c>
      <c r="H107" s="10">
        <f>1.3</f>
      </c>
      <c r="I107" s="11">
        <f>10.07</f>
      </c>
      <c r="J107" s="11">
        <f>1040.51</f>
      </c>
      <c r="K107" s="10">
        <f>170.3</f>
      </c>
      <c r="L107" s="10">
        <f>0.8</f>
      </c>
      <c r="M107" s="21">
        <f>162000000</f>
      </c>
      <c r="N107" s="21">
        <f>34974000000</f>
      </c>
    </row>
    <row r="108">
      <c r="A108" s="22" t="s">
        <v>53</v>
      </c>
      <c r="B108" s="22" t="s">
        <v>138</v>
      </c>
      <c r="C108" s="22" t="s">
        <v>139</v>
      </c>
      <c r="D108" s="22" t="s">
        <v>102</v>
      </c>
      <c r="E108" s="22" t="s">
        <v>103</v>
      </c>
      <c r="F108" s="9">
        <f>1</f>
      </c>
      <c r="G108" s="10">
        <f>82.3</f>
      </c>
      <c r="H108" s="10">
        <f>9.2</f>
      </c>
      <c r="I108" s="11">
        <f>85.82</f>
      </c>
      <c r="J108" s="11">
        <f>770.44</f>
      </c>
      <c r="K108" s="10">
        <f>82.3</f>
      </c>
      <c r="L108" s="10">
        <f>9.2</f>
      </c>
      <c r="M108" s="21">
        <f>223000000</f>
      </c>
      <c r="N108" s="21">
        <f>2002000000</f>
      </c>
    </row>
    <row r="109">
      <c r="A109" s="22" t="s">
        <v>53</v>
      </c>
      <c r="B109" s="22" t="s">
        <v>138</v>
      </c>
      <c r="C109" s="22" t="s">
        <v>139</v>
      </c>
      <c r="D109" s="22" t="s">
        <v>104</v>
      </c>
      <c r="E109" s="22" t="s">
        <v>105</v>
      </c>
      <c r="F109" s="9">
        <f>2</f>
      </c>
      <c r="G109" s="10">
        <f>"－"</f>
      </c>
      <c r="H109" s="10">
        <f>5.6</f>
      </c>
      <c r="I109" s="11">
        <f>-2.49</f>
      </c>
      <c r="J109" s="11">
        <f>183.71</f>
      </c>
      <c r="K109" s="10">
        <f>"－"</f>
      </c>
      <c r="L109" s="10">
        <f>4.6</f>
      </c>
      <c r="M109" s="21">
        <f>-266000000</f>
      </c>
      <c r="N109" s="21">
        <f>48579000000</f>
      </c>
    </row>
    <row r="110">
      <c r="A110" s="22" t="s">
        <v>53</v>
      </c>
      <c r="B110" s="22" t="s">
        <v>138</v>
      </c>
      <c r="C110" s="22" t="s">
        <v>139</v>
      </c>
      <c r="D110" s="22" t="s">
        <v>106</v>
      </c>
      <c r="E110" s="22" t="s">
        <v>107</v>
      </c>
      <c r="F110" s="9">
        <f>5</f>
      </c>
      <c r="G110" s="10">
        <f>"－"</f>
      </c>
      <c r="H110" s="10">
        <f>2</f>
      </c>
      <c r="I110" s="11">
        <f>-65.91</f>
      </c>
      <c r="J110" s="11">
        <f>707.85</f>
      </c>
      <c r="K110" s="10">
        <f>"－"</f>
      </c>
      <c r="L110" s="10">
        <f>2.2</f>
      </c>
      <c r="M110" s="21">
        <f>-26222000000</f>
      </c>
      <c r="N110" s="21">
        <f>51450000000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46.8</f>
      </c>
      <c r="H115" s="10">
        <f>12.7</f>
      </c>
      <c r="I115" s="11">
        <f>55.92</f>
      </c>
      <c r="J115" s="11">
        <f>205.92</f>
      </c>
      <c r="K115" s="10">
        <f>46.8</f>
      </c>
      <c r="L115" s="10">
        <f>12.7</f>
      </c>
      <c r="M115" s="21">
        <f>170000000</f>
      </c>
      <c r="N115" s="21">
        <f>626000000</f>
      </c>
    </row>
    <row r="116">
      <c r="A116" s="22" t="s">
        <v>53</v>
      </c>
      <c r="B116" s="22" t="s">
        <v>138</v>
      </c>
      <c r="C116" s="22" t="s">
        <v>139</v>
      </c>
      <c r="D116" s="22" t="s">
        <v>118</v>
      </c>
      <c r="E116" s="22" t="s">
        <v>119</v>
      </c>
      <c r="F116" s="9">
        <f>124</f>
      </c>
      <c r="G116" s="10">
        <f>247.7</f>
      </c>
      <c r="H116" s="10">
        <f>11.9</f>
      </c>
      <c r="I116" s="11">
        <f>13.78</f>
      </c>
      <c r="J116" s="11">
        <f>286.6</f>
      </c>
      <c r="K116" s="10">
        <f>"－"</f>
      </c>
      <c r="L116" s="10">
        <f>17</f>
      </c>
      <c r="M116" s="21">
        <f>-20232888765</f>
      </c>
      <c r="N116" s="21">
        <f>329203835580</f>
      </c>
    </row>
    <row r="117">
      <c r="A117" s="22" t="s">
        <v>53</v>
      </c>
      <c r="B117" s="22" t="s">
        <v>138</v>
      </c>
      <c r="C117" s="22" t="s">
        <v>139</v>
      </c>
      <c r="D117" s="22" t="s">
        <v>120</v>
      </c>
      <c r="E117" s="22" t="s">
        <v>121</v>
      </c>
      <c r="F117" s="9">
        <f>6</f>
      </c>
      <c r="G117" s="10">
        <f>48.6</f>
      </c>
      <c r="H117" s="10">
        <f>8.5</f>
      </c>
      <c r="I117" s="11">
        <f>61.04</f>
      </c>
      <c r="J117" s="11">
        <f>347.38</f>
      </c>
      <c r="K117" s="10">
        <f>84.6</f>
      </c>
      <c r="L117" s="10">
        <f>9.9</f>
      </c>
      <c r="M117" s="21">
        <f>1732000000</f>
      </c>
      <c r="N117" s="21">
        <f>14784000000</f>
      </c>
    </row>
    <row r="118">
      <c r="A118" s="22" t="s">
        <v>53</v>
      </c>
      <c r="B118" s="22" t="s">
        <v>138</v>
      </c>
      <c r="C118" s="22" t="s">
        <v>139</v>
      </c>
      <c r="D118" s="22" t="s">
        <v>122</v>
      </c>
      <c r="E118" s="22" t="s">
        <v>123</v>
      </c>
      <c r="F118" s="9">
        <f>22</f>
      </c>
      <c r="G118" s="10">
        <f>121.2</f>
      </c>
      <c r="H118" s="10">
        <f>2.9</f>
      </c>
      <c r="I118" s="11">
        <f>9.38</f>
      </c>
      <c r="J118" s="11">
        <f>392.66</f>
      </c>
      <c r="K118" s="10">
        <f>247.3</f>
      </c>
      <c r="L118" s="10">
        <f>3.3</f>
      </c>
      <c r="M118" s="21">
        <f>591000000</f>
      </c>
      <c r="N118" s="21">
        <f>43813000000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f>
      </c>
      <c r="G120" s="10">
        <f>"－"</f>
      </c>
      <c r="H120" s="10">
        <f>"－"</f>
      </c>
      <c r="I120" s="11">
        <f>"－"</f>
      </c>
      <c r="J120" s="11">
        <f>"－"</f>
      </c>
      <c r="K120" s="10">
        <f>"－"</f>
      </c>
      <c r="L120" s="10">
        <f>"－"</f>
      </c>
      <c r="M120" s="21">
        <f>"－"</f>
      </c>
      <c r="N120" s="21">
        <f>"－"</f>
      </c>
    </row>
    <row r="121">
      <c r="A121" s="22" t="s">
        <v>53</v>
      </c>
      <c r="B121" s="22" t="s">
        <v>138</v>
      </c>
      <c r="C121" s="22" t="s">
        <v>139</v>
      </c>
      <c r="D121" s="22" t="s">
        <v>128</v>
      </c>
      <c r="E121" s="22" t="s">
        <v>129</v>
      </c>
      <c r="F121" s="9">
        <f>3</f>
      </c>
      <c r="G121" s="10">
        <f>351.5</f>
      </c>
      <c r="H121" s="10">
        <f>1.8</f>
      </c>
      <c r="I121" s="11">
        <f>3.91</f>
      </c>
      <c r="J121" s="11">
        <f>746.91</f>
      </c>
      <c r="K121" s="10">
        <f>"－"</f>
      </c>
      <c r="L121" s="10">
        <f>2.6</f>
      </c>
      <c r="M121" s="21">
        <f>-1742000000</f>
      </c>
      <c r="N121" s="21">
        <f>54491000000</f>
      </c>
    </row>
    <row r="122">
      <c r="A122" s="22" t="s">
        <v>53</v>
      </c>
      <c r="B122" s="22" t="s">
        <v>138</v>
      </c>
      <c r="C122" s="22" t="s">
        <v>139</v>
      </c>
      <c r="D122" s="22" t="s">
        <v>130</v>
      </c>
      <c r="E122" s="22" t="s">
        <v>131</v>
      </c>
      <c r="F122" s="9">
        <f>3</f>
      </c>
      <c r="G122" s="10">
        <f>55.8</f>
      </c>
      <c r="H122" s="10">
        <f>8.4</f>
      </c>
      <c r="I122" s="11">
        <f>15.3</f>
      </c>
      <c r="J122" s="11">
        <f>101.82</f>
      </c>
      <c r="K122" s="10">
        <f>"－"</f>
      </c>
      <c r="L122" s="10">
        <f>2.3</f>
      </c>
      <c r="M122" s="21">
        <f>-1101000000</f>
      </c>
      <c r="N122" s="21">
        <f>11938000000</f>
      </c>
    </row>
    <row r="123">
      <c r="A123" s="22" t="s">
        <v>53</v>
      </c>
      <c r="B123" s="22" t="s">
        <v>138</v>
      </c>
      <c r="C123" s="22" t="s">
        <v>139</v>
      </c>
      <c r="D123" s="22" t="s">
        <v>132</v>
      </c>
      <c r="E123" s="22" t="s">
        <v>133</v>
      </c>
      <c r="F123" s="9">
        <f>19</f>
      </c>
      <c r="G123" s="10">
        <f>38.5</f>
      </c>
      <c r="H123" s="10">
        <f>3.2</f>
      </c>
      <c r="I123" s="11">
        <f>47.5</f>
      </c>
      <c r="J123" s="11">
        <f>576.69</f>
      </c>
      <c r="K123" s="10">
        <f>37.2</f>
      </c>
      <c r="L123" s="10">
        <f>2.3</f>
      </c>
      <c r="M123" s="21">
        <f>12277809000</f>
      </c>
      <c r="N123" s="21">
        <f>198391689000</f>
      </c>
    </row>
    <row r="124">
      <c r="A124" s="22" t="s">
        <v>53</v>
      </c>
      <c r="B124" s="22" t="s">
        <v>138</v>
      </c>
      <c r="C124" s="22" t="s">
        <v>139</v>
      </c>
      <c r="D124" s="22" t="s">
        <v>134</v>
      </c>
      <c r="E124" s="22" t="s">
        <v>135</v>
      </c>
      <c r="F124" s="9">
        <f>105</f>
      </c>
      <c r="G124" s="10">
        <f>71.9</f>
      </c>
      <c r="H124" s="10">
        <f>4.5</f>
      </c>
      <c r="I124" s="11">
        <f>24.58</f>
      </c>
      <c r="J124" s="11">
        <f>388.3</f>
      </c>
      <c r="K124" s="10">
        <f>139.2</f>
      </c>
      <c r="L124" s="10">
        <f>5.1</f>
      </c>
      <c r="M124" s="21">
        <f>9086434000</f>
      </c>
      <c r="N124" s="21">
        <f>247323369202</f>
      </c>
    </row>
    <row r="125">
      <c r="A125" s="22" t="s">
        <v>53</v>
      </c>
      <c r="B125" s="22" t="s">
        <v>140</v>
      </c>
      <c r="C125" s="22" t="s">
        <v>140</v>
      </c>
      <c r="D125" s="22" t="s">
        <v>56</v>
      </c>
      <c r="E125" s="22" t="s">
        <v>57</v>
      </c>
      <c r="F125" s="9">
        <f>697</f>
      </c>
      <c r="G125" s="10">
        <f>19.2</f>
      </c>
      <c r="H125" s="10">
        <f>0.9</f>
      </c>
      <c r="I125" s="11">
        <f>80.02</f>
      </c>
      <c r="J125" s="11">
        <f>1628.69</f>
      </c>
      <c r="K125" s="10">
        <f>32.3</f>
      </c>
      <c r="L125" s="10">
        <f>1.5</f>
      </c>
      <c r="M125" s="21">
        <f>314366148545</f>
      </c>
      <c r="N125" s="21">
        <f>6794475482310</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681</f>
      </c>
      <c r="G129" s="10">
        <f>19.4</f>
      </c>
      <c r="H129" s="10">
        <f>0.9</f>
      </c>
      <c r="I129" s="11">
        <f>80.19</f>
      </c>
      <c r="J129" s="11">
        <f>1647.25</f>
      </c>
      <c r="K129" s="10">
        <f>33.9</f>
      </c>
      <c r="L129" s="10">
        <f>1.5</f>
      </c>
      <c r="M129" s="21">
        <f>292173148545</f>
      </c>
      <c r="N129" s="21">
        <f>6582325482310</f>
      </c>
    </row>
    <row r="130">
      <c r="A130" s="22" t="s">
        <v>53</v>
      </c>
      <c r="B130" s="22" t="s">
        <v>140</v>
      </c>
      <c r="C130" s="22" t="s">
        <v>140</v>
      </c>
      <c r="D130" s="22" t="s">
        <v>66</v>
      </c>
      <c r="E130" s="22" t="s">
        <v>67</v>
      </c>
      <c r="F130" s="9">
        <f>243</f>
      </c>
      <c r="G130" s="10">
        <f>20.2</f>
      </c>
      <c r="H130" s="10">
        <f>0.9</f>
      </c>
      <c r="I130" s="11">
        <f>88.1</f>
      </c>
      <c r="J130" s="11">
        <f>2078.2</f>
      </c>
      <c r="K130" s="10">
        <f>45.3</f>
      </c>
      <c r="L130" s="10">
        <f>1.2</f>
      </c>
      <c r="M130" s="21">
        <f>80137000000</f>
      </c>
      <c r="N130" s="21">
        <f>3038256500000</f>
      </c>
    </row>
    <row r="131">
      <c r="A131" s="22" t="s">
        <v>53</v>
      </c>
      <c r="B131" s="22" t="s">
        <v>140</v>
      </c>
      <c r="C131" s="22" t="s">
        <v>140</v>
      </c>
      <c r="D131" s="22" t="s">
        <v>68</v>
      </c>
      <c r="E131" s="22" t="s">
        <v>69</v>
      </c>
      <c r="F131" s="9">
        <f>438</f>
      </c>
      <c r="G131" s="10">
        <f>18.8</f>
      </c>
      <c r="H131" s="10">
        <f>1</f>
      </c>
      <c r="I131" s="11">
        <f>75.81</f>
      </c>
      <c r="J131" s="11">
        <f>1408.17</f>
      </c>
      <c r="K131" s="10">
        <f>29.6</f>
      </c>
      <c r="L131" s="10">
        <f>1.8</f>
      </c>
      <c r="M131" s="21">
        <f>212036148545</f>
      </c>
      <c r="N131" s="21">
        <f>3544068982310</f>
      </c>
    </row>
    <row r="132">
      <c r="A132" s="22" t="s">
        <v>53</v>
      </c>
      <c r="B132" s="22" t="s">
        <v>140</v>
      </c>
      <c r="C132" s="22" t="s">
        <v>140</v>
      </c>
      <c r="D132" s="22" t="s">
        <v>70</v>
      </c>
      <c r="E132" s="22" t="s">
        <v>71</v>
      </c>
      <c r="F132" s="9">
        <f>4</f>
      </c>
      <c r="G132" s="10">
        <f>19.1</f>
      </c>
      <c r="H132" s="10">
        <f>1.6</f>
      </c>
      <c r="I132" s="11">
        <f>100.65</f>
      </c>
      <c r="J132" s="11">
        <f>1205.52</f>
      </c>
      <c r="K132" s="10">
        <f>12.9</f>
      </c>
      <c r="L132" s="10">
        <f>1.4</f>
      </c>
      <c r="M132" s="21">
        <f>2069000000</f>
      </c>
      <c r="N132" s="21">
        <f>18932000000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8.8</f>
      </c>
      <c r="H134" s="10">
        <f>0.7</f>
      </c>
      <c r="I134" s="11">
        <f>235.36</f>
      </c>
      <c r="J134" s="11">
        <f>3084.1</f>
      </c>
      <c r="K134" s="10">
        <f>13.4</f>
      </c>
      <c r="L134" s="10">
        <f>1</f>
      </c>
      <c r="M134" s="21">
        <f>29010000000</f>
      </c>
      <c r="N134" s="21">
        <f>386806000000</f>
      </c>
    </row>
    <row r="135">
      <c r="A135" s="22" t="s">
        <v>53</v>
      </c>
      <c r="B135" s="22" t="s">
        <v>140</v>
      </c>
      <c r="C135" s="22" t="s">
        <v>140</v>
      </c>
      <c r="D135" s="22" t="s">
        <v>76</v>
      </c>
      <c r="E135" s="22" t="s">
        <v>77</v>
      </c>
      <c r="F135" s="9">
        <f>14</f>
      </c>
      <c r="G135" s="10">
        <f>50.5</f>
      </c>
      <c r="H135" s="10">
        <f>1</f>
      </c>
      <c r="I135" s="11">
        <f>38.36</f>
      </c>
      <c r="J135" s="11">
        <f>1857.26</f>
      </c>
      <c r="K135" s="10">
        <f>25.1</f>
      </c>
      <c r="L135" s="10">
        <f>1</f>
      </c>
      <c r="M135" s="21">
        <f>6434000000</f>
      </c>
      <c r="N135" s="21">
        <f>153706000000</f>
      </c>
    </row>
    <row r="136">
      <c r="A136" s="22" t="s">
        <v>53</v>
      </c>
      <c r="B136" s="22" t="s">
        <v>140</v>
      </c>
      <c r="C136" s="22" t="s">
        <v>140</v>
      </c>
      <c r="D136" s="22" t="s">
        <v>78</v>
      </c>
      <c r="E136" s="22" t="s">
        <v>79</v>
      </c>
      <c r="F136" s="9">
        <f>1</f>
      </c>
      <c r="G136" s="10">
        <f>"－"</f>
      </c>
      <c r="H136" s="10">
        <f>0.3</f>
      </c>
      <c r="I136" s="11">
        <f>-336</f>
      </c>
      <c r="J136" s="11">
        <f>8362</f>
      </c>
      <c r="K136" s="10">
        <f>"－"</f>
      </c>
      <c r="L136" s="10">
        <f>0.3</f>
      </c>
      <c r="M136" s="21">
        <f>-336000000</f>
      </c>
      <c r="N136" s="21">
        <f>8362000000</f>
      </c>
    </row>
    <row r="137">
      <c r="A137" s="22" t="s">
        <v>53</v>
      </c>
      <c r="B137" s="22" t="s">
        <v>140</v>
      </c>
      <c r="C137" s="22" t="s">
        <v>140</v>
      </c>
      <c r="D137" s="22" t="s">
        <v>80</v>
      </c>
      <c r="E137" s="22" t="s">
        <v>81</v>
      </c>
      <c r="F137" s="9">
        <f>7</f>
      </c>
      <c r="G137" s="10">
        <f>10.6</f>
      </c>
      <c r="H137" s="10">
        <f>0.6</f>
      </c>
      <c r="I137" s="11">
        <f>91.39</f>
      </c>
      <c r="J137" s="11">
        <f>1491.29</f>
      </c>
      <c r="K137" s="10">
        <f>12.9</f>
      </c>
      <c r="L137" s="10">
        <f>0.8</f>
      </c>
      <c r="M137" s="21">
        <f>3808000000</f>
      </c>
      <c r="N137" s="21">
        <f>63342000000</f>
      </c>
    </row>
    <row r="138">
      <c r="A138" s="22" t="s">
        <v>53</v>
      </c>
      <c r="B138" s="22" t="s">
        <v>140</v>
      </c>
      <c r="C138" s="22" t="s">
        <v>140</v>
      </c>
      <c r="D138" s="22" t="s">
        <v>82</v>
      </c>
      <c r="E138" s="22" t="s">
        <v>83</v>
      </c>
      <c r="F138" s="9">
        <f>29</f>
      </c>
      <c r="G138" s="10">
        <f>16</f>
      </c>
      <c r="H138" s="10">
        <f>1</f>
      </c>
      <c r="I138" s="11">
        <f>197.26</f>
      </c>
      <c r="J138" s="11">
        <f>3221.83</f>
      </c>
      <c r="K138" s="10">
        <f>23.3</f>
      </c>
      <c r="L138" s="10">
        <f>1.2</f>
      </c>
      <c r="M138" s="21">
        <f>18993000000</f>
      </c>
      <c r="N138" s="21">
        <f>380756500000</f>
      </c>
    </row>
    <row r="139">
      <c r="A139" s="22" t="s">
        <v>53</v>
      </c>
      <c r="B139" s="22" t="s">
        <v>140</v>
      </c>
      <c r="C139" s="22" t="s">
        <v>140</v>
      </c>
      <c r="D139" s="22" t="s">
        <v>84</v>
      </c>
      <c r="E139" s="22" t="s">
        <v>85</v>
      </c>
      <c r="F139" s="9">
        <f>8</f>
      </c>
      <c r="G139" s="10">
        <f>45.5</f>
      </c>
      <c r="H139" s="10">
        <f>2.6</f>
      </c>
      <c r="I139" s="11">
        <f>25.86</f>
      </c>
      <c r="J139" s="11">
        <f>456.26</f>
      </c>
      <c r="K139" s="10">
        <f>"－"</f>
      </c>
      <c r="L139" s="10">
        <f>3.2</f>
      </c>
      <c r="M139" s="21">
        <f>-2404000000</f>
      </c>
      <c r="N139" s="21">
        <f>30860000000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559.4</f>
      </c>
      <c r="H141" s="10">
        <f>1.2</f>
      </c>
      <c r="I141" s="11">
        <f>3.54</f>
      </c>
      <c r="J141" s="11">
        <f>1694.12</f>
      </c>
      <c r="K141" s="10">
        <f>75.9</f>
      </c>
      <c r="L141" s="10">
        <f>1</f>
      </c>
      <c r="M141" s="21">
        <f>100000000</f>
      </c>
      <c r="N141" s="21">
        <f>7573000000</f>
      </c>
    </row>
    <row r="142">
      <c r="A142" s="22" t="s">
        <v>53</v>
      </c>
      <c r="B142" s="22" t="s">
        <v>140</v>
      </c>
      <c r="C142" s="22" t="s">
        <v>140</v>
      </c>
      <c r="D142" s="22" t="s">
        <v>90</v>
      </c>
      <c r="E142" s="22" t="s">
        <v>91</v>
      </c>
      <c r="F142" s="9">
        <f>10</f>
      </c>
      <c r="G142" s="10">
        <f>21.9</f>
      </c>
      <c r="H142" s="10">
        <f>1.2</f>
      </c>
      <c r="I142" s="11">
        <f>146.48</f>
      </c>
      <c r="J142" s="11">
        <f>2724.15</f>
      </c>
      <c r="K142" s="10">
        <f>"－"</f>
      </c>
      <c r="L142" s="10">
        <f>1</f>
      </c>
      <c r="M142" s="21">
        <f>-919000000</f>
      </c>
      <c r="N142" s="21">
        <f>55327000000</f>
      </c>
    </row>
    <row r="143">
      <c r="A143" s="22" t="s">
        <v>53</v>
      </c>
      <c r="B143" s="22" t="s">
        <v>140</v>
      </c>
      <c r="C143" s="22" t="s">
        <v>140</v>
      </c>
      <c r="D143" s="22" t="s">
        <v>92</v>
      </c>
      <c r="E143" s="22" t="s">
        <v>93</v>
      </c>
      <c r="F143" s="9">
        <f>4</f>
      </c>
      <c r="G143" s="10">
        <f>8.4</f>
      </c>
      <c r="H143" s="10">
        <f>0.7</f>
      </c>
      <c r="I143" s="11">
        <f>211.88</f>
      </c>
      <c r="J143" s="11">
        <f>2509.47</f>
      </c>
      <c r="K143" s="10">
        <f>8</f>
      </c>
      <c r="L143" s="10">
        <f>0.6</f>
      </c>
      <c r="M143" s="21">
        <f>3262000000</f>
      </c>
      <c r="N143" s="21">
        <f>42669000000</f>
      </c>
    </row>
    <row r="144">
      <c r="A144" s="22" t="s">
        <v>53</v>
      </c>
      <c r="B144" s="22" t="s">
        <v>140</v>
      </c>
      <c r="C144" s="22" t="s">
        <v>140</v>
      </c>
      <c r="D144" s="22" t="s">
        <v>94</v>
      </c>
      <c r="E144" s="22" t="s">
        <v>95</v>
      </c>
      <c r="F144" s="9">
        <f>3</f>
      </c>
      <c r="G144" s="10">
        <f>21.1</f>
      </c>
      <c r="H144" s="10">
        <f>0.6</f>
      </c>
      <c r="I144" s="11">
        <f>64.98</f>
      </c>
      <c r="J144" s="11">
        <f>2170.23</f>
      </c>
      <c r="K144" s="10">
        <f>31.7</f>
      </c>
      <c r="L144" s="10">
        <f>0.9</f>
      </c>
      <c r="M144" s="21">
        <f>365000000</f>
      </c>
      <c r="N144" s="21">
        <f>13361000000</f>
      </c>
    </row>
    <row r="145">
      <c r="A145" s="22" t="s">
        <v>53</v>
      </c>
      <c r="B145" s="22" t="s">
        <v>140</v>
      </c>
      <c r="C145" s="22" t="s">
        <v>140</v>
      </c>
      <c r="D145" s="22" t="s">
        <v>96</v>
      </c>
      <c r="E145" s="22" t="s">
        <v>97</v>
      </c>
      <c r="F145" s="9">
        <f>18</f>
      </c>
      <c r="G145" s="10">
        <f>12.5</f>
      </c>
      <c r="H145" s="10">
        <f>0.6</f>
      </c>
      <c r="I145" s="11">
        <f>163.45</f>
      </c>
      <c r="J145" s="11">
        <f>3337.89</f>
      </c>
      <c r="K145" s="10">
        <f>15.8</f>
      </c>
      <c r="L145" s="10">
        <f>0.7</f>
      </c>
      <c r="M145" s="21">
        <f>7919000000</f>
      </c>
      <c r="N145" s="21">
        <f>170014000000</f>
      </c>
    </row>
    <row r="146">
      <c r="A146" s="22" t="s">
        <v>53</v>
      </c>
      <c r="B146" s="22" t="s">
        <v>140</v>
      </c>
      <c r="C146" s="22" t="s">
        <v>140</v>
      </c>
      <c r="D146" s="22" t="s">
        <v>98</v>
      </c>
      <c r="E146" s="22" t="s">
        <v>99</v>
      </c>
      <c r="F146" s="9">
        <f>42</f>
      </c>
      <c r="G146" s="10">
        <f>28.2</f>
      </c>
      <c r="H146" s="10">
        <f>0.8</f>
      </c>
      <c r="I146" s="11">
        <f>51.99</f>
      </c>
      <c r="J146" s="11">
        <f>1778.84</f>
      </c>
      <c r="K146" s="10">
        <f>205.8</f>
      </c>
      <c r="L146" s="10">
        <f>1.5</f>
      </c>
      <c r="M146" s="21">
        <f>6464000000</f>
      </c>
      <c r="N146" s="21">
        <f>884477000000</f>
      </c>
    </row>
    <row r="147">
      <c r="A147" s="22" t="s">
        <v>53</v>
      </c>
      <c r="B147" s="22" t="s">
        <v>140</v>
      </c>
      <c r="C147" s="22" t="s">
        <v>140</v>
      </c>
      <c r="D147" s="22" t="s">
        <v>100</v>
      </c>
      <c r="E147" s="22" t="s">
        <v>101</v>
      </c>
      <c r="F147" s="9">
        <f>46</f>
      </c>
      <c r="G147" s="10">
        <f>19.5</f>
      </c>
      <c r="H147" s="10">
        <f>0.9</f>
      </c>
      <c r="I147" s="11">
        <f>87.19</f>
      </c>
      <c r="J147" s="11">
        <f>1803.75</f>
      </c>
      <c r="K147" s="10">
        <f>33.7</f>
      </c>
      <c r="L147" s="10">
        <f>1.1</f>
      </c>
      <c r="M147" s="21">
        <f>20021000000</f>
      </c>
      <c r="N147" s="21">
        <f>602594000000</f>
      </c>
    </row>
    <row r="148">
      <c r="A148" s="22" t="s">
        <v>53</v>
      </c>
      <c r="B148" s="22" t="s">
        <v>140</v>
      </c>
      <c r="C148" s="22" t="s">
        <v>140</v>
      </c>
      <c r="D148" s="22" t="s">
        <v>102</v>
      </c>
      <c r="E148" s="22" t="s">
        <v>103</v>
      </c>
      <c r="F148" s="9">
        <f>14</f>
      </c>
      <c r="G148" s="10">
        <f>18.5</f>
      </c>
      <c r="H148" s="10">
        <f>0.5</f>
      </c>
      <c r="I148" s="11">
        <f>54.51</f>
      </c>
      <c r="J148" s="11">
        <f>2206.89</f>
      </c>
      <c r="K148" s="10">
        <f>82.4</f>
      </c>
      <c r="L148" s="10">
        <f>0.4</f>
      </c>
      <c r="M148" s="21">
        <f>1113000000</f>
      </c>
      <c r="N148" s="21">
        <f>253585000000</f>
      </c>
    </row>
    <row r="149">
      <c r="A149" s="22" t="s">
        <v>53</v>
      </c>
      <c r="B149" s="22" t="s">
        <v>140</v>
      </c>
      <c r="C149" s="22" t="s">
        <v>140</v>
      </c>
      <c r="D149" s="22" t="s">
        <v>104</v>
      </c>
      <c r="E149" s="22" t="s">
        <v>105</v>
      </c>
      <c r="F149" s="9">
        <f>13</f>
      </c>
      <c r="G149" s="10">
        <f>25.5</f>
      </c>
      <c r="H149" s="10">
        <f>1.9</f>
      </c>
      <c r="I149" s="11">
        <f>48.6</f>
      </c>
      <c r="J149" s="11">
        <f>650.17</f>
      </c>
      <c r="K149" s="10">
        <f>40.5</f>
      </c>
      <c r="L149" s="10">
        <f>2.2</f>
      </c>
      <c r="M149" s="21">
        <f>9011000000</f>
      </c>
      <c r="N149" s="21">
        <f>167813000000</f>
      </c>
    </row>
    <row r="150">
      <c r="A150" s="22" t="s">
        <v>53</v>
      </c>
      <c r="B150" s="22" t="s">
        <v>140</v>
      </c>
      <c r="C150" s="22" t="s">
        <v>140</v>
      </c>
      <c r="D150" s="22" t="s">
        <v>106</v>
      </c>
      <c r="E150" s="22" t="s">
        <v>107</v>
      </c>
      <c r="F150" s="9">
        <f>32</f>
      </c>
      <c r="G150" s="10">
        <f>25.2</f>
      </c>
      <c r="H150" s="10">
        <f>0.7</f>
      </c>
      <c r="I150" s="11">
        <f>49.85</f>
      </c>
      <c r="J150" s="11">
        <f>1838.22</f>
      </c>
      <c r="K150" s="10">
        <f>30.2</f>
      </c>
      <c r="L150" s="10">
        <f>0.9</f>
      </c>
      <c r="M150" s="21">
        <f>6306000000</f>
      </c>
      <c r="N150" s="21">
        <f>203817000000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15.3</f>
      </c>
      <c r="H152" s="10">
        <f>0.4</f>
      </c>
      <c r="I152" s="11">
        <f>116.04</f>
      </c>
      <c r="J152" s="11">
        <f>3953.73</f>
      </c>
      <c r="K152" s="10">
        <f>13.2</f>
      </c>
      <c r="L152" s="10">
        <f>0.6</f>
      </c>
      <c r="M152" s="21">
        <f>3744000000</f>
      </c>
      <c r="N152" s="21">
        <f>87062000000</f>
      </c>
    </row>
    <row r="153">
      <c r="A153" s="22" t="s">
        <v>53</v>
      </c>
      <c r="B153" s="22" t="s">
        <v>140</v>
      </c>
      <c r="C153" s="22" t="s">
        <v>140</v>
      </c>
      <c r="D153" s="22" t="s">
        <v>112</v>
      </c>
      <c r="E153" s="22" t="s">
        <v>113</v>
      </c>
      <c r="F153" s="9">
        <f>1</f>
      </c>
      <c r="G153" s="10">
        <f>"－"</f>
      </c>
      <c r="H153" s="10">
        <f>1.8</f>
      </c>
      <c r="I153" s="11">
        <f>-53.81</f>
      </c>
      <c r="J153" s="11">
        <f>118.95</f>
      </c>
      <c r="K153" s="10">
        <f>"－"</f>
      </c>
      <c r="L153" s="10">
        <f>1.8</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10.2</f>
      </c>
      <c r="H155" s="10">
        <f>0.8</f>
      </c>
      <c r="I155" s="11">
        <f>52.68</f>
      </c>
      <c r="J155" s="11">
        <f>665.67</f>
      </c>
      <c r="K155" s="10">
        <f>10.7</f>
      </c>
      <c r="L155" s="10">
        <f>0.8</f>
      </c>
      <c r="M155" s="21">
        <f>1152000000</f>
      </c>
      <c r="N155" s="21">
        <f>15564000000</f>
      </c>
    </row>
    <row r="156">
      <c r="A156" s="22" t="s">
        <v>53</v>
      </c>
      <c r="B156" s="22" t="s">
        <v>140</v>
      </c>
      <c r="C156" s="22" t="s">
        <v>140</v>
      </c>
      <c r="D156" s="22" t="s">
        <v>118</v>
      </c>
      <c r="E156" s="22" t="s">
        <v>119</v>
      </c>
      <c r="F156" s="9">
        <f>98</f>
      </c>
      <c r="G156" s="10">
        <f>21.1</f>
      </c>
      <c r="H156" s="10">
        <f>1.9</f>
      </c>
      <c r="I156" s="11">
        <f>70.8</f>
      </c>
      <c r="J156" s="11">
        <f>803.97</f>
      </c>
      <c r="K156" s="10">
        <f>36.7</f>
      </c>
      <c r="L156" s="10">
        <f>2.4</f>
      </c>
      <c r="M156" s="21">
        <f>43104475545</f>
      </c>
      <c r="N156" s="21">
        <f>670075484000</f>
      </c>
    </row>
    <row r="157">
      <c r="A157" s="22" t="s">
        <v>53</v>
      </c>
      <c r="B157" s="22" t="s">
        <v>140</v>
      </c>
      <c r="C157" s="22" t="s">
        <v>140</v>
      </c>
      <c r="D157" s="22" t="s">
        <v>120</v>
      </c>
      <c r="E157" s="22" t="s">
        <v>121</v>
      </c>
      <c r="F157" s="9">
        <f>83</f>
      </c>
      <c r="G157" s="10">
        <f>14.6</f>
      </c>
      <c r="H157" s="10">
        <f>0.7</f>
      </c>
      <c r="I157" s="11">
        <f>104.62</f>
      </c>
      <c r="J157" s="11">
        <f>2200.13</f>
      </c>
      <c r="K157" s="10">
        <f>19.4</f>
      </c>
      <c r="L157" s="10">
        <f>0.9</f>
      </c>
      <c r="M157" s="21">
        <f>34208000000</f>
      </c>
      <c r="N157" s="21">
        <f>718952000000</f>
      </c>
    </row>
    <row r="158">
      <c r="A158" s="22" t="s">
        <v>53</v>
      </c>
      <c r="B158" s="22" t="s">
        <v>140</v>
      </c>
      <c r="C158" s="22" t="s">
        <v>140</v>
      </c>
      <c r="D158" s="22" t="s">
        <v>122</v>
      </c>
      <c r="E158" s="22" t="s">
        <v>123</v>
      </c>
      <c r="F158" s="9">
        <f>83</f>
      </c>
      <c r="G158" s="10">
        <f>56.4</f>
      </c>
      <c r="H158" s="10">
        <f>1.3</f>
      </c>
      <c r="I158" s="11">
        <f>26.13</f>
      </c>
      <c r="J158" s="11">
        <f>1136.67</f>
      </c>
      <c r="K158" s="10">
        <f>52.1</f>
      </c>
      <c r="L158" s="10">
        <f>2.7</f>
      </c>
      <c r="M158" s="21">
        <f>46224673000</f>
      </c>
      <c r="N158" s="21">
        <f>888468597000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12</f>
      </c>
      <c r="G160" s="10">
        <f>9.2</f>
      </c>
      <c r="H160" s="10">
        <f>0.7</f>
      </c>
      <c r="I160" s="11">
        <f>76.87</f>
      </c>
      <c r="J160" s="11">
        <f>954.26</f>
      </c>
      <c r="K160" s="10">
        <f>9</f>
      </c>
      <c r="L160" s="10">
        <f>1</f>
      </c>
      <c r="M160" s="21">
        <f>19811000000</f>
      </c>
      <c r="N160" s="21">
        <f>178480000000</f>
      </c>
    </row>
    <row r="161">
      <c r="A161" s="22" t="s">
        <v>53</v>
      </c>
      <c r="B161" s="22" t="s">
        <v>140</v>
      </c>
      <c r="C161" s="22" t="s">
        <v>140</v>
      </c>
      <c r="D161" s="22" t="s">
        <v>128</v>
      </c>
      <c r="E161" s="22" t="s">
        <v>129</v>
      </c>
      <c r="F161" s="9">
        <f>1</f>
      </c>
      <c r="G161" s="10">
        <f>15.2</f>
      </c>
      <c r="H161" s="10">
        <f>3.9</f>
      </c>
      <c r="I161" s="11">
        <f>151.64</f>
      </c>
      <c r="J161" s="11">
        <f>591.51</f>
      </c>
      <c r="K161" s="10">
        <f>15.2</f>
      </c>
      <c r="L161" s="10">
        <f>3.9</f>
      </c>
      <c r="M161" s="21">
        <f>2743000000</f>
      </c>
      <c r="N161" s="21">
        <f>10700000000</f>
      </c>
    </row>
    <row r="162">
      <c r="A162" s="22" t="s">
        <v>53</v>
      </c>
      <c r="B162" s="22" t="s">
        <v>140</v>
      </c>
      <c r="C162" s="22" t="s">
        <v>140</v>
      </c>
      <c r="D162" s="22" t="s">
        <v>130</v>
      </c>
      <c r="E162" s="22" t="s">
        <v>131</v>
      </c>
      <c r="F162" s="9">
        <f>3</f>
      </c>
      <c r="G162" s="10">
        <f>10.1</f>
      </c>
      <c r="H162" s="10">
        <f>0.6</f>
      </c>
      <c r="I162" s="11">
        <f>29.34</f>
      </c>
      <c r="J162" s="11">
        <f>459.11</f>
      </c>
      <c r="K162" s="10">
        <f>"－"</f>
      </c>
      <c r="L162" s="10">
        <f>0.4</f>
      </c>
      <c r="M162" s="21">
        <f>-361000000</f>
      </c>
      <c r="N162" s="21">
        <f>22970000000</f>
      </c>
    </row>
    <row r="163">
      <c r="A163" s="22" t="s">
        <v>53</v>
      </c>
      <c r="B163" s="22" t="s">
        <v>140</v>
      </c>
      <c r="C163" s="22" t="s">
        <v>140</v>
      </c>
      <c r="D163" s="22" t="s">
        <v>132</v>
      </c>
      <c r="E163" s="22" t="s">
        <v>133</v>
      </c>
      <c r="F163" s="9">
        <f>27</f>
      </c>
      <c r="G163" s="10">
        <f>12.8</f>
      </c>
      <c r="H163" s="10">
        <f>0.8</f>
      </c>
      <c r="I163" s="11">
        <f>65.43</f>
      </c>
      <c r="J163" s="11">
        <f>1082.92</f>
      </c>
      <c r="K163" s="10">
        <f>10</f>
      </c>
      <c r="L163" s="10">
        <f>1</f>
      </c>
      <c r="M163" s="21">
        <f>25310000000</f>
      </c>
      <c r="N163" s="21">
        <f>260382846500</f>
      </c>
    </row>
    <row r="164">
      <c r="A164" s="22" t="s">
        <v>53</v>
      </c>
      <c r="B164" s="22" t="s">
        <v>140</v>
      </c>
      <c r="C164" s="22" t="s">
        <v>140</v>
      </c>
      <c r="D164" s="22" t="s">
        <v>134</v>
      </c>
      <c r="E164" s="22" t="s">
        <v>135</v>
      </c>
      <c r="F164" s="9">
        <f>101</f>
      </c>
      <c r="G164" s="10">
        <f>24.2</f>
      </c>
      <c r="H164" s="10">
        <f>1.2</f>
      </c>
      <c r="I164" s="11">
        <f>49.18</f>
      </c>
      <c r="J164" s="11">
        <f>973.13</f>
      </c>
      <c r="K164" s="10">
        <f>31.9</f>
      </c>
      <c r="L164" s="10">
        <f>1.8</f>
      </c>
      <c r="M164" s="21">
        <f>27983000000</f>
      </c>
      <c r="N164" s="21">
        <f>496126054810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1808</f>
      </c>
      <c r="E6" s="23">
        <f>27.3</f>
      </c>
      <c r="F6" s="23">
        <f>1.5</f>
      </c>
      <c r="G6" s="11">
        <f>83.88</f>
      </c>
      <c r="H6" s="11">
        <f>1499.66</f>
      </c>
      <c r="I6" s="23">
        <f>29.6</f>
      </c>
      <c r="J6" s="23">
        <f>2</f>
      </c>
      <c r="K6" s="24">
        <f>16905398148533</f>
      </c>
      <c r="L6" s="24">
        <f>253829362730641</f>
      </c>
    </row>
    <row r="7">
      <c r="A7" s="22" t="s">
        <v>53</v>
      </c>
      <c r="B7" s="22" t="s">
        <v>136</v>
      </c>
      <c r="C7" s="22" t="s">
        <v>137</v>
      </c>
      <c r="D7" s="9">
        <f>413</f>
      </c>
      <c r="E7" s="23">
        <f>17.5</f>
      </c>
      <c r="F7" s="23">
        <f>0.8</f>
      </c>
      <c r="G7" s="11">
        <f>76.09</f>
      </c>
      <c r="H7" s="11">
        <f>1763.3</f>
      </c>
      <c r="I7" s="23">
        <f>27.3</f>
      </c>
      <c r="J7" s="23">
        <f>1.2</f>
      </c>
      <c r="K7" s="24">
        <f>212755145800</f>
      </c>
      <c r="L7" s="24">
        <f>4965414766000</f>
      </c>
    </row>
    <row r="8">
      <c r="A8" s="22" t="s">
        <v>53</v>
      </c>
      <c r="B8" s="22" t="s">
        <v>138</v>
      </c>
      <c r="C8" s="22" t="s">
        <v>139</v>
      </c>
      <c r="D8" s="9">
        <f>278</f>
      </c>
      <c r="E8" s="23">
        <f>232.9</f>
      </c>
      <c r="F8" s="23">
        <f>7.3</f>
      </c>
      <c r="G8" s="11">
        <f>10.39</f>
      </c>
      <c r="H8" s="11">
        <f>333.43</f>
      </c>
      <c r="I8" s="23">
        <f>"－"</f>
      </c>
      <c r="J8" s="23">
        <f>8.2</f>
      </c>
      <c r="K8" s="24">
        <f>-62598552235</f>
      </c>
      <c r="L8" s="24">
        <f>969774313782</f>
      </c>
    </row>
    <row r="9">
      <c r="A9" s="22" t="s">
        <v>53</v>
      </c>
      <c r="B9" s="22" t="s">
        <v>140</v>
      </c>
      <c r="C9" s="22" t="s">
        <v>140</v>
      </c>
      <c r="D9" s="9">
        <f>585</f>
      </c>
      <c r="E9" s="23">
        <f>21.7</f>
      </c>
      <c r="F9" s="23">
        <f>1</f>
      </c>
      <c r="G9" s="11">
        <f>69.28</f>
      </c>
      <c r="H9" s="11">
        <f>1450.08</f>
      </c>
      <c r="I9" s="23">
        <f>42.9</f>
      </c>
      <c r="J9" s="23">
        <f>1.6</f>
      </c>
      <c r="K9" s="24">
        <f>190487981364</f>
      </c>
      <c r="L9" s="24">
        <f>4989219702310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