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2495" windowWidth="26715" xWindow="720" yWindow="345"/>
  </bookViews>
  <sheets>
    <sheet name="規模別・業種別（連結）" r:id="rId1" sheetId="1"/>
    <sheet name="市場別（単体）" r:id="rId2" sheetId="2"/>
  </sheets>
  <definedNames>
    <definedName localSheetId="0" name="_xlnm.Print_Titles">'規模別・業種別（連結）'!$1:$4</definedName>
    <definedName localSheetId="1" name="_xlnm.Print_Titles">'市場別（単体）'!$1:$5</definedName>
  </definedNames>
  <calcPr calcId="145621"/>
</workbook>
</file>

<file path=xl/sharedStrings.xml><?xml version="1.0" encoding="utf-8"?>
<sst xmlns="http://schemas.openxmlformats.org/spreadsheetml/2006/main" count="871" uniqueCount="141">
  <si>
    <t>規模別・業種別　PER・PBR（連結）</t>
    <rPh eb="3" sb="0">
      <t>キボベツ</t>
    </rPh>
    <rPh eb="6" sb="4">
      <t>ギョウシュ</t>
    </rPh>
    <rPh eb="7" sb="6">
      <t>ベツ</t>
    </rPh>
    <rPh eb="18" sb="16">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</si>
  <si>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</si>
  <si>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</si>
  <si>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</si>
  <si>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eb="2" sb="0">
      <t>ネンゲツ</t>
    </rPh>
    <phoneticPr fontId="3"/>
  </si>
  <si>
    <t>市場区分名</t>
  </si>
  <si>
    <t>Section</t>
    <phoneticPr fontId="6"/>
  </si>
  <si>
    <t>種別</t>
    <rPh eb="2" sb="0">
      <t>シュベツ</t>
    </rPh>
    <phoneticPr fontId="3"/>
  </si>
  <si>
    <t>Industry</t>
    <phoneticPr fontId="2"/>
  </si>
  <si>
    <t>会社数</t>
    <rPh eb="2" sb="0">
      <t>カイシャ</t>
    </rPh>
    <rPh eb="3" sb="2">
      <t>スウ</t>
    </rPh>
    <phoneticPr fontId="3"/>
  </si>
  <si>
    <t>単純＿PER（倍）</t>
    <rPh eb="2" sb="0">
      <t>タンジュン</t>
    </rPh>
    <rPh eb="8" sb="7">
      <t>バイ</t>
    </rPh>
    <phoneticPr fontId="3"/>
  </si>
  <si>
    <t>単純＿PBR（倍）</t>
    <rPh eb="2" sb="0">
      <t>タンジュン</t>
    </rPh>
    <rPh eb="8" sb="7">
      <t>バイ</t>
    </rPh>
    <phoneticPr fontId="3"/>
  </si>
  <si>
    <t>単純＿1株当たり
当期純利益（円）</t>
    <rPh eb="2" sb="0">
      <t>タンジュン</t>
    </rPh>
    <rPh eb="5" sb="4">
      <t>カブ</t>
    </rPh>
    <rPh eb="6" sb="5">
      <t>ア</t>
    </rPh>
    <rPh eb="11" sb="9">
      <t>トウキ</t>
    </rPh>
    <rPh eb="14" sb="11">
      <t>ジュンリエキ</t>
    </rPh>
    <rPh eb="16" sb="15">
      <t>エン</t>
    </rPh>
    <phoneticPr fontId="3"/>
  </si>
  <si>
    <t>単純＿1株当たり
純資産（円）</t>
    <rPh eb="2" sb="0">
      <t>タンジュン</t>
    </rPh>
    <rPh eb="5" sb="4">
      <t>カブ</t>
    </rPh>
    <rPh eb="6" sb="5">
      <t>ア</t>
    </rPh>
    <rPh eb="12" sb="9">
      <t>ジュンシサン</t>
    </rPh>
    <rPh eb="14" sb="13">
      <t>エン</t>
    </rPh>
    <phoneticPr fontId="3"/>
  </si>
  <si>
    <t>加重＿PER（倍）</t>
    <rPh eb="2" sb="0">
      <t>カジュウ</t>
    </rPh>
    <rPh eb="8" sb="7">
      <t>バイ</t>
    </rPh>
    <phoneticPr fontId="3"/>
  </si>
  <si>
    <t>加重＿PBR（倍）</t>
    <rPh eb="2" sb="0">
      <t>カジュウ</t>
    </rPh>
    <rPh eb="8" sb="7">
      <t>バイ</t>
    </rPh>
    <phoneticPr fontId="3"/>
  </si>
  <si>
    <t>加重＿親会社株主に帰属する
当期純利益合計（円）</t>
    <rPh eb="2" sb="0">
      <t>カジュウ</t>
    </rPh>
    <rPh eb="6" sb="3">
      <t>オヤガイシャ</t>
    </rPh>
    <rPh eb="8" sb="6">
      <t>カブヌシ</t>
    </rPh>
    <rPh eb="11" sb="9">
      <t>キゾク</t>
    </rPh>
    <rPh eb="16" sb="14">
      <t>トウキ</t>
    </rPh>
    <rPh eb="19" sb="16">
      <t>ジュンリエキ</t>
    </rPh>
    <rPh eb="21" sb="19">
      <t>ゴウケイ</t>
    </rPh>
    <rPh eb="23" sb="22">
      <t>エン</t>
    </rPh>
    <phoneticPr fontId="3"/>
  </si>
  <si>
    <t>加重＿純資産合計（円）</t>
    <rPh eb="2" sb="0">
      <t>カジュウ</t>
    </rPh>
    <rPh eb="6" sb="3">
      <t>ジュンシサン</t>
    </rPh>
    <rPh eb="8" sb="6">
      <t>ゴウケイ</t>
    </rPh>
    <rPh eb="10" sb="9">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</si>
  <si>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</si>
  <si>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</si>
  <si>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</si>
  <si>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</si>
  <si>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</si>
  <si>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</si>
  <si>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</si>
  <si>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</si>
  <si>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</si>
  <si>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</si>
  <si>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eb="2" sb="0">
      <t>シジョウ</t>
    </rPh>
    <rPh eb="3" sb="2">
      <t>ベツ</t>
    </rPh>
    <rPh eb="14" sb="12">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</si>
  <si>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</si>
  <si>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</si>
  <si>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</si>
  <si>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</si>
  <si>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</si>
  <si>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</si>
  <si>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</si>
  <si>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</si>
  <si>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</si>
  <si>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</si>
  <si>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</si>
  <si>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</si>
  <si>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</si>
  <si>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</si>
  <si>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</si>
  <si>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</si>
  <si>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</si>
  <si>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</si>
  <si>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</si>
  <si>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</si>
  <si>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3.本表の作成に当たって使用した親会社株主に帰属する当期純利益及び純資産は、2019年10月期～2020年9月期の確定数値である。</t>
  </si>
  <si>
    <t xml:space="preserve">       3.Figures of Net Income and Net Assets are based on the fixed figures during the term from October of 2019 to September of 2020.</t>
  </si>
  <si>
    <t xml:space="preserve">    2.本表の作成に当たって使用した当期純利益及び純資産は、2019年10月期～2020年9月期の確定数値である。</t>
  </si>
  <si>
    <t xml:space="preserve">         the term from October of 2019 to September of 2020.</t>
  </si>
  <si>
    <t>2020/12</t>
  </si>
  <si>
    <t>市場一部</t>
  </si>
  <si>
    <t>1st Section</t>
  </si>
  <si>
    <t>総合</t>
  </si>
  <si>
    <t>Composite</t>
  </si>
  <si>
    <t xml:space="preserve">　　　　　 大型株</t>
  </si>
  <si>
    <t xml:space="preserve">　　　　 Large </t>
  </si>
  <si>
    <t xml:space="preserve">　　　　　 中型株</t>
  </si>
  <si>
    <t xml:space="preserve">　　　　 Medium </t>
  </si>
  <si>
    <t xml:space="preserve">　　　　　 小型株</t>
  </si>
  <si>
    <t xml:space="preserve">　　　　 Small </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</si>
  <si>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</si>
  <si>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</si>
  <si>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</si>
  <si>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</si>
  <si>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</si>
  <si>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</si>
  <si>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</si>
  <si>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</si>
  <si>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</si>
  <si>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</si>
  <si>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</si>
  <si>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</si>
  <si>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</si>
  <si>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</si>
  <si>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</si>
  <si>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</si>
  <si>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</si>
  <si>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</si>
  <si>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</si>
  <si>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</si>
  <si>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</si>
  <si>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</si>
  <si>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</si>
  <si>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</si>
  <si>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</si>
  <si>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</si>
  <si>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</si>
  <si>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</si>
  <si>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</si>
  <si>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</si>
  <si>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</si>
  <si>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</si>
  <si>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</si>
  <si>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</si>
  <si>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</si>
  <si>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</si>
  <si>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</si>
  <si>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</si>
  <si>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</si>
  <si>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</si>
  <si>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</si>
  <si>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</si>
  <si>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</si>
  <si>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</si>
  <si>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</si>
  <si>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</si>
  <si>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</si>
  <si>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</si>
  <si>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</si>
  <si>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</si>
  <si>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</si>
  <si>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</si>
  <si>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t>
  </si>
  <si>
    <t>24 Warehousing &amp; Harbor Transportation Service</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</si>
  <si>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</si>
  <si>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</si>
  <si>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</si>
  <si>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</si>
  <si>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</si>
  <si>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</si>
  <si>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</si>
  <si>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</si>
  <si>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</si>
  <si>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</si>
  <si>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</si>
  <si>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</si>
  <si>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</si>
  <si>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</si>
  <si>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</si>
  <si>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</si>
  <si>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</si>
  <si>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</si>
  <si>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市場二部</t>
  </si>
  <si>
    <t>2nd Section</t>
  </si>
  <si>
    <t>マザーズ</t>
  </si>
  <si>
    <t>Mothers</t>
  </si>
  <si>
    <t>JASDAQ</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</si>
</sst>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Red]\-#,##0\ "/>
  </numFmts>
  <fonts count="10">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34">
    <xf borderId="0" fillId="0" fontId="0" numFmtId="0" xfId="0">
      <alignment vertical="center"/>
    </xf>
    <xf applyAlignment="1" applyBorder="1" applyFill="1" applyFont="1" applyNumberFormat="1" borderId="0" fillId="0" fontId="1" numFmtId="49" xfId="0">
      <alignment vertical="center"/>
    </xf>
    <xf applyBorder="1" applyFill="1" applyFont="1" borderId="0" fillId="0" fontId="4" numFmtId="0" xfId="0">
      <alignment vertical="center"/>
    </xf>
    <xf applyFont="1" borderId="0" fillId="0" fontId="7" numFmtId="0" xfId="0">
      <alignment vertical="center"/>
    </xf>
    <xf applyFont="1" applyNumberFormat="1" borderId="0" fillId="0" fontId="7" numFmtId="49" xfId="0">
      <alignment vertical="center"/>
    </xf>
    <xf applyFont="1" borderId="0" fillId="0" fontId="8" numFmtId="0" xfId="0">
      <alignment vertical="center"/>
    </xf>
    <xf applyAlignment="1" applyBorder="1" applyFill="1" applyFont="1" applyNumberFormat="1" borderId="1" fillId="0" fontId="4" numFmtId="49" xfId="0">
      <alignment vertical="center"/>
    </xf>
    <xf applyAlignment="1" applyBorder="1" applyFill="1" applyFont="1" applyNumberFormat="1" borderId="2" fillId="0" fontId="4" numFmtId="49" xfId="0">
      <alignment horizontal="center"/>
    </xf>
    <xf applyAlignment="1" applyBorder="1" applyFill="1" applyFont="1" applyNumberFormat="1" borderId="2" fillId="0" fontId="4" numFmtId="49" xfId="0">
      <alignment horizontal="center" wrapText="1"/>
    </xf>
    <xf applyAlignment="1" applyBorder="1" applyFont="1" applyNumberFormat="1" borderId="2" fillId="0" fontId="4" numFmtId="3" xfId="0">
      <alignment horizontal="right"/>
    </xf>
    <xf applyAlignment="1" applyBorder="1" applyFill="1" applyFont="1" applyNumberFormat="1" borderId="2" fillId="0" fontId="4" numFmtId="176" xfId="0">
      <alignment horizontal="right"/>
    </xf>
    <xf applyAlignment="1" applyBorder="1" applyFill="1" applyFont="1" applyNumberFormat="1" borderId="2" fillId="0" fontId="4" numFmtId="40" xfId="0">
      <alignment horizontal="right"/>
    </xf>
    <xf applyAlignment="1" applyBorder="1" applyFill="1" applyFont="1" applyNumberFormat="1" borderId="0" fillId="0" fontId="1" numFmtId="20" xfId="0">
      <alignment horizontal="left" vertical="center"/>
    </xf>
    <xf applyAlignment="1" applyBorder="1" applyFill="1" applyFont="1" borderId="0" fillId="0" fontId="5" numFmtId="0" xfId="0">
      <alignment wrapText="1"/>
    </xf>
    <xf applyBorder="1" applyFill="1" applyFont="1" applyNumberFormat="1" borderId="0" fillId="0" fontId="4" numFmtId="49" xfId="0">
      <alignment vertical="center"/>
    </xf>
    <xf applyAlignment="1" applyBorder="1" applyFill="1" applyFont="1" borderId="0" fillId="0" fontId="5" numFmtId="0" xfId="0">
      <alignment vertical="top" wrapText="1"/>
    </xf>
    <xf applyBorder="1" applyFill="1" applyFont="1" applyNumberFormat="1" borderId="1" fillId="0" fontId="4" numFmtId="49" xfId="0">
      <alignment vertical="center"/>
    </xf>
    <xf applyAlignment="1" applyBorder="1" applyFill="1" applyFont="1" borderId="1" fillId="0" fontId="5" numFmtId="0" xfId="0">
      <alignment vertical="top" wrapText="1"/>
    </xf>
    <xf applyFill="1" applyFont="1" borderId="0" fillId="0" fontId="7" numFmtId="0" xfId="0">
      <alignment vertical="center"/>
    </xf>
    <xf applyFill="1" applyFont="1" applyNumberFormat="1" borderId="0" fillId="0" fontId="7" numFmtId="49" xfId="0">
      <alignment vertical="center"/>
    </xf>
    <xf applyFill="1" applyFont="1" borderId="0" fillId="0" fontId="8" numFmtId="0" xfId="0">
      <alignment vertical="center"/>
    </xf>
    <xf applyAlignment="1" applyBorder="1" applyFont="1" applyNumberFormat="1" borderId="2" fillId="0" fontId="4" numFmtId="177" xfId="0">
      <alignment horizontal="right"/>
    </xf>
    <xf applyAlignment="1" applyBorder="1" applyFont="1" applyNumberFormat="1" borderId="2" fillId="0" fontId="4" numFmtId="49" xfId="0"/>
    <xf applyAlignment="1" applyBorder="1" applyFont="1" applyNumberFormat="1" borderId="2" fillId="0" fontId="4" numFmtId="176" xfId="0">
      <alignment horizontal="right"/>
    </xf>
    <xf applyAlignment="1" applyBorder="1" applyFont="1" applyNumberFormat="1" borderId="2" fillId="0" fontId="4" numFmtId="38" xfId="0">
      <alignment horizontal="right"/>
    </xf>
    <xf applyAlignment="1" applyBorder="1" applyFill="1" applyFont="1" borderId="0" fillId="0" fontId="5" numFmtId="0" xfId="0">
      <alignment horizontal="left" wrapText="1"/>
    </xf>
    <xf applyAlignment="1" applyBorder="1" applyFill="1" applyFont="1" borderId="0" fillId="0" fontId="5" numFmtId="0" xfId="0">
      <alignment horizontal="left" vertical="top" wrapText="1"/>
    </xf>
    <xf applyAlignment="1" applyBorder="1" applyFill="1" applyFont="1" applyNumberFormat="1" borderId="1" fillId="0" fontId="5" numFmtId="49" xfId="0">
      <alignment vertical="top" wrapText="1"/>
    </xf>
    <xf applyAlignment="1" applyBorder="1" applyFill="1" applyFont="1" applyNumberFormat="1" borderId="1" fillId="0" fontId="5" numFmtId="49" xfId="0">
      <alignment vertical="top"/>
    </xf>
    <xf applyAlignment="1" applyBorder="1" applyFill="1" applyFont="1" applyNumberFormat="1" borderId="3" fillId="0" fontId="9" numFmtId="49" xfId="0">
      <alignment horizontal="center" vertical="center"/>
    </xf>
    <xf applyAlignment="1" applyBorder="1" applyFill="1" applyFont="1" applyNumberFormat="1" borderId="4" fillId="0" fontId="9" numFmtId="49" xfId="0">
      <alignment horizontal="center" vertical="center"/>
    </xf>
    <xf applyAlignment="1" applyBorder="1" applyFill="1" applyFont="1" applyNumberFormat="1" borderId="3" fillId="0" fontId="4" numFmtId="49" xfId="0">
      <alignment horizontal="center" vertical="center"/>
    </xf>
    <xf applyAlignment="1" applyBorder="1" applyFill="1" applyFont="1" applyNumberFormat="1" borderId="4" fillId="0" fontId="4" numFmtId="49" xfId="0">
      <alignment horizontal="center" vertical="center"/>
    </xf>
    <xf applyAlignment="1" applyBorder="1" applyFill="1" applyFont="1" applyNumberFormat="1" borderId="0" fillId="0" fontId="5" numFmtId="49" xfId="0">
      <alignment vertical="top" wrapText="1"/>
    </xf>
  </cellXfs>
  <cellStyles count="1">
    <cellStyle builtinId="0" name="標準"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1">
    <pageSetUpPr fitToPage="1"/>
  </sheetPr>
  <dimension ref="A1:AC164"/>
  <sheetViews>
    <sheetView showGridLines="0" tabSelected="1" workbookViewId="0" zoomScaleNormal="100" zoomScaleSheetLayoutView="55">
      <pane activePane="bottomLeft" state="frozen" topLeftCell="A5" ySplit="4"/>
      <selection activeCell="A5" pane="bottomLeft" sqref="A5"/>
    </sheetView>
  </sheetViews>
  <sheetFormatPr defaultRowHeight="13.5"/>
  <cols>
    <col min="1" max="1" customWidth="true" style="5" width="12.75" collapsed="true"/>
    <col min="2" max="2" bestFit="true" customWidth="true" style="5" width="9.0"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customHeight="1" ht="33.75" r="1" spans="1:28">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customHeight="1" ht="27" r="2" spans="1:28">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ht="24" r="3" spans="1:28">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ht="24" r="4" spans="1:28">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c r="A5" s="22" t="s">
        <v>53</v>
      </c>
      <c r="B5" s="22" t="s">
        <v>54</v>
      </c>
      <c r="C5" s="22" t="s">
        <v>55</v>
      </c>
      <c r="D5" s="22" t="s">
        <v>56</v>
      </c>
      <c r="E5" s="22" t="s">
        <v>57</v>
      </c>
      <c r="F5" s="9">
        <f>2181</f>
      </c>
      <c r="G5" s="10">
        <f>22.6</f>
      </c>
      <c r="H5" s="10">
        <f>1.3</f>
      </c>
      <c r="I5" s="11">
        <f>103.44</f>
      </c>
      <c r="J5" s="11">
        <f>1859.64</f>
      </c>
      <c r="K5" s="10">
        <f>22.8</f>
      </c>
      <c r="L5" s="10">
        <f>1.3</f>
      </c>
      <c r="M5" s="21">
        <f>29542297309390</f>
      </c>
      <c r="N5" s="21">
        <f>505734675619486</f>
      </c>
      <c r="O5" s="3"/>
      <c r="P5" s="3"/>
      <c r="Q5" s="4"/>
      <c r="R5" s="4"/>
      <c r="S5" s="4"/>
      <c r="T5" s="4"/>
      <c r="U5" s="4"/>
      <c r="V5" s="4"/>
      <c r="W5" s="4"/>
      <c r="X5" s="4"/>
      <c r="Y5" s="4"/>
      <c r="Z5" s="4"/>
      <c r="AA5" s="4"/>
    </row>
    <row r="6">
      <c r="A6" s="22" t="s">
        <v>53</v>
      </c>
      <c r="B6" s="22" t="s">
        <v>54</v>
      </c>
      <c r="C6" s="22" t="s">
        <v>55</v>
      </c>
      <c r="D6" s="22" t="s">
        <v>58</v>
      </c>
      <c r="E6" s="22" t="s">
        <v>59</v>
      </c>
      <c r="F6" s="9">
        <f>99</f>
      </c>
      <c r="G6" s="10">
        <f>29.8</f>
      </c>
      <c r="H6" s="10">
        <f>2.5</f>
      </c>
      <c r="I6" s="11">
        <f>270.6</f>
      </c>
      <c r="J6" s="11">
        <f>3256.88</f>
      </c>
      <c r="K6" s="10">
        <f>22.9</f>
      </c>
      <c r="L6" s="10">
        <f>1.4</f>
      </c>
      <c r="M6" s="21">
        <f>16799727000000</f>
      </c>
      <c r="N6" s="21">
        <f>268339581000000</f>
      </c>
    </row>
    <row r="7">
      <c r="A7" s="22" t="s">
        <v>53</v>
      </c>
      <c r="B7" s="22" t="s">
        <v>54</v>
      </c>
      <c r="C7" s="22" t="s">
        <v>55</v>
      </c>
      <c r="D7" s="22" t="s">
        <v>60</v>
      </c>
      <c r="E7" s="22" t="s">
        <v>61</v>
      </c>
      <c r="F7" s="9">
        <f>397</f>
      </c>
      <c r="G7" s="10">
        <f>24.1</f>
      </c>
      <c r="H7" s="10">
        <f>1.6</f>
      </c>
      <c r="I7" s="11">
        <f>147.86</f>
      </c>
      <c r="J7" s="11">
        <f>2244.85</f>
      </c>
      <c r="K7" s="10">
        <f>22.4</f>
      </c>
      <c r="L7" s="10">
        <f>1.3</f>
      </c>
      <c r="M7" s="21">
        <f>9296586782036</f>
      </c>
      <c r="N7" s="21">
        <f>161722570316446</f>
      </c>
    </row>
    <row r="8">
      <c r="A8" s="22" t="s">
        <v>53</v>
      </c>
      <c r="B8" s="22" t="s">
        <v>54</v>
      </c>
      <c r="C8" s="22" t="s">
        <v>55</v>
      </c>
      <c r="D8" s="22" t="s">
        <v>62</v>
      </c>
      <c r="E8" s="22" t="s">
        <v>63</v>
      </c>
      <c r="F8" s="9">
        <f>1674</f>
      </c>
      <c r="G8" s="10">
        <f>20.5</f>
      </c>
      <c r="H8" s="10">
        <f>1</f>
      </c>
      <c r="I8" s="11">
        <f>83.33</f>
      </c>
      <c r="J8" s="11">
        <f>1694.85</f>
      </c>
      <c r="K8" s="10">
        <f>22.9</f>
      </c>
      <c r="L8" s="10">
        <f>1</f>
      </c>
      <c r="M8" s="21">
        <f>3438984527354</f>
      </c>
      <c r="N8" s="21">
        <f>75606435303040</f>
      </c>
    </row>
    <row r="9">
      <c r="A9" s="22" t="s">
        <v>53</v>
      </c>
      <c r="B9" s="22" t="s">
        <v>54</v>
      </c>
      <c r="C9" s="22" t="s">
        <v>55</v>
      </c>
      <c r="D9" s="22" t="s">
        <v>64</v>
      </c>
      <c r="E9" s="22" t="s">
        <v>65</v>
      </c>
      <c r="F9" s="9">
        <f>2043</f>
      </c>
      <c r="G9" s="10">
        <f>23.6</f>
      </c>
      <c r="H9" s="10">
        <f>1.4</f>
      </c>
      <c r="I9" s="11">
        <f>102.11</f>
      </c>
      <c r="J9" s="11">
        <f>1756.65</f>
      </c>
      <c r="K9" s="10">
        <f>25.4</f>
      </c>
      <c r="L9" s="10">
        <f>1.5</f>
      </c>
      <c r="M9" s="21">
        <f>24541868578987</f>
      </c>
      <c r="N9" s="21">
        <f>404958425056786</f>
      </c>
    </row>
    <row r="10">
      <c r="A10" s="22" t="s">
        <v>53</v>
      </c>
      <c r="B10" s="22" t="s">
        <v>54</v>
      </c>
      <c r="C10" s="22" t="s">
        <v>55</v>
      </c>
      <c r="D10" s="22" t="s">
        <v>66</v>
      </c>
      <c r="E10" s="22" t="s">
        <v>67</v>
      </c>
      <c r="F10" s="9">
        <f>913</f>
      </c>
      <c r="G10" s="10">
        <f>26.8</f>
      </c>
      <c r="H10" s="10">
        <f>1.2</f>
      </c>
      <c r="I10" s="11">
        <f>98.73</f>
      </c>
      <c r="J10" s="11">
        <f>2142.04</f>
      </c>
      <c r="K10" s="10">
        <f>29.4</f>
      </c>
      <c r="L10" s="10">
        <f>1.6</f>
      </c>
      <c r="M10" s="21">
        <f>12514212516527</f>
      </c>
      <c r="N10" s="21">
        <f>226038395685786</f>
      </c>
    </row>
    <row r="11">
      <c r="A11" s="22" t="s">
        <v>53</v>
      </c>
      <c r="B11" s="22" t="s">
        <v>54</v>
      </c>
      <c r="C11" s="22" t="s">
        <v>55</v>
      </c>
      <c r="D11" s="22" t="s">
        <v>68</v>
      </c>
      <c r="E11" s="22" t="s">
        <v>69</v>
      </c>
      <c r="F11" s="9">
        <f>1130</f>
      </c>
      <c r="G11" s="10">
        <f>21.2</f>
      </c>
      <c r="H11" s="10">
        <f>1.5</f>
      </c>
      <c r="I11" s="11">
        <f>104.84</f>
      </c>
      <c r="J11" s="11">
        <f>1445.27</f>
      </c>
      <c r="K11" s="10">
        <f>21.2</f>
      </c>
      <c r="L11" s="10">
        <f>1.4</f>
      </c>
      <c r="M11" s="21">
        <f>12027656062460</f>
      </c>
      <c r="N11" s="21">
        <f>178920029371000</f>
      </c>
    </row>
    <row r="12">
      <c r="A12" s="22" t="s">
        <v>53</v>
      </c>
      <c r="B12" s="22" t="s">
        <v>54</v>
      </c>
      <c r="C12" s="22" t="s">
        <v>55</v>
      </c>
      <c r="D12" s="22" t="s">
        <v>70</v>
      </c>
      <c r="E12" s="22" t="s">
        <v>71</v>
      </c>
      <c r="F12" s="9">
        <f>8</f>
      </c>
      <c r="G12" s="10">
        <f>17.4</f>
      </c>
      <c r="H12" s="10">
        <f>1.2</f>
      </c>
      <c r="I12" s="11">
        <f>109.62</f>
      </c>
      <c r="J12" s="11">
        <f>1640.83</f>
      </c>
      <c r="K12" s="10">
        <f>14.4</f>
      </c>
      <c r="L12" s="10">
        <f>1.1</f>
      </c>
      <c r="M12" s="21">
        <f>42658000000</f>
      </c>
      <c r="N12" s="21">
        <f>550439000000</f>
      </c>
    </row>
    <row r="13">
      <c r="A13" s="22" t="s">
        <v>53</v>
      </c>
      <c r="B13" s="22" t="s">
        <v>54</v>
      </c>
      <c r="C13" s="22" t="s">
        <v>55</v>
      </c>
      <c r="D13" s="22" t="s">
        <v>72</v>
      </c>
      <c r="E13" s="22" t="s">
        <v>73</v>
      </c>
      <c r="F13" s="9">
        <f>6</f>
      </c>
      <c r="G13" s="10">
        <f>7.7</f>
      </c>
      <c r="H13" s="10">
        <f>0.4</f>
      </c>
      <c r="I13" s="11">
        <f>234.25</f>
      </c>
      <c r="J13" s="11">
        <f>4646.41</f>
      </c>
      <c r="K13" s="10">
        <f>5.1</f>
      </c>
      <c r="L13" s="10">
        <f>0.3</f>
      </c>
      <c r="M13" s="21">
        <f>202102053333</f>
      </c>
      <c r="N13" s="21">
        <f>3966544720000</f>
      </c>
    </row>
    <row r="14">
      <c r="A14" s="22" t="s">
        <v>53</v>
      </c>
      <c r="B14" s="22" t="s">
        <v>54</v>
      </c>
      <c r="C14" s="22" t="s">
        <v>55</v>
      </c>
      <c r="D14" s="22" t="s">
        <v>74</v>
      </c>
      <c r="E14" s="22" t="s">
        <v>75</v>
      </c>
      <c r="F14" s="9">
        <f>100</f>
      </c>
      <c r="G14" s="10">
        <f>9.3</f>
      </c>
      <c r="H14" s="10">
        <f>0.9</f>
      </c>
      <c r="I14" s="11">
        <f>202.48</f>
      </c>
      <c r="J14" s="11">
        <f>2220.55</f>
      </c>
      <c r="K14" s="10">
        <f>8.9</f>
      </c>
      <c r="L14" s="10">
        <f>1</f>
      </c>
      <c r="M14" s="21">
        <f>1630057000000</f>
      </c>
      <c r="N14" s="21">
        <f>15085405978000</f>
      </c>
    </row>
    <row r="15">
      <c r="A15" s="22" t="s">
        <v>53</v>
      </c>
      <c r="B15" s="22" t="s">
        <v>54</v>
      </c>
      <c r="C15" s="22" t="s">
        <v>55</v>
      </c>
      <c r="D15" s="22" t="s">
        <v>76</v>
      </c>
      <c r="E15" s="22" t="s">
        <v>77</v>
      </c>
      <c r="F15" s="9">
        <f>83</f>
      </c>
      <c r="G15" s="10">
        <f>23.5</f>
      </c>
      <c r="H15" s="10">
        <f>1.3</f>
      </c>
      <c r="I15" s="11">
        <f>116.12</f>
      </c>
      <c r="J15" s="11">
        <f>2049.6</f>
      </c>
      <c r="K15" s="10">
        <f>22.1</f>
      </c>
      <c r="L15" s="10">
        <f>1.6</f>
      </c>
      <c r="M15" s="21">
        <f>1107763666667</f>
      </c>
      <c r="N15" s="21">
        <f>14954146316446</f>
      </c>
    </row>
    <row r="16">
      <c r="A16" s="22" t="s">
        <v>53</v>
      </c>
      <c r="B16" s="22" t="s">
        <v>54</v>
      </c>
      <c r="C16" s="22" t="s">
        <v>55</v>
      </c>
      <c r="D16" s="22" t="s">
        <v>78</v>
      </c>
      <c r="E16" s="22" t="s">
        <v>79</v>
      </c>
      <c r="F16" s="9">
        <f>40</f>
      </c>
      <c r="G16" s="10">
        <f>31.3</f>
      </c>
      <c r="H16" s="10">
        <f>0.7</f>
      </c>
      <c r="I16" s="11">
        <f>43.19</f>
      </c>
      <c r="J16" s="11">
        <f>1877.21</f>
      </c>
      <c r="K16" s="10">
        <f>31.6</f>
      </c>
      <c r="L16" s="10">
        <f>0.9</f>
      </c>
      <c r="M16" s="21">
        <f>94707940769</f>
      </c>
      <c r="N16" s="21">
        <f>3434430369340</f>
      </c>
    </row>
    <row r="17">
      <c r="A17" s="22" t="s">
        <v>53</v>
      </c>
      <c r="B17" s="22" t="s">
        <v>54</v>
      </c>
      <c r="C17" s="22" t="s">
        <v>55</v>
      </c>
      <c r="D17" s="22" t="s">
        <v>80</v>
      </c>
      <c r="E17" s="22" t="s">
        <v>81</v>
      </c>
      <c r="F17" s="9">
        <f>12</f>
      </c>
      <c r="G17" s="10">
        <f>13.4</f>
      </c>
      <c r="H17" s="10">
        <f>0.7</f>
      </c>
      <c r="I17" s="11">
        <f>107.6</f>
      </c>
      <c r="J17" s="11">
        <f>2145.56</f>
      </c>
      <c r="K17" s="10">
        <f>11.2</f>
      </c>
      <c r="L17" s="10">
        <f>0.7</f>
      </c>
      <c r="M17" s="21">
        <f>142607000000</f>
      </c>
      <c r="N17" s="21">
        <f>2226524000000</f>
      </c>
    </row>
    <row r="18">
      <c r="A18" s="22" t="s">
        <v>53</v>
      </c>
      <c r="B18" s="22" t="s">
        <v>54</v>
      </c>
      <c r="C18" s="22" t="s">
        <v>55</v>
      </c>
      <c r="D18" s="22" t="s">
        <v>82</v>
      </c>
      <c r="E18" s="22" t="s">
        <v>83</v>
      </c>
      <c r="F18" s="9">
        <f>147</f>
      </c>
      <c r="G18" s="10">
        <f>22.5</f>
      </c>
      <c r="H18" s="10">
        <f>1.4</f>
      </c>
      <c r="I18" s="11">
        <f>122.71</f>
      </c>
      <c r="J18" s="11">
        <f>2043.35</f>
      </c>
      <c r="K18" s="10">
        <f>24.3</f>
      </c>
      <c r="L18" s="10">
        <f>1.8</f>
      </c>
      <c r="M18" s="21">
        <f>2020736000000</f>
      </c>
      <c r="N18" s="21">
        <f>27435537000000</f>
      </c>
    </row>
    <row r="19">
      <c r="A19" s="22" t="s">
        <v>53</v>
      </c>
      <c r="B19" s="22" t="s">
        <v>54</v>
      </c>
      <c r="C19" s="22" t="s">
        <v>55</v>
      </c>
      <c r="D19" s="22" t="s">
        <v>84</v>
      </c>
      <c r="E19" s="22" t="s">
        <v>85</v>
      </c>
      <c r="F19" s="9">
        <f>38</f>
      </c>
      <c r="G19" s="10">
        <f>20.3</f>
      </c>
      <c r="H19" s="10">
        <f>1.5</f>
      </c>
      <c r="I19" s="11">
        <f>154.68</f>
      </c>
      <c r="J19" s="11">
        <f>2109.33</f>
      </c>
      <c r="K19" s="10">
        <f>32.2</f>
      </c>
      <c r="L19" s="10">
        <f>2.5</f>
      </c>
      <c r="M19" s="21">
        <f>1280725000000</f>
      </c>
      <c r="N19" s="21">
        <f>16624787000000</f>
      </c>
    </row>
    <row r="20">
      <c r="A20" s="22" t="s">
        <v>53</v>
      </c>
      <c r="B20" s="22" t="s">
        <v>54</v>
      </c>
      <c r="C20" s="22" t="s">
        <v>55</v>
      </c>
      <c r="D20" s="22" t="s">
        <v>86</v>
      </c>
      <c r="E20" s="22" t="s">
        <v>87</v>
      </c>
      <c r="F20" s="9">
        <f>9</f>
      </c>
      <c r="G20" s="10">
        <f>"－"</f>
      </c>
      <c r="H20" s="10">
        <f>0.6</f>
      </c>
      <c r="I20" s="11">
        <f>-54.43</f>
      </c>
      <c r="J20" s="11">
        <f>1794.55</f>
      </c>
      <c r="K20" s="10">
        <f>"－"</f>
      </c>
      <c r="L20" s="10">
        <f>0.5</f>
      </c>
      <c r="M20" s="21">
        <f>-261859000000</f>
      </c>
      <c r="N20" s="21">
        <f>4473724000000</f>
      </c>
    </row>
    <row r="21">
      <c r="A21" s="22" t="s">
        <v>53</v>
      </c>
      <c r="B21" s="22" t="s">
        <v>54</v>
      </c>
      <c r="C21" s="22" t="s">
        <v>55</v>
      </c>
      <c r="D21" s="22" t="s">
        <v>88</v>
      </c>
      <c r="E21" s="22" t="s">
        <v>89</v>
      </c>
      <c r="F21" s="9">
        <f>11</f>
      </c>
      <c r="G21" s="10">
        <f>12</f>
      </c>
      <c r="H21" s="10">
        <f>0.7</f>
      </c>
      <c r="I21" s="11">
        <f>133.46</f>
      </c>
      <c r="J21" s="11">
        <f>2164.7</f>
      </c>
      <c r="K21" s="10">
        <f>8.9</f>
      </c>
      <c r="L21" s="10">
        <f>0.9</f>
      </c>
      <c r="M21" s="21">
        <f>388486000000</f>
      </c>
      <c r="N21" s="21">
        <f>4000523000000</f>
      </c>
    </row>
    <row r="22">
      <c r="A22" s="22" t="s">
        <v>53</v>
      </c>
      <c r="B22" s="22" t="s">
        <v>54</v>
      </c>
      <c r="C22" s="22" t="s">
        <v>55</v>
      </c>
      <c r="D22" s="22" t="s">
        <v>90</v>
      </c>
      <c r="E22" s="22" t="s">
        <v>91</v>
      </c>
      <c r="F22" s="9">
        <f>33</f>
      </c>
      <c r="G22" s="10">
        <f>13.8</f>
      </c>
      <c r="H22" s="10">
        <f>0.9</f>
      </c>
      <c r="I22" s="11">
        <f>174.14</f>
      </c>
      <c r="J22" s="11">
        <f>2805.99</f>
      </c>
      <c r="K22" s="10">
        <f>20.7</f>
      </c>
      <c r="L22" s="10">
        <f>1</f>
      </c>
      <c r="M22" s="21">
        <f>243433000000</f>
      </c>
      <c r="N22" s="21">
        <f>5119632000000</f>
      </c>
    </row>
    <row r="23">
      <c r="A23" s="22" t="s">
        <v>53</v>
      </c>
      <c r="B23" s="22" t="s">
        <v>54</v>
      </c>
      <c r="C23" s="22" t="s">
        <v>55</v>
      </c>
      <c r="D23" s="22" t="s">
        <v>92</v>
      </c>
      <c r="E23" s="22" t="s">
        <v>93</v>
      </c>
      <c r="F23" s="9">
        <f>31</f>
      </c>
      <c r="G23" s="10">
        <f>25.9</f>
      </c>
      <c r="H23" s="10">
        <f>0.5</f>
      </c>
      <c r="I23" s="11">
        <f>58.1</f>
      </c>
      <c r="J23" s="11">
        <f>3255.73</f>
      </c>
      <c r="K23" s="10">
        <f>"－"</f>
      </c>
      <c r="L23" s="10">
        <f>0.5</f>
      </c>
      <c r="M23" s="21">
        <f>-663710000000</f>
      </c>
      <c r="N23" s="21">
        <f>8551392000000</f>
      </c>
    </row>
    <row r="24">
      <c r="A24" s="22" t="s">
        <v>53</v>
      </c>
      <c r="B24" s="22" t="s">
        <v>54</v>
      </c>
      <c r="C24" s="22" t="s">
        <v>55</v>
      </c>
      <c r="D24" s="22" t="s">
        <v>94</v>
      </c>
      <c r="E24" s="22" t="s">
        <v>95</v>
      </c>
      <c r="F24" s="9">
        <f>24</f>
      </c>
      <c r="G24" s="10">
        <f>73</f>
      </c>
      <c r="H24" s="10">
        <f>0.8</f>
      </c>
      <c r="I24" s="11">
        <f>26.22</f>
      </c>
      <c r="J24" s="11">
        <f>2357.33</f>
      </c>
      <c r="K24" s="10">
        <f>46.6</f>
      </c>
      <c r="L24" s="10">
        <f>0.8</f>
      </c>
      <c r="M24" s="21">
        <f>92270000000</f>
      </c>
      <c r="N24" s="21">
        <f>5416525000000</f>
      </c>
    </row>
    <row r="25">
      <c r="A25" s="22" t="s">
        <v>53</v>
      </c>
      <c r="B25" s="22" t="s">
        <v>54</v>
      </c>
      <c r="C25" s="22" t="s">
        <v>55</v>
      </c>
      <c r="D25" s="22" t="s">
        <v>96</v>
      </c>
      <c r="E25" s="22" t="s">
        <v>97</v>
      </c>
      <c r="F25" s="9">
        <f>42</f>
      </c>
      <c r="G25" s="10">
        <f>16.5</f>
      </c>
      <c r="H25" s="10">
        <f>0.7</f>
      </c>
      <c r="I25" s="11">
        <f>110.65</f>
      </c>
      <c r="J25" s="11">
        <f>2604.59</f>
      </c>
      <c r="K25" s="10">
        <f>23.3</f>
      </c>
      <c r="L25" s="10">
        <f>0.9</f>
      </c>
      <c r="M25" s="21">
        <f>167597000000</f>
      </c>
      <c r="N25" s="21">
        <f>4121954000000</f>
      </c>
    </row>
    <row r="26">
      <c r="A26" s="22" t="s">
        <v>53</v>
      </c>
      <c r="B26" s="22" t="s">
        <v>54</v>
      </c>
      <c r="C26" s="22" t="s">
        <v>55</v>
      </c>
      <c r="D26" s="22" t="s">
        <v>98</v>
      </c>
      <c r="E26" s="22" t="s">
        <v>99</v>
      </c>
      <c r="F26" s="9">
        <f>141</f>
      </c>
      <c r="G26" s="10">
        <f>26.3</f>
      </c>
      <c r="H26" s="10">
        <f>1.3</f>
      </c>
      <c r="I26" s="11">
        <f>107.79</f>
      </c>
      <c r="J26" s="11">
        <f>2128.41</f>
      </c>
      <c r="K26" s="10">
        <f>27</f>
      </c>
      <c r="L26" s="10">
        <f>1.8</f>
      </c>
      <c r="M26" s="21">
        <f>1277692000000</f>
      </c>
      <c r="N26" s="21">
        <f>19674138000000</f>
      </c>
    </row>
    <row r="27">
      <c r="A27" s="22" t="s">
        <v>53</v>
      </c>
      <c r="B27" s="22" t="s">
        <v>54</v>
      </c>
      <c r="C27" s="22" t="s">
        <v>55</v>
      </c>
      <c r="D27" s="22" t="s">
        <v>100</v>
      </c>
      <c r="E27" s="22" t="s">
        <v>101</v>
      </c>
      <c r="F27" s="9">
        <f>158</f>
      </c>
      <c r="G27" s="10">
        <f>39.4</f>
      </c>
      <c r="H27" s="10">
        <f>1.8</f>
      </c>
      <c r="I27" s="11">
        <f>89.8</f>
      </c>
      <c r="J27" s="11">
        <f>2005.36</f>
      </c>
      <c r="K27" s="10">
        <f>34</f>
      </c>
      <c r="L27" s="10">
        <f>2.4</f>
      </c>
      <c r="M27" s="21">
        <f>3083860000000</f>
      </c>
      <c r="N27" s="21">
        <f>44342473000000</f>
      </c>
    </row>
    <row r="28">
      <c r="A28" s="22" t="s">
        <v>53</v>
      </c>
      <c r="B28" s="22" t="s">
        <v>54</v>
      </c>
      <c r="C28" s="22" t="s">
        <v>55</v>
      </c>
      <c r="D28" s="22" t="s">
        <v>102</v>
      </c>
      <c r="E28" s="22" t="s">
        <v>103</v>
      </c>
      <c r="F28" s="9">
        <f>59</f>
      </c>
      <c r="G28" s="10">
        <f>112.1</f>
      </c>
      <c r="H28" s="10">
        <f>0.8</f>
      </c>
      <c r="I28" s="11">
        <f>17.13</f>
      </c>
      <c r="J28" s="11">
        <f>2406.31</f>
      </c>
      <c r="K28" s="10">
        <f>21.1</f>
      </c>
      <c r="L28" s="10">
        <f>1</f>
      </c>
      <c r="M28" s="21">
        <f>2564134000000</f>
      </c>
      <c r="N28" s="21">
        <f>54451878000000</f>
      </c>
    </row>
    <row r="29">
      <c r="A29" s="22" t="s">
        <v>53</v>
      </c>
      <c r="B29" s="22" t="s">
        <v>54</v>
      </c>
      <c r="C29" s="22" t="s">
        <v>55</v>
      </c>
      <c r="D29" s="22" t="s">
        <v>104</v>
      </c>
      <c r="E29" s="22" t="s">
        <v>105</v>
      </c>
      <c r="F29" s="9">
        <f>33</f>
      </c>
      <c r="G29" s="10">
        <f>29.7</f>
      </c>
      <c r="H29" s="10">
        <f>1.8</f>
      </c>
      <c r="I29" s="11">
        <f>81.99</f>
      </c>
      <c r="J29" s="11">
        <f>1363.35</f>
      </c>
      <c r="K29" s="10">
        <f>49.3</f>
      </c>
      <c r="L29" s="10">
        <f>4</f>
      </c>
      <c r="M29" s="21">
        <f>324646000000</f>
      </c>
      <c r="N29" s="21">
        <f>3990461000000</f>
      </c>
    </row>
    <row r="30">
      <c r="A30" s="22" t="s">
        <v>53</v>
      </c>
      <c r="B30" s="22" t="s">
        <v>54</v>
      </c>
      <c r="C30" s="22" t="s">
        <v>55</v>
      </c>
      <c r="D30" s="22" t="s">
        <v>106</v>
      </c>
      <c r="E30" s="22" t="s">
        <v>107</v>
      </c>
      <c r="F30" s="9">
        <f>52</f>
      </c>
      <c r="G30" s="10">
        <f>24</f>
      </c>
      <c r="H30" s="10">
        <f>1.6</f>
      </c>
      <c r="I30" s="11">
        <f>128.14</f>
      </c>
      <c r="J30" s="11">
        <f>1939.13</f>
      </c>
      <c r="K30" s="10">
        <f>24.7</f>
      </c>
      <c r="L30" s="10">
        <f>2.2</f>
      </c>
      <c r="M30" s="21">
        <f>651123909091</f>
      </c>
      <c r="N30" s="21">
        <f>7220271000000</f>
      </c>
    </row>
    <row r="31">
      <c r="A31" s="22" t="s">
        <v>53</v>
      </c>
      <c r="B31" s="22" t="s">
        <v>54</v>
      </c>
      <c r="C31" s="22" t="s">
        <v>55</v>
      </c>
      <c r="D31" s="22" t="s">
        <v>108</v>
      </c>
      <c r="E31" s="22" t="s">
        <v>109</v>
      </c>
      <c r="F31" s="9">
        <f>22</f>
      </c>
      <c r="G31" s="10">
        <f>14.9</f>
      </c>
      <c r="H31" s="10">
        <f>0.9</f>
      </c>
      <c r="I31" s="11">
        <f>112.43</f>
      </c>
      <c r="J31" s="11">
        <f>1777.9</f>
      </c>
      <c r="K31" s="10">
        <f>10.6</f>
      </c>
      <c r="L31" s="10">
        <f>0.6</f>
      </c>
      <c r="M31" s="21">
        <f>733642000000</f>
      </c>
      <c r="N31" s="21">
        <f>12347892000000</f>
      </c>
    </row>
    <row r="32">
      <c r="A32" s="22" t="s">
        <v>53</v>
      </c>
      <c r="B32" s="22" t="s">
        <v>54</v>
      </c>
      <c r="C32" s="22" t="s">
        <v>55</v>
      </c>
      <c r="D32" s="22" t="s">
        <v>110</v>
      </c>
      <c r="E32" s="22" t="s">
        <v>111</v>
      </c>
      <c r="F32" s="9">
        <f>43</f>
      </c>
      <c r="G32" s="10">
        <f>15.3</f>
      </c>
      <c r="H32" s="10">
        <f>1.1</f>
      </c>
      <c r="I32" s="11">
        <f>225.97</f>
      </c>
      <c r="J32" s="11">
        <f>3121</f>
      </c>
      <c r="K32" s="10">
        <f>16.6</f>
      </c>
      <c r="L32" s="10">
        <f>1.2</f>
      </c>
      <c r="M32" s="21">
        <f>1312787000000</f>
      </c>
      <c r="N32" s="21">
        <f>18216244000000</f>
      </c>
    </row>
    <row r="33">
      <c r="A33" s="22" t="s">
        <v>53</v>
      </c>
      <c r="B33" s="22" t="s">
        <v>54</v>
      </c>
      <c r="C33" s="22" t="s">
        <v>55</v>
      </c>
      <c r="D33" s="22" t="s">
        <v>112</v>
      </c>
      <c r="E33" s="22" t="s">
        <v>113</v>
      </c>
      <c r="F33" s="9">
        <f>8</f>
      </c>
      <c r="G33" s="10">
        <f>10.4</f>
      </c>
      <c r="H33" s="10">
        <f>0.6</f>
      </c>
      <c r="I33" s="11">
        <f>139.71</f>
      </c>
      <c r="J33" s="11">
        <f>2313.92</f>
      </c>
      <c r="K33" s="10">
        <f>13.5</f>
      </c>
      <c r="L33" s="10">
        <f>0.7</f>
      </c>
      <c r="M33" s="21">
        <f>82654000000</f>
      </c>
      <c r="N33" s="21">
        <f>1578752000000</f>
      </c>
    </row>
    <row r="34">
      <c r="A34" s="22" t="s">
        <v>53</v>
      </c>
      <c r="B34" s="22" t="s">
        <v>54</v>
      </c>
      <c r="C34" s="22" t="s">
        <v>55</v>
      </c>
      <c r="D34" s="22" t="s">
        <v>114</v>
      </c>
      <c r="E34" s="22" t="s">
        <v>115</v>
      </c>
      <c r="F34" s="9">
        <f>3</f>
      </c>
      <c r="G34" s="10">
        <f>13.5</f>
      </c>
      <c r="H34" s="10">
        <f>0.9</f>
      </c>
      <c r="I34" s="11">
        <f>139.36</f>
      </c>
      <c r="J34" s="11">
        <f>2036.95</f>
      </c>
      <c r="K34" s="10">
        <f>23.1</f>
      </c>
      <c r="L34" s="10">
        <f>0.9</f>
      </c>
      <c r="M34" s="21">
        <f>84534000000</f>
      </c>
      <c r="N34" s="21">
        <f>2218656000000</f>
      </c>
    </row>
    <row r="35">
      <c r="A35" s="22" t="s">
        <v>53</v>
      </c>
      <c r="B35" s="22" t="s">
        <v>54</v>
      </c>
      <c r="C35" s="22" t="s">
        <v>55</v>
      </c>
      <c r="D35" s="22" t="s">
        <v>116</v>
      </c>
      <c r="E35" s="22" t="s">
        <v>117</v>
      </c>
      <c r="F35" s="9">
        <f>24</f>
      </c>
      <c r="G35" s="10">
        <f>13.9</f>
      </c>
      <c r="H35" s="10">
        <f>0.9</f>
      </c>
      <c r="I35" s="11">
        <f>118.37</f>
      </c>
      <c r="J35" s="11">
        <f>1882.27</f>
      </c>
      <c r="K35" s="10">
        <f>15.5</f>
      </c>
      <c r="L35" s="10">
        <f>0.8</f>
      </c>
      <c r="M35" s="21">
        <f>82545000000</f>
      </c>
      <c r="N35" s="21">
        <f>1523930000000</f>
      </c>
    </row>
    <row r="36">
      <c r="A36" s="22" t="s">
        <v>53</v>
      </c>
      <c r="B36" s="22" t="s">
        <v>54</v>
      </c>
      <c r="C36" s="22" t="s">
        <v>55</v>
      </c>
      <c r="D36" s="22" t="s">
        <v>118</v>
      </c>
      <c r="E36" s="22" t="s">
        <v>119</v>
      </c>
      <c r="F36" s="9">
        <f>232</f>
      </c>
      <c r="G36" s="10">
        <f>33.1</f>
      </c>
      <c r="H36" s="10">
        <f>3</f>
      </c>
      <c r="I36" s="11">
        <f>78.31</f>
      </c>
      <c r="J36" s="11">
        <f>871.86</f>
      </c>
      <c r="K36" s="10">
        <f>34.2</f>
      </c>
      <c r="L36" s="10">
        <f>2</f>
      </c>
      <c r="M36" s="21">
        <f>2290032600000</f>
      </c>
      <c r="N36" s="21">
        <f>38272797000000</f>
      </c>
    </row>
    <row r="37">
      <c r="A37" s="22" t="s">
        <v>53</v>
      </c>
      <c r="B37" s="22" t="s">
        <v>54</v>
      </c>
      <c r="C37" s="22" t="s">
        <v>55</v>
      </c>
      <c r="D37" s="22" t="s">
        <v>120</v>
      </c>
      <c r="E37" s="22" t="s">
        <v>121</v>
      </c>
      <c r="F37" s="9">
        <f>180</f>
      </c>
      <c r="G37" s="10">
        <f>14.2</f>
      </c>
      <c r="H37" s="10">
        <f>0.9</f>
      </c>
      <c r="I37" s="11">
        <f>132.16</f>
      </c>
      <c r="J37" s="11">
        <f>2019.64</f>
      </c>
      <c r="K37" s="10">
        <f>12.2</f>
      </c>
      <c r="L37" s="10">
        <f>0.9</f>
      </c>
      <c r="M37" s="21">
        <f>2294676000000</f>
      </c>
      <c r="N37" s="21">
        <f>30687041000000</f>
      </c>
    </row>
    <row r="38">
      <c r="A38" s="22" t="s">
        <v>53</v>
      </c>
      <c r="B38" s="22" t="s">
        <v>54</v>
      </c>
      <c r="C38" s="22" t="s">
        <v>55</v>
      </c>
      <c r="D38" s="22" t="s">
        <v>122</v>
      </c>
      <c r="E38" s="22" t="s">
        <v>123</v>
      </c>
      <c r="F38" s="9">
        <f>201</f>
      </c>
      <c r="G38" s="10">
        <f>36.3</f>
      </c>
      <c r="H38" s="10">
        <f>2</f>
      </c>
      <c r="I38" s="11">
        <f>73.76</f>
      </c>
      <c r="J38" s="11">
        <f>1371.14</f>
      </c>
      <c r="K38" s="10">
        <f>36.8</f>
      </c>
      <c r="L38" s="10">
        <f>2.1</f>
      </c>
      <c r="M38" s="21">
        <f>1124583418400</f>
      </c>
      <c r="N38" s="21">
        <f>19335075000000</f>
      </c>
    </row>
    <row r="39">
      <c r="A39" s="22" t="s">
        <v>53</v>
      </c>
      <c r="B39" s="22" t="s">
        <v>54</v>
      </c>
      <c r="C39" s="22" t="s">
        <v>55</v>
      </c>
      <c r="D39" s="22" t="s">
        <v>124</v>
      </c>
      <c r="E39" s="22" t="s">
        <v>125</v>
      </c>
      <c r="F39" s="9">
        <f>81</f>
      </c>
      <c r="G39" s="10">
        <f>10</f>
      </c>
      <c r="H39" s="10">
        <f>0.3</f>
      </c>
      <c r="I39" s="11">
        <f>122.18</f>
      </c>
      <c r="J39" s="11">
        <f>4502.57</f>
      </c>
      <c r="K39" s="10">
        <f>8.6</f>
      </c>
      <c r="L39" s="10">
        <f>0.4</f>
      </c>
      <c r="M39" s="21">
        <f>3104084875858</f>
      </c>
      <c r="N39" s="21">
        <f>72386704562700</f>
      </c>
    </row>
    <row r="40">
      <c r="A40" s="22" t="s">
        <v>53</v>
      </c>
      <c r="B40" s="22" t="s">
        <v>54</v>
      </c>
      <c r="C40" s="22" t="s">
        <v>55</v>
      </c>
      <c r="D40" s="22" t="s">
        <v>126</v>
      </c>
      <c r="E40" s="22" t="s">
        <v>127</v>
      </c>
      <c r="F40" s="9">
        <f>23</f>
      </c>
      <c r="G40" s="10">
        <f>18.1</f>
      </c>
      <c r="H40" s="10">
        <f>0.8</f>
      </c>
      <c r="I40" s="11">
        <f>44.65</f>
      </c>
      <c r="J40" s="11">
        <f>1051</f>
      </c>
      <c r="K40" s="10">
        <f>12</f>
      </c>
      <c r="L40" s="10">
        <f>0.8</f>
      </c>
      <c r="M40" s="21">
        <f>355045000000</f>
      </c>
      <c r="N40" s="21">
        <f>5683810000000</f>
      </c>
    </row>
    <row r="41">
      <c r="A41" s="22" t="s">
        <v>53</v>
      </c>
      <c r="B41" s="22" t="s">
        <v>54</v>
      </c>
      <c r="C41" s="22" t="s">
        <v>55</v>
      </c>
      <c r="D41" s="22" t="s">
        <v>128</v>
      </c>
      <c r="E41" s="22" t="s">
        <v>129</v>
      </c>
      <c r="F41" s="9">
        <f>8</f>
      </c>
      <c r="G41" s="10">
        <f>14.4</f>
      </c>
      <c r="H41" s="10">
        <f>0.9</f>
      </c>
      <c r="I41" s="11">
        <f>177.78</f>
      </c>
      <c r="J41" s="11">
        <f>2818.8</f>
      </c>
      <c r="K41" s="10">
        <f>14.2</f>
      </c>
      <c r="L41" s="10">
        <f>0.8</f>
      </c>
      <c r="M41" s="21">
        <f>777756000000</f>
      </c>
      <c r="N41" s="21">
        <f>14390679000000</f>
      </c>
    </row>
    <row r="42">
      <c r="A42" s="22" t="s">
        <v>53</v>
      </c>
      <c r="B42" s="22" t="s">
        <v>54</v>
      </c>
      <c r="C42" s="22" t="s">
        <v>55</v>
      </c>
      <c r="D42" s="22" t="s">
        <v>130</v>
      </c>
      <c r="E42" s="22" t="s">
        <v>131</v>
      </c>
      <c r="F42" s="9">
        <f>26</f>
      </c>
      <c r="G42" s="10">
        <f>11.2</f>
      </c>
      <c r="H42" s="10">
        <f>0.9</f>
      </c>
      <c r="I42" s="11">
        <f>178.43</f>
      </c>
      <c r="J42" s="11">
        <f>2138.41</f>
      </c>
      <c r="K42" s="10">
        <f>10.5</f>
      </c>
      <c r="L42" s="10">
        <f>1</f>
      </c>
      <c r="M42" s="21">
        <f>763542854545</f>
      </c>
      <c r="N42" s="21">
        <f>8315057000000</f>
      </c>
    </row>
    <row r="43">
      <c r="A43" s="22" t="s">
        <v>53</v>
      </c>
      <c r="B43" s="22" t="s">
        <v>54</v>
      </c>
      <c r="C43" s="22" t="s">
        <v>55</v>
      </c>
      <c r="D43" s="22" t="s">
        <v>132</v>
      </c>
      <c r="E43" s="22" t="s">
        <v>133</v>
      </c>
      <c r="F43" s="9">
        <f>71</f>
      </c>
      <c r="G43" s="10">
        <f>12.4</f>
      </c>
      <c r="H43" s="10">
        <f>1.1</f>
      </c>
      <c r="I43" s="11">
        <f>112.7</f>
      </c>
      <c r="J43" s="11">
        <f>1230.79</f>
      </c>
      <c r="K43" s="10">
        <f>13.4</f>
      </c>
      <c r="L43" s="10">
        <f>1.1</f>
      </c>
      <c r="M43" s="21">
        <f>929969000000</f>
      </c>
      <c r="N43" s="21">
        <f>11504463000000</f>
      </c>
    </row>
    <row r="44">
      <c r="A44" s="22" t="s">
        <v>53</v>
      </c>
      <c r="B44" s="22" t="s">
        <v>54</v>
      </c>
      <c r="C44" s="22" t="s">
        <v>55</v>
      </c>
      <c r="D44" s="22" t="s">
        <v>134</v>
      </c>
      <c r="E44" s="22" t="s">
        <v>135</v>
      </c>
      <c r="F44" s="9">
        <f>232</f>
      </c>
      <c r="G44" s="10">
        <f>32.4</f>
      </c>
      <c r="H44" s="10">
        <f>2.4</f>
      </c>
      <c r="I44" s="11">
        <f>62.89</f>
      </c>
      <c r="J44" s="11">
        <f>854.25</f>
      </c>
      <c r="K44" s="10">
        <f>37.1</f>
      </c>
      <c r="L44" s="10">
        <f>1.9</f>
      </c>
      <c r="M44" s="21">
        <f>1217415990727</f>
      </c>
      <c r="N44" s="21">
        <f>23632789673000</f>
      </c>
    </row>
    <row r="45">
      <c r="A45" s="22" t="s">
        <v>53</v>
      </c>
      <c r="B45" s="22" t="s">
        <v>136</v>
      </c>
      <c r="C45" s="22" t="s">
        <v>137</v>
      </c>
      <c r="D45" s="22" t="s">
        <v>56</v>
      </c>
      <c r="E45" s="22" t="s">
        <v>57</v>
      </c>
      <c r="F45" s="9">
        <f>472</f>
      </c>
      <c r="G45" s="10">
        <f>15.7</f>
      </c>
      <c r="H45" s="10">
        <f>0.7</f>
      </c>
      <c r="I45" s="11">
        <f>85.68</f>
      </c>
      <c r="J45" s="11">
        <f>1969.5</f>
      </c>
      <c r="K45" s="10">
        <f>47.8</f>
      </c>
      <c r="L45" s="10">
        <f>0.9</f>
      </c>
      <c r="M45" s="21">
        <f>142684400800</f>
      </c>
      <c r="N45" s="21">
        <f>7480449858000</f>
      </c>
    </row>
    <row r="46">
      <c r="A46" s="22" t="s">
        <v>53</v>
      </c>
      <c r="B46" s="22" t="s">
        <v>136</v>
      </c>
      <c r="C46" s="22" t="s">
        <v>137</v>
      </c>
      <c r="D46" s="22" t="s">
        <v>58</v>
      </c>
      <c r="E46" s="22" t="s">
        <v>59</v>
      </c>
      <c r="F46" s="9">
        <f>"－"</f>
      </c>
      <c r="G46" s="10">
        <f>"－"</f>
      </c>
      <c r="H46" s="10">
        <f>"－"</f>
      </c>
      <c r="I46" s="11">
        <f>"－"</f>
      </c>
      <c r="J46" s="11">
        <f>"－"</f>
      </c>
      <c r="K46" s="10">
        <f>"－"</f>
      </c>
      <c r="L46" s="10">
        <f>"－"</f>
      </c>
      <c r="M46" s="21">
        <f>"－"</f>
      </c>
      <c r="N46" s="21">
        <f>"－"</f>
      </c>
    </row>
    <row r="47">
      <c r="A47" s="22" t="s">
        <v>53</v>
      </c>
      <c r="B47" s="22" t="s">
        <v>136</v>
      </c>
      <c r="C47" s="22" t="s">
        <v>137</v>
      </c>
      <c r="D47" s="22" t="s">
        <v>60</v>
      </c>
      <c r="E47" s="22" t="s">
        <v>61</v>
      </c>
      <c r="F47" s="9">
        <f>"－"</f>
      </c>
      <c r="G47" s="10">
        <f>"－"</f>
      </c>
      <c r="H47" s="10">
        <f>"－"</f>
      </c>
      <c r="I47" s="11">
        <f>"－"</f>
      </c>
      <c r="J47" s="11">
        <f>"－"</f>
      </c>
      <c r="K47" s="10">
        <f>"－"</f>
      </c>
      <c r="L47" s="10">
        <f>"－"</f>
      </c>
      <c r="M47" s="21">
        <f>"－"</f>
      </c>
      <c r="N47" s="21">
        <f>"－"</f>
      </c>
    </row>
    <row r="48">
      <c r="A48" s="22" t="s">
        <v>53</v>
      </c>
      <c r="B48" s="22" t="s">
        <v>136</v>
      </c>
      <c r="C48" s="22" t="s">
        <v>137</v>
      </c>
      <c r="D48" s="22" t="s">
        <v>62</v>
      </c>
      <c r="E48" s="22" t="s">
        <v>63</v>
      </c>
      <c r="F48" s="9">
        <f>"－"</f>
      </c>
      <c r="G48" s="10">
        <f>"－"</f>
      </c>
      <c r="H48" s="10">
        <f>"－"</f>
      </c>
      <c r="I48" s="11">
        <f>"－"</f>
      </c>
      <c r="J48" s="11">
        <f>"－"</f>
      </c>
      <c r="K48" s="10">
        <f>"－"</f>
      </c>
      <c r="L48" s="10">
        <f>"－"</f>
      </c>
      <c r="M48" s="21">
        <f>"－"</f>
      </c>
      <c r="N48" s="21">
        <f>"－"</f>
      </c>
    </row>
    <row r="49">
      <c r="A49" s="22" t="s">
        <v>53</v>
      </c>
      <c r="B49" s="22" t="s">
        <v>136</v>
      </c>
      <c r="C49" s="22" t="s">
        <v>137</v>
      </c>
      <c r="D49" s="22" t="s">
        <v>64</v>
      </c>
      <c r="E49" s="22" t="s">
        <v>65</v>
      </c>
      <c r="F49" s="9">
        <f>468</f>
      </c>
      <c r="G49" s="10">
        <f>15.7</f>
      </c>
      <c r="H49" s="10">
        <f>0.7</f>
      </c>
      <c r="I49" s="11">
        <f>86.48</f>
      </c>
      <c r="J49" s="11">
        <f>1983.06</f>
      </c>
      <c r="K49" s="10">
        <f>45.6</f>
      </c>
      <c r="L49" s="10">
        <f>0.9</f>
      </c>
      <c r="M49" s="21">
        <f>148509400800</f>
      </c>
      <c r="N49" s="21">
        <f>7340856858000</f>
      </c>
    </row>
    <row r="50">
      <c r="A50" s="22" t="s">
        <v>53</v>
      </c>
      <c r="B50" s="22" t="s">
        <v>136</v>
      </c>
      <c r="C50" s="22" t="s">
        <v>137</v>
      </c>
      <c r="D50" s="22" t="s">
        <v>66</v>
      </c>
      <c r="E50" s="22" t="s">
        <v>67</v>
      </c>
      <c r="F50" s="9">
        <f>250</f>
      </c>
      <c r="G50" s="10">
        <f>13.5</f>
      </c>
      <c r="H50" s="10">
        <f>0.6</f>
      </c>
      <c r="I50" s="11">
        <f>110.33</f>
      </c>
      <c r="J50" s="11">
        <f>2347.86</f>
      </c>
      <c r="K50" s="10">
        <f>75.1</f>
      </c>
      <c r="L50" s="10">
        <f>0.9</f>
      </c>
      <c r="M50" s="21">
        <f>55563130000</f>
      </c>
      <c r="N50" s="21">
        <f>4850524835000</f>
      </c>
    </row>
    <row r="51">
      <c r="A51" s="22" t="s">
        <v>53</v>
      </c>
      <c r="B51" s="22" t="s">
        <v>136</v>
      </c>
      <c r="C51" s="22" t="s">
        <v>137</v>
      </c>
      <c r="D51" s="22" t="s">
        <v>68</v>
      </c>
      <c r="E51" s="22" t="s">
        <v>69</v>
      </c>
      <c r="F51" s="9">
        <f>218</f>
      </c>
      <c r="G51" s="10">
        <f>20.3</f>
      </c>
      <c r="H51" s="10">
        <f>0.8</f>
      </c>
      <c r="I51" s="11">
        <f>59.12</f>
      </c>
      <c r="J51" s="11">
        <f>1564.7</f>
      </c>
      <c r="K51" s="10">
        <f>28.1</f>
      </c>
      <c r="L51" s="10">
        <f>1</f>
      </c>
      <c r="M51" s="21">
        <f>92946270800</f>
      </c>
      <c r="N51" s="21">
        <f>2490332023000</f>
      </c>
    </row>
    <row r="52">
      <c r="A52" s="22" t="s">
        <v>53</v>
      </c>
      <c r="B52" s="22" t="s">
        <v>136</v>
      </c>
      <c r="C52" s="22" t="s">
        <v>137</v>
      </c>
      <c r="D52" s="22" t="s">
        <v>70</v>
      </c>
      <c r="E52" s="22" t="s">
        <v>71</v>
      </c>
      <c r="F52" s="9">
        <f>"－"</f>
      </c>
      <c r="G52" s="10">
        <f>"－"</f>
      </c>
      <c r="H52" s="10">
        <f>"－"</f>
      </c>
      <c r="I52" s="11">
        <f>"－"</f>
      </c>
      <c r="J52" s="11">
        <f>"－"</f>
      </c>
      <c r="K52" s="10">
        <f>"－"</f>
      </c>
      <c r="L52" s="10">
        <f>"－"</f>
      </c>
      <c r="M52" s="21">
        <f>"－"</f>
      </c>
      <c r="N52" s="21">
        <f>"－"</f>
      </c>
    </row>
    <row r="53">
      <c r="A53" s="22" t="s">
        <v>53</v>
      </c>
      <c r="B53" s="22" t="s">
        <v>136</v>
      </c>
      <c r="C53" s="22" t="s">
        <v>137</v>
      </c>
      <c r="D53" s="22" t="s">
        <v>72</v>
      </c>
      <c r="E53" s="22" t="s">
        <v>73</v>
      </c>
      <c r="F53" s="9">
        <f>"－"</f>
      </c>
      <c r="G53" s="10">
        <f>"－"</f>
      </c>
      <c r="H53" s="10">
        <f>"－"</f>
      </c>
      <c r="I53" s="11">
        <f>"－"</f>
      </c>
      <c r="J53" s="11">
        <f>"－"</f>
      </c>
      <c r="K53" s="10">
        <f>"－"</f>
      </c>
      <c r="L53" s="10">
        <f>"－"</f>
      </c>
      <c r="M53" s="21">
        <f>"－"</f>
      </c>
      <c r="N53" s="21">
        <f>"－"</f>
      </c>
    </row>
    <row r="54">
      <c r="A54" s="22" t="s">
        <v>53</v>
      </c>
      <c r="B54" s="22" t="s">
        <v>136</v>
      </c>
      <c r="C54" s="22" t="s">
        <v>137</v>
      </c>
      <c r="D54" s="22" t="s">
        <v>74</v>
      </c>
      <c r="E54" s="22" t="s">
        <v>75</v>
      </c>
      <c r="F54" s="9">
        <f>21</f>
      </c>
      <c r="G54" s="10">
        <f>7</f>
      </c>
      <c r="H54" s="10">
        <f>0.6</f>
      </c>
      <c r="I54" s="11">
        <f>165.26</f>
      </c>
      <c r="J54" s="11">
        <f>2029.42</f>
      </c>
      <c r="K54" s="10">
        <f>8.8</f>
      </c>
      <c r="L54" s="10">
        <f>1.2</f>
      </c>
      <c r="M54" s="21">
        <f>28177632800</f>
      </c>
      <c r="N54" s="21">
        <f>204990000000</f>
      </c>
    </row>
    <row r="55">
      <c r="A55" s="22" t="s">
        <v>53</v>
      </c>
      <c r="B55" s="22" t="s">
        <v>136</v>
      </c>
      <c r="C55" s="22" t="s">
        <v>137</v>
      </c>
      <c r="D55" s="22" t="s">
        <v>76</v>
      </c>
      <c r="E55" s="22" t="s">
        <v>77</v>
      </c>
      <c r="F55" s="9">
        <f>23</f>
      </c>
      <c r="G55" s="10">
        <f>37</f>
      </c>
      <c r="H55" s="10">
        <f>1.3</f>
      </c>
      <c r="I55" s="11">
        <f>56.76</f>
      </c>
      <c r="J55" s="11">
        <f>1677.07</f>
      </c>
      <c r="K55" s="10">
        <f>27</f>
      </c>
      <c r="L55" s="10">
        <f>1.5</f>
      </c>
      <c r="M55" s="21">
        <f>19806930000</f>
      </c>
      <c r="N55" s="21">
        <f>358182835000</f>
      </c>
    </row>
    <row r="56">
      <c r="A56" s="22" t="s">
        <v>53</v>
      </c>
      <c r="B56" s="22" t="s">
        <v>136</v>
      </c>
      <c r="C56" s="22" t="s">
        <v>137</v>
      </c>
      <c r="D56" s="22" t="s">
        <v>78</v>
      </c>
      <c r="E56" s="22" t="s">
        <v>79</v>
      </c>
      <c r="F56" s="9">
        <f>12</f>
      </c>
      <c r="G56" s="10">
        <f>"－"</f>
      </c>
      <c r="H56" s="10">
        <f>0.5</f>
      </c>
      <c r="I56" s="11">
        <f>-48.98</f>
      </c>
      <c r="J56" s="11">
        <f>2134.58</f>
      </c>
      <c r="K56" s="10">
        <f>"－"</f>
      </c>
      <c r="L56" s="10">
        <f>0.6</f>
      </c>
      <c r="M56" s="21">
        <f>-2481000000</f>
      </c>
      <c r="N56" s="21">
        <f>90900000000</f>
      </c>
    </row>
    <row r="57">
      <c r="A57" s="22" t="s">
        <v>53</v>
      </c>
      <c r="B57" s="22" t="s">
        <v>136</v>
      </c>
      <c r="C57" s="22" t="s">
        <v>137</v>
      </c>
      <c r="D57" s="22" t="s">
        <v>80</v>
      </c>
      <c r="E57" s="22" t="s">
        <v>81</v>
      </c>
      <c r="F57" s="9">
        <f>5</f>
      </c>
      <c r="G57" s="10">
        <f>9</f>
      </c>
      <c r="H57" s="10">
        <f>0.5</f>
      </c>
      <c r="I57" s="11">
        <f>153.35</f>
      </c>
      <c r="J57" s="11">
        <f>2670.11</f>
      </c>
      <c r="K57" s="10">
        <f>14.4</f>
      </c>
      <c r="L57" s="10">
        <f>0.6</f>
      </c>
      <c r="M57" s="21">
        <f>3597000000</f>
      </c>
      <c r="N57" s="21">
        <f>92368000000</f>
      </c>
    </row>
    <row r="58">
      <c r="A58" s="22" t="s">
        <v>53</v>
      </c>
      <c r="B58" s="22" t="s">
        <v>136</v>
      </c>
      <c r="C58" s="22" t="s">
        <v>137</v>
      </c>
      <c r="D58" s="22" t="s">
        <v>82</v>
      </c>
      <c r="E58" s="22" t="s">
        <v>83</v>
      </c>
      <c r="F58" s="9">
        <f>32</f>
      </c>
      <c r="G58" s="10">
        <f>13.8</f>
      </c>
      <c r="H58" s="10">
        <f>0.7</f>
      </c>
      <c r="I58" s="11">
        <f>129.76</f>
      </c>
      <c r="J58" s="11">
        <f>2603.68</f>
      </c>
      <c r="K58" s="10">
        <f>13.6</f>
      </c>
      <c r="L58" s="10">
        <f>0.7</f>
      </c>
      <c r="M58" s="21">
        <f>29910000000</f>
      </c>
      <c r="N58" s="21">
        <f>577547000000</f>
      </c>
    </row>
    <row r="59">
      <c r="A59" s="22" t="s">
        <v>53</v>
      </c>
      <c r="B59" s="22" t="s">
        <v>136</v>
      </c>
      <c r="C59" s="22" t="s">
        <v>137</v>
      </c>
      <c r="D59" s="22" t="s">
        <v>84</v>
      </c>
      <c r="E59" s="22" t="s">
        <v>85</v>
      </c>
      <c r="F59" s="9">
        <f>2</f>
      </c>
      <c r="G59" s="10">
        <f>18.8</f>
      </c>
      <c r="H59" s="10">
        <f>1.1</f>
      </c>
      <c r="I59" s="11">
        <f>84.67</f>
      </c>
      <c r="J59" s="11">
        <f>1403.38</f>
      </c>
      <c r="K59" s="10">
        <f>16.8</f>
      </c>
      <c r="L59" s="10">
        <f>1.5</f>
      </c>
      <c r="M59" s="21">
        <f>1196000000</f>
      </c>
      <c r="N59" s="21">
        <f>13766000000</f>
      </c>
    </row>
    <row r="60">
      <c r="A60" s="22" t="s">
        <v>53</v>
      </c>
      <c r="B60" s="22" t="s">
        <v>136</v>
      </c>
      <c r="C60" s="22" t="s">
        <v>137</v>
      </c>
      <c r="D60" s="22" t="s">
        <v>86</v>
      </c>
      <c r="E60" s="22" t="s">
        <v>87</v>
      </c>
      <c r="F60" s="9">
        <f>2</f>
      </c>
      <c r="G60" s="10">
        <f>"－"</f>
      </c>
      <c r="H60" s="10">
        <f>1.1</f>
      </c>
      <c r="I60" s="11">
        <f>-64.61</f>
      </c>
      <c r="J60" s="11">
        <f>1299.59</f>
      </c>
      <c r="K60" s="10">
        <f>"－"</f>
      </c>
      <c r="L60" s="10">
        <f>1</f>
      </c>
      <c r="M60" s="21">
        <f>-1984800000</f>
      </c>
      <c r="N60" s="21">
        <f>36853000000</f>
      </c>
    </row>
    <row r="61">
      <c r="A61" s="22" t="s">
        <v>53</v>
      </c>
      <c r="B61" s="22" t="s">
        <v>136</v>
      </c>
      <c r="C61" s="22" t="s">
        <v>137</v>
      </c>
      <c r="D61" s="22" t="s">
        <v>88</v>
      </c>
      <c r="E61" s="22" t="s">
        <v>89</v>
      </c>
      <c r="F61" s="9">
        <f>6</f>
      </c>
      <c r="G61" s="10">
        <f>7.5</f>
      </c>
      <c r="H61" s="10">
        <f>0.6</f>
      </c>
      <c r="I61" s="11">
        <f>199.45</f>
      </c>
      <c r="J61" s="11">
        <f>2471.15</f>
      </c>
      <c r="K61" s="10">
        <f>9.4</f>
      </c>
      <c r="L61" s="10">
        <f>0.6</f>
      </c>
      <c r="M61" s="21">
        <f>8361000000</f>
      </c>
      <c r="N61" s="21">
        <f>139538000000</f>
      </c>
    </row>
    <row r="62">
      <c r="A62" s="22" t="s">
        <v>53</v>
      </c>
      <c r="B62" s="22" t="s">
        <v>136</v>
      </c>
      <c r="C62" s="22" t="s">
        <v>137</v>
      </c>
      <c r="D62" s="22" t="s">
        <v>90</v>
      </c>
      <c r="E62" s="22" t="s">
        <v>91</v>
      </c>
      <c r="F62" s="9">
        <f>13</f>
      </c>
      <c r="G62" s="10">
        <f>8</f>
      </c>
      <c r="H62" s="10">
        <f>0.6</f>
      </c>
      <c r="I62" s="11">
        <f>190.94</f>
      </c>
      <c r="J62" s="11">
        <f>2427.83</f>
      </c>
      <c r="K62" s="10">
        <f>7.1</f>
      </c>
      <c r="L62" s="10">
        <f>0.7</f>
      </c>
      <c r="M62" s="21">
        <f>15684000000</f>
      </c>
      <c r="N62" s="21">
        <f>163552000000</f>
      </c>
    </row>
    <row r="63">
      <c r="A63" s="22" t="s">
        <v>53</v>
      </c>
      <c r="B63" s="22" t="s">
        <v>136</v>
      </c>
      <c r="C63" s="22" t="s">
        <v>137</v>
      </c>
      <c r="D63" s="22" t="s">
        <v>92</v>
      </c>
      <c r="E63" s="22" t="s">
        <v>93</v>
      </c>
      <c r="F63" s="9">
        <f>9</f>
      </c>
      <c r="G63" s="10">
        <f>8</f>
      </c>
      <c r="H63" s="10">
        <f>0.3</f>
      </c>
      <c r="I63" s="11">
        <f>97.01</f>
      </c>
      <c r="J63" s="11">
        <f>2280.72</f>
      </c>
      <c r="K63" s="10">
        <f>8.6</f>
      </c>
      <c r="L63" s="10">
        <f>0.4</f>
      </c>
      <c r="M63" s="21">
        <f>4915000000</f>
      </c>
      <c r="N63" s="21">
        <f>109717000000</f>
      </c>
    </row>
    <row r="64">
      <c r="A64" s="22" t="s">
        <v>53</v>
      </c>
      <c r="B64" s="22" t="s">
        <v>136</v>
      </c>
      <c r="C64" s="22" t="s">
        <v>137</v>
      </c>
      <c r="D64" s="22" t="s">
        <v>94</v>
      </c>
      <c r="E64" s="22" t="s">
        <v>95</v>
      </c>
      <c r="F64" s="9">
        <f>6</f>
      </c>
      <c r="G64" s="10">
        <f>12</f>
      </c>
      <c r="H64" s="10">
        <f>0.7</f>
      </c>
      <c r="I64" s="11">
        <f>87.34</f>
      </c>
      <c r="J64" s="11">
        <f>1566.89</f>
      </c>
      <c r="K64" s="10">
        <f>21.8</f>
      </c>
      <c r="L64" s="10">
        <f>0.7</f>
      </c>
      <c r="M64" s="21">
        <f>1419000000</f>
      </c>
      <c r="N64" s="21">
        <f>44297000000</f>
      </c>
    </row>
    <row r="65">
      <c r="A65" s="22" t="s">
        <v>53</v>
      </c>
      <c r="B65" s="22" t="s">
        <v>136</v>
      </c>
      <c r="C65" s="22" t="s">
        <v>137</v>
      </c>
      <c r="D65" s="22" t="s">
        <v>96</v>
      </c>
      <c r="E65" s="22" t="s">
        <v>97</v>
      </c>
      <c r="F65" s="9">
        <f>28</f>
      </c>
      <c r="G65" s="10">
        <f>6.4</f>
      </c>
      <c r="H65" s="10">
        <f>0.5</f>
      </c>
      <c r="I65" s="11">
        <f>261.7</f>
      </c>
      <c r="J65" s="11">
        <f>3178.46</f>
      </c>
      <c r="K65" s="10">
        <f>10.2</f>
      </c>
      <c r="L65" s="10">
        <f>0.6</f>
      </c>
      <c r="M65" s="21">
        <f>22074000000</f>
      </c>
      <c r="N65" s="21">
        <f>380700000000</f>
      </c>
    </row>
    <row r="66">
      <c r="A66" s="22" t="s">
        <v>53</v>
      </c>
      <c r="B66" s="22" t="s">
        <v>136</v>
      </c>
      <c r="C66" s="22" t="s">
        <v>137</v>
      </c>
      <c r="D66" s="22" t="s">
        <v>98</v>
      </c>
      <c r="E66" s="22" t="s">
        <v>99</v>
      </c>
      <c r="F66" s="9">
        <f>40</f>
      </c>
      <c r="G66" s="10">
        <f>15.7</f>
      </c>
      <c r="H66" s="10">
        <f>0.7</f>
      </c>
      <c r="I66" s="11">
        <f>109.8</f>
      </c>
      <c r="J66" s="11">
        <f>2433.68</f>
      </c>
      <c r="K66" s="10">
        <f>15</f>
      </c>
      <c r="L66" s="10">
        <f>0.8</f>
      </c>
      <c r="M66" s="21">
        <f>28478000000</f>
      </c>
      <c r="N66" s="21">
        <f>511025000000</f>
      </c>
    </row>
    <row r="67">
      <c r="A67" s="22" t="s">
        <v>53</v>
      </c>
      <c r="B67" s="22" t="s">
        <v>136</v>
      </c>
      <c r="C67" s="22" t="s">
        <v>137</v>
      </c>
      <c r="D67" s="22" t="s">
        <v>100</v>
      </c>
      <c r="E67" s="22" t="s">
        <v>101</v>
      </c>
      <c r="F67" s="9">
        <f>33</f>
      </c>
      <c r="G67" s="10">
        <f>27.7</f>
      </c>
      <c r="H67" s="10">
        <f>0.9</f>
      </c>
      <c r="I67" s="11">
        <f>45.01</f>
      </c>
      <c r="J67" s="11">
        <f>1324.67</f>
      </c>
      <c r="K67" s="10">
        <f>"－"</f>
      </c>
      <c r="L67" s="10">
        <f>1.2</f>
      </c>
      <c r="M67" s="21">
        <f>-99120000000</f>
      </c>
      <c r="N67" s="21">
        <f>1401130000000</f>
      </c>
    </row>
    <row r="68">
      <c r="A68" s="22" t="s">
        <v>53</v>
      </c>
      <c r="B68" s="22" t="s">
        <v>136</v>
      </c>
      <c r="C68" s="22" t="s">
        <v>137</v>
      </c>
      <c r="D68" s="22" t="s">
        <v>102</v>
      </c>
      <c r="E68" s="22" t="s">
        <v>103</v>
      </c>
      <c r="F68" s="9">
        <f>16</f>
      </c>
      <c r="G68" s="10">
        <f>11.4</f>
      </c>
      <c r="H68" s="10">
        <f>0.3</f>
      </c>
      <c r="I68" s="11">
        <f>95.45</f>
      </c>
      <c r="J68" s="11">
        <f>3155.42</f>
      </c>
      <c r="K68" s="10">
        <f>16.9</f>
      </c>
      <c r="L68" s="10">
        <f>0.4</f>
      </c>
      <c r="M68" s="21">
        <f>14450000000</f>
      </c>
      <c r="N68" s="21">
        <f>681254000000</f>
      </c>
    </row>
    <row r="69">
      <c r="A69" s="22" t="s">
        <v>53</v>
      </c>
      <c r="B69" s="22" t="s">
        <v>136</v>
      </c>
      <c r="C69" s="22" t="s">
        <v>137</v>
      </c>
      <c r="D69" s="22" t="s">
        <v>104</v>
      </c>
      <c r="E69" s="22" t="s">
        <v>105</v>
      </c>
      <c r="F69" s="9">
        <f>3</f>
      </c>
      <c r="G69" s="10">
        <f>"－"</f>
      </c>
      <c r="H69" s="10">
        <f>0.6</f>
      </c>
      <c r="I69" s="11">
        <f>-10.4</f>
      </c>
      <c r="J69" s="11">
        <f>3456.07</f>
      </c>
      <c r="K69" s="10">
        <f>24.6</f>
      </c>
      <c r="L69" s="10">
        <f>1</f>
      </c>
      <c r="M69" s="21">
        <f>1568000000</f>
      </c>
      <c r="N69" s="21">
        <f>39743000000</f>
      </c>
    </row>
    <row r="70">
      <c r="A70" s="22" t="s">
        <v>53</v>
      </c>
      <c r="B70" s="22" t="s">
        <v>136</v>
      </c>
      <c r="C70" s="22" t="s">
        <v>137</v>
      </c>
      <c r="D70" s="22" t="s">
        <v>106</v>
      </c>
      <c r="E70" s="22" t="s">
        <v>107</v>
      </c>
      <c r="F70" s="9">
        <f>20</f>
      </c>
      <c r="G70" s="10">
        <f>8.9</f>
      </c>
      <c r="H70" s="10">
        <f>0.4</f>
      </c>
      <c r="I70" s="11">
        <f>106.46</f>
      </c>
      <c r="J70" s="11">
        <f>2673.69</f>
      </c>
      <c r="K70" s="10">
        <f>16.4</f>
      </c>
      <c r="L70" s="10">
        <f>0.6</f>
      </c>
      <c r="M70" s="21">
        <f>7690000000</f>
      </c>
      <c r="N70" s="21">
        <f>209952000000</f>
      </c>
    </row>
    <row r="71">
      <c r="A71" s="22" t="s">
        <v>53</v>
      </c>
      <c r="B71" s="22" t="s">
        <v>136</v>
      </c>
      <c r="C71" s="22" t="s">
        <v>137</v>
      </c>
      <c r="D71" s="22" t="s">
        <v>108</v>
      </c>
      <c r="E71" s="22" t="s">
        <v>109</v>
      </c>
      <c r="F71" s="9">
        <f>2</f>
      </c>
      <c r="G71" s="10">
        <f>10.2</f>
      </c>
      <c r="H71" s="10">
        <f>0.4</f>
      </c>
      <c r="I71" s="11">
        <f>344.27</f>
      </c>
      <c r="J71" s="11">
        <f>8681.85</f>
      </c>
      <c r="K71" s="10">
        <f>9.4</f>
      </c>
      <c r="L71" s="10">
        <f>0.4</f>
      </c>
      <c r="M71" s="21">
        <f>6058000000</f>
      </c>
      <c r="N71" s="21">
        <f>128113000000</f>
      </c>
    </row>
    <row r="72">
      <c r="A72" s="22" t="s">
        <v>53</v>
      </c>
      <c r="B72" s="22" t="s">
        <v>136</v>
      </c>
      <c r="C72" s="22" t="s">
        <v>137</v>
      </c>
      <c r="D72" s="22" t="s">
        <v>110</v>
      </c>
      <c r="E72" s="22" t="s">
        <v>111</v>
      </c>
      <c r="F72" s="9">
        <f>10</f>
      </c>
      <c r="G72" s="10">
        <f>10.7</f>
      </c>
      <c r="H72" s="10">
        <f>0.5</f>
      </c>
      <c r="I72" s="11">
        <f>142.34</f>
      </c>
      <c r="J72" s="11">
        <f>3121.3</f>
      </c>
      <c r="K72" s="10">
        <f>12.7</f>
      </c>
      <c r="L72" s="10">
        <f>0.6</f>
      </c>
      <c r="M72" s="21">
        <f>10721000000</f>
      </c>
      <c r="N72" s="21">
        <f>239078000000</f>
      </c>
    </row>
    <row r="73">
      <c r="A73" s="22" t="s">
        <v>53</v>
      </c>
      <c r="B73" s="22" t="s">
        <v>136</v>
      </c>
      <c r="C73" s="22" t="s">
        <v>137</v>
      </c>
      <c r="D73" s="22" t="s">
        <v>112</v>
      </c>
      <c r="E73" s="22" t="s">
        <v>113</v>
      </c>
      <c r="F73" s="9">
        <f>4</f>
      </c>
      <c r="G73" s="10">
        <f>40.5</f>
      </c>
      <c r="H73" s="10">
        <f>0.4</f>
      </c>
      <c r="I73" s="11">
        <f>35.68</f>
      </c>
      <c r="J73" s="11">
        <f>3955.14</f>
      </c>
      <c r="K73" s="10">
        <f>16</f>
      </c>
      <c r="L73" s="10">
        <f>0.3</f>
      </c>
      <c r="M73" s="21">
        <f>1117000000</f>
      </c>
      <c r="N73" s="21">
        <f>58366000000</f>
      </c>
    </row>
    <row r="74">
      <c r="A74" s="22" t="s">
        <v>53</v>
      </c>
      <c r="B74" s="22" t="s">
        <v>136</v>
      </c>
      <c r="C74" s="22" t="s">
        <v>137</v>
      </c>
      <c r="D74" s="22" t="s">
        <v>114</v>
      </c>
      <c r="E74" s="22" t="s">
        <v>115</v>
      </c>
      <c r="F74" s="9">
        <f>2</f>
      </c>
      <c r="G74" s="10">
        <f>"－"</f>
      </c>
      <c r="H74" s="10">
        <f>1</f>
      </c>
      <c r="I74" s="11">
        <f>-22.68</f>
      </c>
      <c r="J74" s="11">
        <f>1598.7</f>
      </c>
      <c r="K74" s="10">
        <f>16.8</f>
      </c>
      <c r="L74" s="10">
        <f>1</f>
      </c>
      <c r="M74" s="21">
        <f>1354000000</f>
      </c>
      <c r="N74" s="21">
        <f>22399000000</f>
      </c>
    </row>
    <row r="75">
      <c r="A75" s="22" t="s">
        <v>53</v>
      </c>
      <c r="B75" s="22" t="s">
        <v>136</v>
      </c>
      <c r="C75" s="22" t="s">
        <v>137</v>
      </c>
      <c r="D75" s="22" t="s">
        <v>116</v>
      </c>
      <c r="E75" s="22" t="s">
        <v>117</v>
      </c>
      <c r="F75" s="9">
        <f>10</f>
      </c>
      <c r="G75" s="10">
        <f>11.6</f>
      </c>
      <c r="H75" s="10">
        <f>0.4</f>
      </c>
      <c r="I75" s="11">
        <f>117.51</f>
      </c>
      <c r="J75" s="11">
        <f>3220.8</f>
      </c>
      <c r="K75" s="10">
        <f>12.1</f>
      </c>
      <c r="L75" s="10">
        <f>0.4</f>
      </c>
      <c r="M75" s="21">
        <f>3433000000</f>
      </c>
      <c r="N75" s="21">
        <f>97137000000</f>
      </c>
    </row>
    <row r="76">
      <c r="A76" s="22" t="s">
        <v>53</v>
      </c>
      <c r="B76" s="22" t="s">
        <v>136</v>
      </c>
      <c r="C76" s="22" t="s">
        <v>137</v>
      </c>
      <c r="D76" s="22" t="s">
        <v>118</v>
      </c>
      <c r="E76" s="22" t="s">
        <v>119</v>
      </c>
      <c r="F76" s="9">
        <f>29</f>
      </c>
      <c r="G76" s="10">
        <f>27</f>
      </c>
      <c r="H76" s="10">
        <f>2.1</f>
      </c>
      <c r="I76" s="11">
        <f>41.39</f>
      </c>
      <c r="J76" s="11">
        <f>537.6</f>
      </c>
      <c r="K76" s="10">
        <f>111.6</f>
      </c>
      <c r="L76" s="10">
        <f>2</f>
      </c>
      <c r="M76" s="21">
        <f>2103638000</f>
      </c>
      <c r="N76" s="21">
        <f>116292894000</f>
      </c>
    </row>
    <row r="77">
      <c r="A77" s="22" t="s">
        <v>53</v>
      </c>
      <c r="B77" s="22" t="s">
        <v>136</v>
      </c>
      <c r="C77" s="22" t="s">
        <v>137</v>
      </c>
      <c r="D77" s="22" t="s">
        <v>120</v>
      </c>
      <c r="E77" s="22" t="s">
        <v>121</v>
      </c>
      <c r="F77" s="9">
        <f>45</f>
      </c>
      <c r="G77" s="10">
        <f>17.5</f>
      </c>
      <c r="H77" s="10">
        <f>0.6</f>
      </c>
      <c r="I77" s="11">
        <f>73.61</f>
      </c>
      <c r="J77" s="11">
        <f>2161.52</f>
      </c>
      <c r="K77" s="10">
        <f>16.4</f>
      </c>
      <c r="L77" s="10">
        <f>0.8</f>
      </c>
      <c r="M77" s="21">
        <f>32864000000</f>
      </c>
      <c r="N77" s="21">
        <f>702086000000</f>
      </c>
    </row>
    <row r="78">
      <c r="A78" s="22" t="s">
        <v>53</v>
      </c>
      <c r="B78" s="22" t="s">
        <v>136</v>
      </c>
      <c r="C78" s="22" t="s">
        <v>137</v>
      </c>
      <c r="D78" s="22" t="s">
        <v>122</v>
      </c>
      <c r="E78" s="22" t="s">
        <v>123</v>
      </c>
      <c r="F78" s="9">
        <f>39</f>
      </c>
      <c r="G78" s="10">
        <f>"－"</f>
      </c>
      <c r="H78" s="10">
        <f>1.4</f>
      </c>
      <c r="I78" s="11">
        <f>-36.94</f>
      </c>
      <c r="J78" s="11">
        <f>655.8</f>
      </c>
      <c r="K78" s="10">
        <f>"－"</f>
      </c>
      <c r="L78" s="10">
        <f>1.5</f>
      </c>
      <c r="M78" s="21">
        <f>-21571000000</f>
      </c>
      <c r="N78" s="21">
        <f>404563129000</f>
      </c>
    </row>
    <row r="79">
      <c r="A79" s="22" t="s">
        <v>53</v>
      </c>
      <c r="B79" s="22" t="s">
        <v>136</v>
      </c>
      <c r="C79" s="22" t="s">
        <v>137</v>
      </c>
      <c r="D79" s="22" t="s">
        <v>124</v>
      </c>
      <c r="E79" s="22" t="s">
        <v>125</v>
      </c>
      <c r="F79" s="9">
        <f>"－"</f>
      </c>
      <c r="G79" s="10">
        <f>"－"</f>
      </c>
      <c r="H79" s="10">
        <f>"－"</f>
      </c>
      <c r="I79" s="11">
        <f>"－"</f>
      </c>
      <c r="J79" s="11">
        <f>"－"</f>
      </c>
      <c r="K79" s="10">
        <f>"－"</f>
      </c>
      <c r="L79" s="10">
        <f>"－"</f>
      </c>
      <c r="M79" s="21">
        <f>"－"</f>
      </c>
      <c r="N79" s="21">
        <f>"－"</f>
      </c>
    </row>
    <row r="80">
      <c r="A80" s="22" t="s">
        <v>53</v>
      </c>
      <c r="B80" s="22" t="s">
        <v>136</v>
      </c>
      <c r="C80" s="22" t="s">
        <v>137</v>
      </c>
      <c r="D80" s="22" t="s">
        <v>126</v>
      </c>
      <c r="E80" s="22" t="s">
        <v>127</v>
      </c>
      <c r="F80" s="9">
        <f>3</f>
      </c>
      <c r="G80" s="10">
        <f>52.3</f>
      </c>
      <c r="H80" s="10">
        <f>0.8</f>
      </c>
      <c r="I80" s="11">
        <f>2.41</f>
      </c>
      <c r="J80" s="11">
        <f>167.37</f>
      </c>
      <c r="K80" s="10">
        <f>"－"</f>
      </c>
      <c r="L80" s="10">
        <f>1</f>
      </c>
      <c r="M80" s="21">
        <f>-1493000000</f>
      </c>
      <c r="N80" s="21">
        <f>20640000000</f>
      </c>
    </row>
    <row r="81">
      <c r="A81" s="22" t="s">
        <v>53</v>
      </c>
      <c r="B81" s="22" t="s">
        <v>136</v>
      </c>
      <c r="C81" s="22" t="s">
        <v>137</v>
      </c>
      <c r="D81" s="22" t="s">
        <v>128</v>
      </c>
      <c r="E81" s="22" t="s">
        <v>129</v>
      </c>
      <c r="F81" s="9">
        <f>"－"</f>
      </c>
      <c r="G81" s="10">
        <f>"－"</f>
      </c>
      <c r="H81" s="10">
        <f>"－"</f>
      </c>
      <c r="I81" s="11">
        <f>"－"</f>
      </c>
      <c r="J81" s="11">
        <f>"－"</f>
      </c>
      <c r="K81" s="10">
        <f>"－"</f>
      </c>
      <c r="L81" s="10">
        <f>"－"</f>
      </c>
      <c r="M81" s="21">
        <f>"－"</f>
      </c>
      <c r="N81" s="21">
        <f>"－"</f>
      </c>
    </row>
    <row r="82">
      <c r="A82" s="22" t="s">
        <v>53</v>
      </c>
      <c r="B82" s="22" t="s">
        <v>136</v>
      </c>
      <c r="C82" s="22" t="s">
        <v>137</v>
      </c>
      <c r="D82" s="22" t="s">
        <v>130</v>
      </c>
      <c r="E82" s="22" t="s">
        <v>131</v>
      </c>
      <c r="F82" s="9">
        <f>1</f>
      </c>
      <c r="G82" s="10">
        <f>"－"</f>
      </c>
      <c r="H82" s="10">
        <f>0.2</f>
      </c>
      <c r="I82" s="11">
        <f>-37.52</f>
      </c>
      <c r="J82" s="11">
        <f>1030.16</f>
      </c>
      <c r="K82" s="10">
        <f>"－"</f>
      </c>
      <c r="L82" s="10">
        <f>0.2</f>
      </c>
      <c r="M82" s="21">
        <f>-4332000000</f>
      </c>
      <c r="N82" s="21">
        <f>118953000000</f>
      </c>
    </row>
    <row r="83">
      <c r="A83" s="22" t="s">
        <v>53</v>
      </c>
      <c r="B83" s="22" t="s">
        <v>136</v>
      </c>
      <c r="C83" s="22" t="s">
        <v>137</v>
      </c>
      <c r="D83" s="22" t="s">
        <v>132</v>
      </c>
      <c r="E83" s="22" t="s">
        <v>133</v>
      </c>
      <c r="F83" s="9">
        <f>15</f>
      </c>
      <c r="G83" s="10">
        <f>9.9</f>
      </c>
      <c r="H83" s="10">
        <f>0.7</f>
      </c>
      <c r="I83" s="11">
        <f>67.7</f>
      </c>
      <c r="J83" s="11">
        <f>912.79</f>
      </c>
      <c r="K83" s="10">
        <f>11.7</f>
      </c>
      <c r="L83" s="10">
        <f>1</f>
      </c>
      <c r="M83" s="21">
        <f>9466000000</f>
      </c>
      <c r="N83" s="21">
        <f>106432000000</f>
      </c>
    </row>
    <row r="84">
      <c r="A84" s="22" t="s">
        <v>53</v>
      </c>
      <c r="B84" s="22" t="s">
        <v>136</v>
      </c>
      <c r="C84" s="22" t="s">
        <v>137</v>
      </c>
      <c r="D84" s="22" t="s">
        <v>134</v>
      </c>
      <c r="E84" s="22" t="s">
        <v>135</v>
      </c>
      <c r="F84" s="9">
        <f>41</f>
      </c>
      <c r="G84" s="10">
        <f>28.9</f>
      </c>
      <c r="H84" s="10">
        <f>1.2</f>
      </c>
      <c r="I84" s="11">
        <f>47.44</f>
      </c>
      <c r="J84" s="11">
        <f>1135.56</f>
      </c>
      <c r="K84" s="10">
        <f>30.5</f>
      </c>
      <c r="L84" s="10">
        <f>1.4</f>
      </c>
      <c r="M84" s="21">
        <f>19223000000</f>
      </c>
      <c r="N84" s="21">
        <f>410875000000</f>
      </c>
    </row>
    <row r="85">
      <c r="A85" s="22" t="s">
        <v>53</v>
      </c>
      <c r="B85" s="22" t="s">
        <v>138</v>
      </c>
      <c r="C85" s="22" t="s">
        <v>139</v>
      </c>
      <c r="D85" s="22" t="s">
        <v>56</v>
      </c>
      <c r="E85" s="22" t="s">
        <v>57</v>
      </c>
      <c r="F85" s="9">
        <f>327</f>
      </c>
      <c r="G85" s="10">
        <f>152</f>
      </c>
      <c r="H85" s="10">
        <f>6.3</f>
      </c>
      <c r="I85" s="11">
        <f>14.74</f>
      </c>
      <c r="J85" s="11">
        <f>357.5</f>
      </c>
      <c r="K85" s="10">
        <f>"－"</f>
      </c>
      <c r="L85" s="10">
        <f>7.3</f>
      </c>
      <c r="M85" s="21">
        <f>-33333230765</f>
      </c>
      <c r="N85" s="21">
        <f>1216798203580</f>
      </c>
    </row>
    <row r="86">
      <c r="A86" s="22" t="s">
        <v>53</v>
      </c>
      <c r="B86" s="22" t="s">
        <v>138</v>
      </c>
      <c r="C86" s="22" t="s">
        <v>139</v>
      </c>
      <c r="D86" s="22" t="s">
        <v>58</v>
      </c>
      <c r="E86" s="22" t="s">
        <v>59</v>
      </c>
      <c r="F86" s="9">
        <f>"－"</f>
      </c>
      <c r="G86" s="10">
        <f>"－"</f>
      </c>
      <c r="H86" s="10">
        <f>"－"</f>
      </c>
      <c r="I86" s="11">
        <f>"－"</f>
      </c>
      <c r="J86" s="11">
        <f>"－"</f>
      </c>
      <c r="K86" s="10">
        <f>"－"</f>
      </c>
      <c r="L86" s="10">
        <f>"－"</f>
      </c>
      <c r="M86" s="21">
        <f>"－"</f>
      </c>
      <c r="N86" s="21">
        <f>"－"</f>
      </c>
    </row>
    <row r="87">
      <c r="A87" s="22" t="s">
        <v>53</v>
      </c>
      <c r="B87" s="22" t="s">
        <v>138</v>
      </c>
      <c r="C87" s="22" t="s">
        <v>139</v>
      </c>
      <c r="D87" s="22" t="s">
        <v>60</v>
      </c>
      <c r="E87" s="22" t="s">
        <v>61</v>
      </c>
      <c r="F87" s="9">
        <f>"－"</f>
      </c>
      <c r="G87" s="10">
        <f>"－"</f>
      </c>
      <c r="H87" s="10">
        <f>"－"</f>
      </c>
      <c r="I87" s="11">
        <f>"－"</f>
      </c>
      <c r="J87" s="11">
        <f>"－"</f>
      </c>
      <c r="K87" s="10">
        <f>"－"</f>
      </c>
      <c r="L87" s="10">
        <f>"－"</f>
      </c>
      <c r="M87" s="21">
        <f>"－"</f>
      </c>
      <c r="N87" s="21">
        <f>"－"</f>
      </c>
    </row>
    <row r="88">
      <c r="A88" s="22" t="s">
        <v>53</v>
      </c>
      <c r="B88" s="22" t="s">
        <v>138</v>
      </c>
      <c r="C88" s="22" t="s">
        <v>139</v>
      </c>
      <c r="D88" s="22" t="s">
        <v>62</v>
      </c>
      <c r="E88" s="22" t="s">
        <v>63</v>
      </c>
      <c r="F88" s="9">
        <f>"－"</f>
      </c>
      <c r="G88" s="10">
        <f>"－"</f>
      </c>
      <c r="H88" s="10">
        <f>"－"</f>
      </c>
      <c r="I88" s="11">
        <f>"－"</f>
      </c>
      <c r="J88" s="11">
        <f>"－"</f>
      </c>
      <c r="K88" s="10">
        <f>"－"</f>
      </c>
      <c r="L88" s="10">
        <f>"－"</f>
      </c>
      <c r="M88" s="21">
        <f>"－"</f>
      </c>
      <c r="N88" s="21">
        <f>"－"</f>
      </c>
    </row>
    <row r="89">
      <c r="A89" s="22" t="s">
        <v>53</v>
      </c>
      <c r="B89" s="22" t="s">
        <v>138</v>
      </c>
      <c r="C89" s="22" t="s">
        <v>139</v>
      </c>
      <c r="D89" s="22" t="s">
        <v>64</v>
      </c>
      <c r="E89" s="22" t="s">
        <v>65</v>
      </c>
      <c r="F89" s="9">
        <f>321</f>
      </c>
      <c r="G89" s="10">
        <f>152.6</f>
      </c>
      <c r="H89" s="10">
        <f>6.4</f>
      </c>
      <c r="I89" s="11">
        <f>14.83</f>
      </c>
      <c r="J89" s="11">
        <f>356.28</f>
      </c>
      <c r="K89" s="10">
        <f>"－"</f>
      </c>
      <c r="L89" s="10">
        <f>7.6</f>
      </c>
      <c r="M89" s="21">
        <f>-30890230765</f>
      </c>
      <c r="N89" s="21">
        <f>1151938203580</f>
      </c>
    </row>
    <row r="90">
      <c r="A90" s="22" t="s">
        <v>53</v>
      </c>
      <c r="B90" s="22" t="s">
        <v>138</v>
      </c>
      <c r="C90" s="22" t="s">
        <v>139</v>
      </c>
      <c r="D90" s="22" t="s">
        <v>66</v>
      </c>
      <c r="E90" s="22" t="s">
        <v>67</v>
      </c>
      <c r="F90" s="9">
        <f>39</f>
      </c>
      <c r="G90" s="10">
        <f>"－"</f>
      </c>
      <c r="H90" s="10">
        <f>4.6</f>
      </c>
      <c r="I90" s="11">
        <f>-14.36</f>
      </c>
      <c r="J90" s="11">
        <f>354.11</f>
      </c>
      <c r="K90" s="10">
        <f>"－"</f>
      </c>
      <c r="L90" s="10">
        <f>4.4</f>
      </c>
      <c r="M90" s="21">
        <f>-33048472000</f>
      </c>
      <c r="N90" s="21">
        <f>308056542000</f>
      </c>
    </row>
    <row r="91">
      <c r="A91" s="22" t="s">
        <v>53</v>
      </c>
      <c r="B91" s="22" t="s">
        <v>138</v>
      </c>
      <c r="C91" s="22" t="s">
        <v>139</v>
      </c>
      <c r="D91" s="22" t="s">
        <v>68</v>
      </c>
      <c r="E91" s="22" t="s">
        <v>69</v>
      </c>
      <c r="F91" s="9">
        <f>282</f>
      </c>
      <c r="G91" s="10">
        <f>124.6</f>
      </c>
      <c r="H91" s="10">
        <f>6.6</f>
      </c>
      <c r="I91" s="11">
        <f>18.87</f>
      </c>
      <c r="J91" s="11">
        <f>356.58</f>
      </c>
      <c r="K91" s="10">
        <f>"＊"</f>
      </c>
      <c r="L91" s="10">
        <f>8.8</f>
      </c>
      <c r="M91" s="21">
        <f>2158241235</f>
      </c>
      <c r="N91" s="21">
        <f>843881661580</f>
      </c>
    </row>
    <row r="92">
      <c r="A92" s="22" t="s">
        <v>53</v>
      </c>
      <c r="B92" s="22" t="s">
        <v>138</v>
      </c>
      <c r="C92" s="22" t="s">
        <v>139</v>
      </c>
      <c r="D92" s="22" t="s">
        <v>70</v>
      </c>
      <c r="E92" s="22" t="s">
        <v>71</v>
      </c>
      <c r="F92" s="9">
        <f>"－"</f>
      </c>
      <c r="G92" s="10">
        <f>"－"</f>
      </c>
      <c r="H92" s="10">
        <f>"－"</f>
      </c>
      <c r="I92" s="11">
        <f>"－"</f>
      </c>
      <c r="J92" s="11">
        <f>"－"</f>
      </c>
      <c r="K92" s="10">
        <f>"－"</f>
      </c>
      <c r="L92" s="10">
        <f>"－"</f>
      </c>
      <c r="M92" s="21">
        <f>"－"</f>
      </c>
      <c r="N92" s="21">
        <f>"－"</f>
      </c>
    </row>
    <row r="93">
      <c r="A93" s="22" t="s">
        <v>53</v>
      </c>
      <c r="B93" s="22" t="s">
        <v>138</v>
      </c>
      <c r="C93" s="22" t="s">
        <v>139</v>
      </c>
      <c r="D93" s="22" t="s">
        <v>72</v>
      </c>
      <c r="E93" s="22" t="s">
        <v>73</v>
      </c>
      <c r="F93" s="9">
        <f>"－"</f>
      </c>
      <c r="G93" s="10">
        <f>"－"</f>
      </c>
      <c r="H93" s="10">
        <f>"－"</f>
      </c>
      <c r="I93" s="11">
        <f>"－"</f>
      </c>
      <c r="J93" s="11">
        <f>"－"</f>
      </c>
      <c r="K93" s="10">
        <f>"－"</f>
      </c>
      <c r="L93" s="10">
        <f>"－"</f>
      </c>
      <c r="M93" s="21">
        <f>"－"</f>
      </c>
      <c r="N93" s="21">
        <f>"－"</f>
      </c>
    </row>
    <row r="94">
      <c r="A94" s="22" t="s">
        <v>53</v>
      </c>
      <c r="B94" s="22" t="s">
        <v>138</v>
      </c>
      <c r="C94" s="22" t="s">
        <v>139</v>
      </c>
      <c r="D94" s="22" t="s">
        <v>74</v>
      </c>
      <c r="E94" s="22" t="s">
        <v>75</v>
      </c>
      <c r="F94" s="9">
        <f>6</f>
      </c>
      <c r="G94" s="10">
        <f>36.9</f>
      </c>
      <c r="H94" s="10">
        <f>2.9</f>
      </c>
      <c r="I94" s="11">
        <f>28.59</f>
      </c>
      <c r="J94" s="11">
        <f>368.83</f>
      </c>
      <c r="K94" s="10">
        <f>40.8</f>
      </c>
      <c r="L94" s="10">
        <f>3.6</f>
      </c>
      <c r="M94" s="21">
        <f>1433000000</f>
      </c>
      <c r="N94" s="21">
        <f>16196000000</f>
      </c>
    </row>
    <row r="95">
      <c r="A95" s="22" t="s">
        <v>53</v>
      </c>
      <c r="B95" s="22" t="s">
        <v>138</v>
      </c>
      <c r="C95" s="22" t="s">
        <v>139</v>
      </c>
      <c r="D95" s="22" t="s">
        <v>76</v>
      </c>
      <c r="E95" s="22" t="s">
        <v>77</v>
      </c>
      <c r="F95" s="9">
        <f>1</f>
      </c>
      <c r="G95" s="10">
        <f>"－"</f>
      </c>
      <c r="H95" s="10">
        <f>7.3</f>
      </c>
      <c r="I95" s="11">
        <f>-47.41</f>
      </c>
      <c r="J95" s="11">
        <f>24.24</f>
      </c>
      <c r="K95" s="10">
        <f>"－"</f>
      </c>
      <c r="L95" s="10">
        <f>7.3</f>
      </c>
      <c r="M95" s="21">
        <f>-440000000</f>
      </c>
      <c r="N95" s="21">
        <f>225000000</f>
      </c>
    </row>
    <row r="96">
      <c r="A96" s="22" t="s">
        <v>53</v>
      </c>
      <c r="B96" s="22" t="s">
        <v>138</v>
      </c>
      <c r="C96" s="22" t="s">
        <v>139</v>
      </c>
      <c r="D96" s="22" t="s">
        <v>78</v>
      </c>
      <c r="E96" s="22" t="s">
        <v>79</v>
      </c>
      <c r="F96" s="9">
        <f>"－"</f>
      </c>
      <c r="G96" s="10">
        <f>"－"</f>
      </c>
      <c r="H96" s="10">
        <f>"－"</f>
      </c>
      <c r="I96" s="11">
        <f>"－"</f>
      </c>
      <c r="J96" s="11">
        <f>"－"</f>
      </c>
      <c r="K96" s="10">
        <f>"－"</f>
      </c>
      <c r="L96" s="10">
        <f>"－"</f>
      </c>
      <c r="M96" s="21">
        <f>"－"</f>
      </c>
      <c r="N96" s="21">
        <f>"－"</f>
      </c>
    </row>
    <row r="97">
      <c r="A97" s="22" t="s">
        <v>53</v>
      </c>
      <c r="B97" s="22" t="s">
        <v>138</v>
      </c>
      <c r="C97" s="22" t="s">
        <v>139</v>
      </c>
      <c r="D97" s="22" t="s">
        <v>80</v>
      </c>
      <c r="E97" s="22" t="s">
        <v>81</v>
      </c>
      <c r="F97" s="9">
        <f>"－"</f>
      </c>
      <c r="G97" s="10">
        <f>"－"</f>
      </c>
      <c r="H97" s="10">
        <f>"－"</f>
      </c>
      <c r="I97" s="11">
        <f>"－"</f>
      </c>
      <c r="J97" s="11">
        <f>"－"</f>
      </c>
      <c r="K97" s="10">
        <f>"－"</f>
      </c>
      <c r="L97" s="10">
        <f>"－"</f>
      </c>
      <c r="M97" s="21">
        <f>"－"</f>
      </c>
      <c r="N97" s="21">
        <f>"－"</f>
      </c>
    </row>
    <row r="98">
      <c r="A98" s="22" t="s">
        <v>53</v>
      </c>
      <c r="B98" s="22" t="s">
        <v>138</v>
      </c>
      <c r="C98" s="22" t="s">
        <v>139</v>
      </c>
      <c r="D98" s="22" t="s">
        <v>82</v>
      </c>
      <c r="E98" s="22" t="s">
        <v>83</v>
      </c>
      <c r="F98" s="9">
        <f>2</f>
      </c>
      <c r="G98" s="10">
        <f>65.3</f>
      </c>
      <c r="H98" s="10">
        <f>46.4</f>
      </c>
      <c r="I98" s="11">
        <f>87.78</f>
      </c>
      <c r="J98" s="11">
        <f>123.33</f>
      </c>
      <c r="K98" s="10">
        <f>65.2</f>
      </c>
      <c r="L98" s="10">
        <f>46.5</f>
      </c>
      <c r="M98" s="21">
        <f>1527000000</f>
      </c>
      <c r="N98" s="21">
        <f>2144000000</f>
      </c>
    </row>
    <row r="99">
      <c r="A99" s="22" t="s">
        <v>53</v>
      </c>
      <c r="B99" s="22" t="s">
        <v>138</v>
      </c>
      <c r="C99" s="22" t="s">
        <v>139</v>
      </c>
      <c r="D99" s="22" t="s">
        <v>84</v>
      </c>
      <c r="E99" s="22" t="s">
        <v>85</v>
      </c>
      <c r="F99" s="9">
        <f>20</f>
      </c>
      <c r="G99" s="10">
        <f>"－"</f>
      </c>
      <c r="H99" s="10">
        <f>8</f>
      </c>
      <c r="I99" s="11">
        <f>-60.24</f>
      </c>
      <c r="J99" s="11">
        <f>170.13</f>
      </c>
      <c r="K99" s="10">
        <f>"－"</f>
      </c>
      <c r="L99" s="10">
        <f>5.7</f>
      </c>
      <c r="M99" s="21">
        <f>-36316472000</f>
      </c>
      <c r="N99" s="21">
        <f>152079542000</f>
      </c>
    </row>
    <row r="100">
      <c r="A100" s="22" t="s">
        <v>53</v>
      </c>
      <c r="B100" s="22" t="s">
        <v>138</v>
      </c>
      <c r="C100" s="22" t="s">
        <v>139</v>
      </c>
      <c r="D100" s="22" t="s">
        <v>86</v>
      </c>
      <c r="E100" s="22" t="s">
        <v>87</v>
      </c>
      <c r="F100" s="9">
        <f>"－"</f>
      </c>
      <c r="G100" s="10">
        <f>"－"</f>
      </c>
      <c r="H100" s="10">
        <f>"－"</f>
      </c>
      <c r="I100" s="11">
        <f>"－"</f>
      </c>
      <c r="J100" s="11">
        <f>"－"</f>
      </c>
      <c r="K100" s="10">
        <f>"－"</f>
      </c>
      <c r="L100" s="10">
        <f>"－"</f>
      </c>
      <c r="M100" s="21">
        <f>"－"</f>
      </c>
      <c r="N100" s="21">
        <f>"－"</f>
      </c>
    </row>
    <row r="101">
      <c r="A101" s="22" t="s">
        <v>53</v>
      </c>
      <c r="B101" s="22" t="s">
        <v>138</v>
      </c>
      <c r="C101" s="22" t="s">
        <v>139</v>
      </c>
      <c r="D101" s="22" t="s">
        <v>88</v>
      </c>
      <c r="E101" s="22" t="s">
        <v>89</v>
      </c>
      <c r="F101" s="9">
        <f>"－"</f>
      </c>
      <c r="G101" s="10">
        <f>"－"</f>
      </c>
      <c r="H101" s="10">
        <f>"－"</f>
      </c>
      <c r="I101" s="11">
        <f>"－"</f>
      </c>
      <c r="J101" s="11">
        <f>"－"</f>
      </c>
      <c r="K101" s="10">
        <f>"－"</f>
      </c>
      <c r="L101" s="10">
        <f>"－"</f>
      </c>
      <c r="M101" s="21">
        <f>"－"</f>
      </c>
      <c r="N101" s="21">
        <f>"－"</f>
      </c>
    </row>
    <row r="102">
      <c r="A102" s="22" t="s">
        <v>53</v>
      </c>
      <c r="B102" s="22" t="s">
        <v>138</v>
      </c>
      <c r="C102" s="22" t="s">
        <v>139</v>
      </c>
      <c r="D102" s="22" t="s">
        <v>90</v>
      </c>
      <c r="E102" s="22" t="s">
        <v>91</v>
      </c>
      <c r="F102" s="9">
        <f>"－"</f>
      </c>
      <c r="G102" s="10">
        <f>"－"</f>
      </c>
      <c r="H102" s="10">
        <f>"－"</f>
      </c>
      <c r="I102" s="11">
        <f>"－"</f>
      </c>
      <c r="J102" s="11">
        <f>"－"</f>
      </c>
      <c r="K102" s="10">
        <f>"－"</f>
      </c>
      <c r="L102" s="10">
        <f>"－"</f>
      </c>
      <c r="M102" s="21">
        <f>"－"</f>
      </c>
      <c r="N102" s="21">
        <f>"－"</f>
      </c>
    </row>
    <row r="103">
      <c r="A103" s="22" t="s">
        <v>53</v>
      </c>
      <c r="B103" s="22" t="s">
        <v>138</v>
      </c>
      <c r="C103" s="22" t="s">
        <v>139</v>
      </c>
      <c r="D103" s="22" t="s">
        <v>92</v>
      </c>
      <c r="E103" s="22" t="s">
        <v>93</v>
      </c>
      <c r="F103" s="9">
        <f>"－"</f>
      </c>
      <c r="G103" s="10">
        <f>"－"</f>
      </c>
      <c r="H103" s="10">
        <f>"－"</f>
      </c>
      <c r="I103" s="11">
        <f>"－"</f>
      </c>
      <c r="J103" s="11">
        <f>"－"</f>
      </c>
      <c r="K103" s="10">
        <f>"－"</f>
      </c>
      <c r="L103" s="10">
        <f>"－"</f>
      </c>
      <c r="M103" s="21">
        <f>"－"</f>
      </c>
      <c r="N103" s="21">
        <f>"－"</f>
      </c>
    </row>
    <row r="104">
      <c r="A104" s="22" t="s">
        <v>53</v>
      </c>
      <c r="B104" s="22" t="s">
        <v>138</v>
      </c>
      <c r="C104" s="22" t="s">
        <v>139</v>
      </c>
      <c r="D104" s="22" t="s">
        <v>94</v>
      </c>
      <c r="E104" s="22" t="s">
        <v>95</v>
      </c>
      <c r="F104" s="9">
        <f>1</f>
      </c>
      <c r="G104" s="10">
        <f>24.7</f>
      </c>
      <c r="H104" s="10">
        <f>1.8</f>
      </c>
      <c r="I104" s="11">
        <f>30.99</f>
      </c>
      <c r="J104" s="11">
        <f>425.97</f>
      </c>
      <c r="K104" s="10">
        <f>24.7</f>
      </c>
      <c r="L104" s="10">
        <f>1.8</f>
      </c>
      <c r="M104" s="21">
        <f>164000000</f>
      </c>
      <c r="N104" s="21">
        <f>2254000000</f>
      </c>
    </row>
    <row r="105">
      <c r="A105" s="22" t="s">
        <v>53</v>
      </c>
      <c r="B105" s="22" t="s">
        <v>138</v>
      </c>
      <c r="C105" s="22" t="s">
        <v>139</v>
      </c>
      <c r="D105" s="22" t="s">
        <v>96</v>
      </c>
      <c r="E105" s="22" t="s">
        <v>97</v>
      </c>
      <c r="F105" s="9">
        <f>"－"</f>
      </c>
      <c r="G105" s="10">
        <f>"－"</f>
      </c>
      <c r="H105" s="10">
        <f>"－"</f>
      </c>
      <c r="I105" s="11">
        <f>"－"</f>
      </c>
      <c r="J105" s="11">
        <f>"－"</f>
      </c>
      <c r="K105" s="10">
        <f>"－"</f>
      </c>
      <c r="L105" s="10">
        <f>"－"</f>
      </c>
      <c r="M105" s="21">
        <f>"－"</f>
      </c>
      <c r="N105" s="21">
        <f>"－"</f>
      </c>
    </row>
    <row r="106">
      <c r="A106" s="22" t="s">
        <v>53</v>
      </c>
      <c r="B106" s="22" t="s">
        <v>138</v>
      </c>
      <c r="C106" s="22" t="s">
        <v>139</v>
      </c>
      <c r="D106" s="22" t="s">
        <v>98</v>
      </c>
      <c r="E106" s="22" t="s">
        <v>99</v>
      </c>
      <c r="F106" s="9">
        <f>3</f>
      </c>
      <c r="G106" s="10">
        <f>"－"</f>
      </c>
      <c r="H106" s="10">
        <f>5.8</f>
      </c>
      <c r="I106" s="11">
        <f>-1.32</f>
      </c>
      <c r="J106" s="11">
        <f>277.89</f>
      </c>
      <c r="K106" s="10">
        <f>156.4</f>
      </c>
      <c r="L106" s="10">
        <f>4.8</f>
      </c>
      <c r="M106" s="21">
        <f>388000000</f>
      </c>
      <c r="N106" s="21">
        <f>12601000000</f>
      </c>
    </row>
    <row r="107">
      <c r="A107" s="22" t="s">
        <v>53</v>
      </c>
      <c r="B107" s="22" t="s">
        <v>138</v>
      </c>
      <c r="C107" s="22" t="s">
        <v>139</v>
      </c>
      <c r="D107" s="22" t="s">
        <v>100</v>
      </c>
      <c r="E107" s="22" t="s">
        <v>101</v>
      </c>
      <c r="F107" s="9">
        <f>4</f>
      </c>
      <c r="G107" s="10">
        <f>126.4</f>
      </c>
      <c r="H107" s="10">
        <f>1.2</f>
      </c>
      <c r="I107" s="11">
        <f>10.07</f>
      </c>
      <c r="J107" s="11">
        <f>1040.51</f>
      </c>
      <c r="K107" s="10">
        <f>173.1</f>
      </c>
      <c r="L107" s="10">
        <f>0.8</f>
      </c>
      <c r="M107" s="21">
        <f>162000000</f>
      </c>
      <c r="N107" s="21">
        <f>34974000000</f>
      </c>
    </row>
    <row r="108">
      <c r="A108" s="22" t="s">
        <v>53</v>
      </c>
      <c r="B108" s="22" t="s">
        <v>138</v>
      </c>
      <c r="C108" s="22" t="s">
        <v>139</v>
      </c>
      <c r="D108" s="22" t="s">
        <v>102</v>
      </c>
      <c r="E108" s="22" t="s">
        <v>103</v>
      </c>
      <c r="F108" s="9">
        <f>1</f>
      </c>
      <c r="G108" s="10">
        <f>70.5</f>
      </c>
      <c r="H108" s="10">
        <f>7.9</f>
      </c>
      <c r="I108" s="11">
        <f>85.82</f>
      </c>
      <c r="J108" s="11">
        <f>770.44</f>
      </c>
      <c r="K108" s="10">
        <f>70.5</f>
      </c>
      <c r="L108" s="10">
        <f>7.9</f>
      </c>
      <c r="M108" s="21">
        <f>223000000</f>
      </c>
      <c r="N108" s="21">
        <f>2002000000</f>
      </c>
    </row>
    <row r="109">
      <c r="A109" s="22" t="s">
        <v>53</v>
      </c>
      <c r="B109" s="22" t="s">
        <v>138</v>
      </c>
      <c r="C109" s="22" t="s">
        <v>139</v>
      </c>
      <c r="D109" s="22" t="s">
        <v>104</v>
      </c>
      <c r="E109" s="22" t="s">
        <v>105</v>
      </c>
      <c r="F109" s="9">
        <f>2</f>
      </c>
      <c r="G109" s="10">
        <f>"－"</f>
      </c>
      <c r="H109" s="10">
        <f>4.7</f>
      </c>
      <c r="I109" s="11">
        <f>-2.42</f>
      </c>
      <c r="J109" s="11">
        <f>180.93</f>
      </c>
      <c r="K109" s="10">
        <f>"－"</f>
      </c>
      <c r="L109" s="10">
        <f>3.8</f>
      </c>
      <c r="M109" s="21">
        <f>-266000000</f>
      </c>
      <c r="N109" s="21">
        <f>48579000000</f>
      </c>
    </row>
    <row r="110">
      <c r="A110" s="22" t="s">
        <v>53</v>
      </c>
      <c r="B110" s="22" t="s">
        <v>138</v>
      </c>
      <c r="C110" s="22" t="s">
        <v>139</v>
      </c>
      <c r="D110" s="22" t="s">
        <v>106</v>
      </c>
      <c r="E110" s="22" t="s">
        <v>107</v>
      </c>
      <c r="F110" s="9">
        <f>5</f>
      </c>
      <c r="G110" s="10">
        <f>16.3</f>
      </c>
      <c r="H110" s="10">
        <f>1.7</f>
      </c>
      <c r="I110" s="11">
        <f>73.67</f>
      </c>
      <c r="J110" s="11">
        <f>716.57</f>
      </c>
      <c r="K110" s="10">
        <f>64</f>
      </c>
      <c r="L110" s="10">
        <f>1.8</f>
      </c>
      <c r="M110" s="21">
        <f>1510000000</f>
      </c>
      <c r="N110" s="21">
        <f>53198000000</f>
      </c>
    </row>
    <row r="111">
      <c r="A111" s="22" t="s">
        <v>53</v>
      </c>
      <c r="B111" s="22" t="s">
        <v>138</v>
      </c>
      <c r="C111" s="22" t="s">
        <v>139</v>
      </c>
      <c r="D111" s="22" t="s">
        <v>108</v>
      </c>
      <c r="E111" s="22" t="s">
        <v>109</v>
      </c>
      <c r="F111" s="9">
        <f>"－"</f>
      </c>
      <c r="G111" s="10">
        <f>"－"</f>
      </c>
      <c r="H111" s="10">
        <f>"－"</f>
      </c>
      <c r="I111" s="11">
        <f>"－"</f>
      </c>
      <c r="J111" s="11">
        <f>"－"</f>
      </c>
      <c r="K111" s="10">
        <f>"－"</f>
      </c>
      <c r="L111" s="10">
        <f>"－"</f>
      </c>
      <c r="M111" s="21">
        <f>"－"</f>
      </c>
      <c r="N111" s="21">
        <f>"－"</f>
      </c>
    </row>
    <row r="112">
      <c r="A112" s="22" t="s">
        <v>53</v>
      </c>
      <c r="B112" s="22" t="s">
        <v>138</v>
      </c>
      <c r="C112" s="22" t="s">
        <v>139</v>
      </c>
      <c r="D112" s="22" t="s">
        <v>110</v>
      </c>
      <c r="E112" s="22" t="s">
        <v>111</v>
      </c>
      <c r="F112" s="9">
        <f>"－"</f>
      </c>
      <c r="G112" s="10">
        <f>"－"</f>
      </c>
      <c r="H112" s="10">
        <f>"－"</f>
      </c>
      <c r="I112" s="11">
        <f>"－"</f>
      </c>
      <c r="J112" s="11">
        <f>"－"</f>
      </c>
      <c r="K112" s="10">
        <f>"－"</f>
      </c>
      <c r="L112" s="10">
        <f>"－"</f>
      </c>
      <c r="M112" s="21">
        <f>"－"</f>
      </c>
      <c r="N112" s="21">
        <f>"－"</f>
      </c>
    </row>
    <row r="113">
      <c r="A113" s="22" t="s">
        <v>53</v>
      </c>
      <c r="B113" s="22" t="s">
        <v>138</v>
      </c>
      <c r="C113" s="22" t="s">
        <v>139</v>
      </c>
      <c r="D113" s="22" t="s">
        <v>112</v>
      </c>
      <c r="E113" s="22" t="s">
        <v>113</v>
      </c>
      <c r="F113" s="9">
        <f>"－"</f>
      </c>
      <c r="G113" s="10">
        <f>"－"</f>
      </c>
      <c r="H113" s="10">
        <f>"－"</f>
      </c>
      <c r="I113" s="11">
        <f>"－"</f>
      </c>
      <c r="J113" s="11">
        <f>"－"</f>
      </c>
      <c r="K113" s="10">
        <f>"－"</f>
      </c>
      <c r="L113" s="10">
        <f>"－"</f>
      </c>
      <c r="M113" s="21">
        <f>"－"</f>
      </c>
      <c r="N113" s="21">
        <f>"－"</f>
      </c>
    </row>
    <row r="114">
      <c r="A114" s="22" t="s">
        <v>53</v>
      </c>
      <c r="B114" s="22" t="s">
        <v>138</v>
      </c>
      <c r="C114" s="22" t="s">
        <v>139</v>
      </c>
      <c r="D114" s="22" t="s">
        <v>114</v>
      </c>
      <c r="E114" s="22" t="s">
        <v>115</v>
      </c>
      <c r="F114" s="9">
        <f>"－"</f>
      </c>
      <c r="G114" s="10">
        <f>"－"</f>
      </c>
      <c r="H114" s="10">
        <f>"－"</f>
      </c>
      <c r="I114" s="11">
        <f>"－"</f>
      </c>
      <c r="J114" s="11">
        <f>"－"</f>
      </c>
      <c r="K114" s="10">
        <f>"－"</f>
      </c>
      <c r="L114" s="10">
        <f>"－"</f>
      </c>
      <c r="M114" s="21">
        <f>"－"</f>
      </c>
      <c r="N114" s="21">
        <f>"－"</f>
      </c>
    </row>
    <row r="115">
      <c r="A115" s="22" t="s">
        <v>53</v>
      </c>
      <c r="B115" s="22" t="s">
        <v>138</v>
      </c>
      <c r="C115" s="22" t="s">
        <v>139</v>
      </c>
      <c r="D115" s="22" t="s">
        <v>116</v>
      </c>
      <c r="E115" s="22" t="s">
        <v>117</v>
      </c>
      <c r="F115" s="9">
        <f>1</f>
      </c>
      <c r="G115" s="10">
        <f>44.9</f>
      </c>
      <c r="H115" s="10">
        <f>12.2</f>
      </c>
      <c r="I115" s="11">
        <f>55.37</f>
      </c>
      <c r="J115" s="11">
        <f>203.91</f>
      </c>
      <c r="K115" s="10">
        <f>44.9</f>
      </c>
      <c r="L115" s="10">
        <f>12.2</f>
      </c>
      <c r="M115" s="21">
        <f>170000000</f>
      </c>
      <c r="N115" s="21">
        <f>626000000</f>
      </c>
    </row>
    <row r="116">
      <c r="A116" s="22" t="s">
        <v>53</v>
      </c>
      <c r="B116" s="22" t="s">
        <v>138</v>
      </c>
      <c r="C116" s="22" t="s">
        <v>139</v>
      </c>
      <c r="D116" s="22" t="s">
        <v>118</v>
      </c>
      <c r="E116" s="22" t="s">
        <v>119</v>
      </c>
      <c r="F116" s="9">
        <f>124</f>
      </c>
      <c r="G116" s="10">
        <f>277.8</f>
      </c>
      <c r="H116" s="10">
        <f>11.6</f>
      </c>
      <c r="I116" s="11">
        <f>12.09</f>
      </c>
      <c r="J116" s="11">
        <f>289.56</f>
      </c>
      <c r="K116" s="10">
        <f>"－"</f>
      </c>
      <c r="L116" s="10">
        <f>16.7</f>
      </c>
      <c r="M116" s="21">
        <f>-20198743765</f>
      </c>
      <c r="N116" s="21">
        <f>331150149580</f>
      </c>
    </row>
    <row r="117">
      <c r="A117" s="22" t="s">
        <v>53</v>
      </c>
      <c r="B117" s="22" t="s">
        <v>138</v>
      </c>
      <c r="C117" s="22" t="s">
        <v>139</v>
      </c>
      <c r="D117" s="22" t="s">
        <v>120</v>
      </c>
      <c r="E117" s="22" t="s">
        <v>121</v>
      </c>
      <c r="F117" s="9">
        <f>6</f>
      </c>
      <c r="G117" s="10">
        <f>46.3</f>
      </c>
      <c r="H117" s="10">
        <f>7.8</f>
      </c>
      <c r="I117" s="11">
        <f>53.89</f>
      </c>
      <c r="J117" s="11">
        <f>319.35</f>
      </c>
      <c r="K117" s="10">
        <f>75.7</f>
      </c>
      <c r="L117" s="10">
        <f>8.9</f>
      </c>
      <c r="M117" s="21">
        <f>1770000000</f>
      </c>
      <c r="N117" s="21">
        <f>15005000000</f>
      </c>
    </row>
    <row r="118">
      <c r="A118" s="22" t="s">
        <v>53</v>
      </c>
      <c r="B118" s="22" t="s">
        <v>138</v>
      </c>
      <c r="C118" s="22" t="s">
        <v>139</v>
      </c>
      <c r="D118" s="22" t="s">
        <v>122</v>
      </c>
      <c r="E118" s="22" t="s">
        <v>123</v>
      </c>
      <c r="F118" s="9">
        <f>22</f>
      </c>
      <c r="G118" s="10">
        <f>"－"</f>
      </c>
      <c r="H118" s="10">
        <f>2.9</f>
      </c>
      <c r="I118" s="11">
        <f>-1.57</f>
      </c>
      <c r="J118" s="11">
        <f>387.01</f>
      </c>
      <c r="K118" s="10">
        <f>"－"</f>
      </c>
      <c r="L118" s="10">
        <f>3.3</f>
      </c>
      <c r="M118" s="21">
        <f>-1692000000</f>
      </c>
      <c r="N118" s="21">
        <f>42612000000</f>
      </c>
    </row>
    <row r="119">
      <c r="A119" s="22" t="s">
        <v>53</v>
      </c>
      <c r="B119" s="22" t="s">
        <v>138</v>
      </c>
      <c r="C119" s="22" t="s">
        <v>139</v>
      </c>
      <c r="D119" s="22" t="s">
        <v>124</v>
      </c>
      <c r="E119" s="22" t="s">
        <v>125</v>
      </c>
      <c r="F119" s="9">
        <f>"－"</f>
      </c>
      <c r="G119" s="10">
        <f>"－"</f>
      </c>
      <c r="H119" s="10">
        <f>"－"</f>
      </c>
      <c r="I119" s="11">
        <f>"－"</f>
      </c>
      <c r="J119" s="11">
        <f>"－"</f>
      </c>
      <c r="K119" s="10">
        <f>"－"</f>
      </c>
      <c r="L119" s="10">
        <f>"－"</f>
      </c>
      <c r="M119" s="21">
        <f>"－"</f>
      </c>
      <c r="N119" s="21">
        <f>"－"</f>
      </c>
    </row>
    <row r="120">
      <c r="A120" s="22" t="s">
        <v>53</v>
      </c>
      <c r="B120" s="22" t="s">
        <v>138</v>
      </c>
      <c r="C120" s="22" t="s">
        <v>139</v>
      </c>
      <c r="D120" s="22" t="s">
        <v>126</v>
      </c>
      <c r="E120" s="22" t="s">
        <v>127</v>
      </c>
      <c r="F120" s="9">
        <f>"－"</f>
      </c>
      <c r="G120" s="10">
        <f>"－"</f>
      </c>
      <c r="H120" s="10">
        <f>"－"</f>
      </c>
      <c r="I120" s="11">
        <f>"－"</f>
      </c>
      <c r="J120" s="11">
        <f>"－"</f>
      </c>
      <c r="K120" s="10">
        <f>"－"</f>
      </c>
      <c r="L120" s="10">
        <f>"－"</f>
      </c>
      <c r="M120" s="21">
        <f>"－"</f>
      </c>
      <c r="N120" s="21">
        <f>"－"</f>
      </c>
    </row>
    <row r="121">
      <c r="A121" s="22" t="s">
        <v>53</v>
      </c>
      <c r="B121" s="22" t="s">
        <v>138</v>
      </c>
      <c r="C121" s="22" t="s">
        <v>139</v>
      </c>
      <c r="D121" s="22" t="s">
        <v>128</v>
      </c>
      <c r="E121" s="22" t="s">
        <v>129</v>
      </c>
      <c r="F121" s="9">
        <f>3</f>
      </c>
      <c r="G121" s="10">
        <f>334.8</f>
      </c>
      <c r="H121" s="10">
        <f>1.8</f>
      </c>
      <c r="I121" s="11">
        <f>3.91</f>
      </c>
      <c r="J121" s="11">
        <f>746.91</f>
      </c>
      <c r="K121" s="10">
        <f>"－"</f>
      </c>
      <c r="L121" s="10">
        <f>2.6</f>
      </c>
      <c r="M121" s="21">
        <f>-1742000000</f>
      </c>
      <c r="N121" s="21">
        <f>54491000000</f>
      </c>
    </row>
    <row r="122">
      <c r="A122" s="22" t="s">
        <v>53</v>
      </c>
      <c r="B122" s="22" t="s">
        <v>138</v>
      </c>
      <c r="C122" s="22" t="s">
        <v>139</v>
      </c>
      <c r="D122" s="22" t="s">
        <v>130</v>
      </c>
      <c r="E122" s="22" t="s">
        <v>131</v>
      </c>
      <c r="F122" s="9">
        <f>3</f>
      </c>
      <c r="G122" s="10">
        <f>52.3</f>
      </c>
      <c r="H122" s="10">
        <f>8.4</f>
      </c>
      <c r="I122" s="11">
        <f>15.97</f>
      </c>
      <c r="J122" s="11">
        <f>99.22</f>
      </c>
      <c r="K122" s="10">
        <f>"－"</f>
      </c>
      <c r="L122" s="10">
        <f>2.5</f>
      </c>
      <c r="M122" s="21">
        <f>-701000000</f>
      </c>
      <c r="N122" s="21">
        <f>10369000000</f>
      </c>
    </row>
    <row r="123">
      <c r="A123" s="22" t="s">
        <v>53</v>
      </c>
      <c r="B123" s="22" t="s">
        <v>138</v>
      </c>
      <c r="C123" s="22" t="s">
        <v>139</v>
      </c>
      <c r="D123" s="22" t="s">
        <v>132</v>
      </c>
      <c r="E123" s="22" t="s">
        <v>133</v>
      </c>
      <c r="F123" s="9">
        <f>18</f>
      </c>
      <c r="G123" s="10">
        <f>33.3</f>
      </c>
      <c r="H123" s="10">
        <f>2.9</f>
      </c>
      <c r="I123" s="11">
        <f>51.57</f>
      </c>
      <c r="J123" s="11">
        <f>600.7</f>
      </c>
      <c r="K123" s="10">
        <f>32.2</f>
      </c>
      <c r="L123" s="10">
        <f>2</f>
      </c>
      <c r="M123" s="21">
        <f>11873000000</f>
      </c>
      <c r="N123" s="21">
        <f>192984000000</f>
      </c>
    </row>
    <row r="124">
      <c r="A124" s="22" t="s">
        <v>53</v>
      </c>
      <c r="B124" s="22" t="s">
        <v>138</v>
      </c>
      <c r="C124" s="22" t="s">
        <v>139</v>
      </c>
      <c r="D124" s="22" t="s">
        <v>134</v>
      </c>
      <c r="E124" s="22" t="s">
        <v>135</v>
      </c>
      <c r="F124" s="9">
        <f>105</f>
      </c>
      <c r="G124" s="10">
        <f>70.6</f>
      </c>
      <c r="H124" s="10">
        <f>4.1</f>
      </c>
      <c r="I124" s="11">
        <f>22.65</f>
      </c>
      <c r="J124" s="11">
        <f>390.38</f>
      </c>
      <c r="K124" s="10">
        <f>129.9</f>
      </c>
      <c r="L124" s="10">
        <f>4.7</f>
      </c>
      <c r="M124" s="21">
        <f>8802985000</f>
      </c>
      <c r="N124" s="21">
        <f>245308512000</f>
      </c>
    </row>
    <row r="125">
      <c r="A125" s="22" t="s">
        <v>53</v>
      </c>
      <c r="B125" s="22" t="s">
        <v>140</v>
      </c>
      <c r="C125" s="22" t="s">
        <v>140</v>
      </c>
      <c r="D125" s="22" t="s">
        <v>56</v>
      </c>
      <c r="E125" s="22" t="s">
        <v>57</v>
      </c>
      <c r="F125" s="9">
        <f>698</f>
      </c>
      <c r="G125" s="10">
        <f>20.2</f>
      </c>
      <c r="H125" s="10">
        <f>1</f>
      </c>
      <c r="I125" s="11">
        <f>76.4</f>
      </c>
      <c r="J125" s="11">
        <f>1608.78</f>
      </c>
      <c r="K125" s="10">
        <f>33.9</f>
      </c>
      <c r="L125" s="10">
        <f>1.5</f>
      </c>
      <c r="M125" s="21">
        <f>306239881545</f>
      </c>
      <c r="N125" s="21">
        <f>6794734624310</f>
      </c>
    </row>
    <row r="126">
      <c r="A126" s="22" t="s">
        <v>53</v>
      </c>
      <c r="B126" s="22" t="s">
        <v>140</v>
      </c>
      <c r="C126" s="22" t="s">
        <v>140</v>
      </c>
      <c r="D126" s="22" t="s">
        <v>58</v>
      </c>
      <c r="E126" s="22" t="s">
        <v>59</v>
      </c>
      <c r="F126" s="9">
        <f>"－"</f>
      </c>
      <c r="G126" s="10">
        <f>"－"</f>
      </c>
      <c r="H126" s="10">
        <f>"－"</f>
      </c>
      <c r="I126" s="11">
        <f>"－"</f>
      </c>
      <c r="J126" s="11">
        <f>"－"</f>
      </c>
      <c r="K126" s="10">
        <f>"－"</f>
      </c>
      <c r="L126" s="10">
        <f>"－"</f>
      </c>
      <c r="M126" s="21">
        <f>"－"</f>
      </c>
      <c r="N126" s="21">
        <f>"－"</f>
      </c>
    </row>
    <row r="127">
      <c r="A127" s="22" t="s">
        <v>53</v>
      </c>
      <c r="B127" s="22" t="s">
        <v>140</v>
      </c>
      <c r="C127" s="22" t="s">
        <v>140</v>
      </c>
      <c r="D127" s="22" t="s">
        <v>60</v>
      </c>
      <c r="E127" s="22" t="s">
        <v>61</v>
      </c>
      <c r="F127" s="9">
        <f>"－"</f>
      </c>
      <c r="G127" s="10">
        <f>"－"</f>
      </c>
      <c r="H127" s="10">
        <f>"－"</f>
      </c>
      <c r="I127" s="11">
        <f>"－"</f>
      </c>
      <c r="J127" s="11">
        <f>"－"</f>
      </c>
      <c r="K127" s="10">
        <f>"－"</f>
      </c>
      <c r="L127" s="10">
        <f>"－"</f>
      </c>
      <c r="M127" s="21">
        <f>"－"</f>
      </c>
      <c r="N127" s="21">
        <f>"－"</f>
      </c>
    </row>
    <row r="128">
      <c r="A128" s="22" t="s">
        <v>53</v>
      </c>
      <c r="B128" s="22" t="s">
        <v>140</v>
      </c>
      <c r="C128" s="22" t="s">
        <v>140</v>
      </c>
      <c r="D128" s="22" t="s">
        <v>62</v>
      </c>
      <c r="E128" s="22" t="s">
        <v>63</v>
      </c>
      <c r="F128" s="9">
        <f>"－"</f>
      </c>
      <c r="G128" s="10">
        <f>"－"</f>
      </c>
      <c r="H128" s="10">
        <f>"－"</f>
      </c>
      <c r="I128" s="11">
        <f>"－"</f>
      </c>
      <c r="J128" s="11">
        <f>"－"</f>
      </c>
      <c r="K128" s="10">
        <f>"－"</f>
      </c>
      <c r="L128" s="10">
        <f>"－"</f>
      </c>
      <c r="M128" s="21">
        <f>"－"</f>
      </c>
      <c r="N128" s="21">
        <f>"－"</f>
      </c>
    </row>
    <row r="129">
      <c r="A129" s="22" t="s">
        <v>53</v>
      </c>
      <c r="B129" s="22" t="s">
        <v>140</v>
      </c>
      <c r="C129" s="22" t="s">
        <v>140</v>
      </c>
      <c r="D129" s="22" t="s">
        <v>64</v>
      </c>
      <c r="E129" s="22" t="s">
        <v>65</v>
      </c>
      <c r="F129" s="9">
        <f>682</f>
      </c>
      <c r="G129" s="10">
        <f>20.4</f>
      </c>
      <c r="H129" s="10">
        <f>1</f>
      </c>
      <c r="I129" s="11">
        <f>76.55</f>
      </c>
      <c r="J129" s="11">
        <f>1627.17</f>
      </c>
      <c r="K129" s="10">
        <f>35.5</f>
      </c>
      <c r="L129" s="10">
        <f>1.5</f>
      </c>
      <c r="M129" s="21">
        <f>285437881545</f>
      </c>
      <c r="N129" s="21">
        <f>6588121624310</f>
      </c>
    </row>
    <row r="130">
      <c r="A130" s="22" t="s">
        <v>53</v>
      </c>
      <c r="B130" s="22" t="s">
        <v>140</v>
      </c>
      <c r="C130" s="22" t="s">
        <v>140</v>
      </c>
      <c r="D130" s="22" t="s">
        <v>66</v>
      </c>
      <c r="E130" s="22" t="s">
        <v>67</v>
      </c>
      <c r="F130" s="9">
        <f>242</f>
      </c>
      <c r="G130" s="10">
        <f>21.4</f>
      </c>
      <c r="H130" s="10">
        <f>0.9</f>
      </c>
      <c r="I130" s="11">
        <f>85.75</f>
      </c>
      <c r="J130" s="11">
        <f>2078.59</f>
      </c>
      <c r="K130" s="10">
        <f>52.9</f>
      </c>
      <c r="L130" s="10">
        <f>1.3</f>
      </c>
      <c r="M130" s="21">
        <f>72511000000</f>
      </c>
      <c r="N130" s="21">
        <f>3028378500000</f>
      </c>
    </row>
    <row r="131">
      <c r="A131" s="22" t="s">
        <v>53</v>
      </c>
      <c r="B131" s="22" t="s">
        <v>140</v>
      </c>
      <c r="C131" s="22" t="s">
        <v>140</v>
      </c>
      <c r="D131" s="22" t="s">
        <v>68</v>
      </c>
      <c r="E131" s="22" t="s">
        <v>69</v>
      </c>
      <c r="F131" s="9">
        <f>440</f>
      </c>
      <c r="G131" s="10">
        <f>19.7</f>
      </c>
      <c r="H131" s="10">
        <f>1</f>
      </c>
      <c r="I131" s="11">
        <f>71.49</f>
      </c>
      <c r="J131" s="11">
        <f>1378.89</f>
      </c>
      <c r="K131" s="10">
        <f>29.6</f>
      </c>
      <c r="L131" s="10">
        <f>1.8</f>
      </c>
      <c r="M131" s="21">
        <f>212926881545</f>
      </c>
      <c r="N131" s="21">
        <f>3559743124310</f>
      </c>
    </row>
    <row r="132">
      <c r="A132" s="22" t="s">
        <v>53</v>
      </c>
      <c r="B132" s="22" t="s">
        <v>140</v>
      </c>
      <c r="C132" s="22" t="s">
        <v>140</v>
      </c>
      <c r="D132" s="22" t="s">
        <v>70</v>
      </c>
      <c r="E132" s="22" t="s">
        <v>71</v>
      </c>
      <c r="F132" s="9">
        <f>4</f>
      </c>
      <c r="G132" s="10">
        <f>19.2</f>
      </c>
      <c r="H132" s="10">
        <f>1.6</f>
      </c>
      <c r="I132" s="11">
        <f>100.65</f>
      </c>
      <c r="J132" s="11">
        <f>1205.52</f>
      </c>
      <c r="K132" s="10">
        <f>13.4</f>
      </c>
      <c r="L132" s="10">
        <f>1.5</f>
      </c>
      <c r="M132" s="21">
        <f>2069000000</f>
      </c>
      <c r="N132" s="21">
        <f>18932000000</f>
      </c>
    </row>
    <row r="133">
      <c r="A133" s="22" t="s">
        <v>53</v>
      </c>
      <c r="B133" s="22" t="s">
        <v>140</v>
      </c>
      <c r="C133" s="22" t="s">
        <v>140</v>
      </c>
      <c r="D133" s="22" t="s">
        <v>72</v>
      </c>
      <c r="E133" s="22" t="s">
        <v>73</v>
      </c>
      <c r="F133" s="9">
        <f>"－"</f>
      </c>
      <c r="G133" s="10">
        <f>"－"</f>
      </c>
      <c r="H133" s="10">
        <f>"－"</f>
      </c>
      <c r="I133" s="11">
        <f>"－"</f>
      </c>
      <c r="J133" s="11">
        <f>"－"</f>
      </c>
      <c r="K133" s="10">
        <f>"－"</f>
      </c>
      <c r="L133" s="10">
        <f>"－"</f>
      </c>
      <c r="M133" s="21">
        <f>"－"</f>
      </c>
      <c r="N133" s="21">
        <f>"－"</f>
      </c>
    </row>
    <row r="134">
      <c r="A134" s="22" t="s">
        <v>53</v>
      </c>
      <c r="B134" s="22" t="s">
        <v>140</v>
      </c>
      <c r="C134" s="22" t="s">
        <v>140</v>
      </c>
      <c r="D134" s="22" t="s">
        <v>74</v>
      </c>
      <c r="E134" s="22" t="s">
        <v>75</v>
      </c>
      <c r="F134" s="9">
        <f>31</f>
      </c>
      <c r="G134" s="10">
        <f>9.1</f>
      </c>
      <c r="H134" s="10">
        <f>0.7</f>
      </c>
      <c r="I134" s="11">
        <f>235.35</f>
      </c>
      <c r="J134" s="11">
        <f>3092.52</f>
      </c>
      <c r="K134" s="10">
        <f>16.4</f>
      </c>
      <c r="L134" s="10">
        <f>1.1</f>
      </c>
      <c r="M134" s="21">
        <f>25417000000</f>
      </c>
      <c r="N134" s="21">
        <f>383217000000</f>
      </c>
    </row>
    <row r="135">
      <c r="A135" s="22" t="s">
        <v>53</v>
      </c>
      <c r="B135" s="22" t="s">
        <v>140</v>
      </c>
      <c r="C135" s="22" t="s">
        <v>140</v>
      </c>
      <c r="D135" s="22" t="s">
        <v>76</v>
      </c>
      <c r="E135" s="22" t="s">
        <v>77</v>
      </c>
      <c r="F135" s="9">
        <f>14</f>
      </c>
      <c r="G135" s="10">
        <f>52.1</f>
      </c>
      <c r="H135" s="10">
        <f>1.1</f>
      </c>
      <c r="I135" s="11">
        <f>37.67</f>
      </c>
      <c r="J135" s="11">
        <f>1858.91</f>
      </c>
      <c r="K135" s="10">
        <f>25.6</f>
      </c>
      <c r="L135" s="10">
        <f>1.1</f>
      </c>
      <c r="M135" s="21">
        <f>6385000000</f>
      </c>
      <c r="N135" s="21">
        <f>153824000000</f>
      </c>
    </row>
    <row r="136">
      <c r="A136" s="22" t="s">
        <v>53</v>
      </c>
      <c r="B136" s="22" t="s">
        <v>140</v>
      </c>
      <c r="C136" s="22" t="s">
        <v>140</v>
      </c>
      <c r="D136" s="22" t="s">
        <v>78</v>
      </c>
      <c r="E136" s="22" t="s">
        <v>79</v>
      </c>
      <c r="F136" s="9">
        <f>1</f>
      </c>
      <c r="G136" s="10">
        <f>"－"</f>
      </c>
      <c r="H136" s="10">
        <f>0.3</f>
      </c>
      <c r="I136" s="11">
        <f>-336</f>
      </c>
      <c r="J136" s="11">
        <f>8362</f>
      </c>
      <c r="K136" s="10">
        <f>"－"</f>
      </c>
      <c r="L136" s="10">
        <f>0.3</f>
      </c>
      <c r="M136" s="21">
        <f>-336000000</f>
      </c>
      <c r="N136" s="21">
        <f>8362000000</f>
      </c>
    </row>
    <row r="137">
      <c r="A137" s="22" t="s">
        <v>53</v>
      </c>
      <c r="B137" s="22" t="s">
        <v>140</v>
      </c>
      <c r="C137" s="22" t="s">
        <v>140</v>
      </c>
      <c r="D137" s="22" t="s">
        <v>80</v>
      </c>
      <c r="E137" s="22" t="s">
        <v>81</v>
      </c>
      <c r="F137" s="9">
        <f>7</f>
      </c>
      <c r="G137" s="10">
        <f>11.1</f>
      </c>
      <c r="H137" s="10">
        <f>0.7</f>
      </c>
      <c r="I137" s="11">
        <f>91.39</f>
      </c>
      <c r="J137" s="11">
        <f>1491.29</f>
      </c>
      <c r="K137" s="10">
        <f>13.8</f>
      </c>
      <c r="L137" s="10">
        <f>0.8</f>
      </c>
      <c r="M137" s="21">
        <f>3808000000</f>
      </c>
      <c r="N137" s="21">
        <f>63342000000</f>
      </c>
    </row>
    <row r="138">
      <c r="A138" s="22" t="s">
        <v>53</v>
      </c>
      <c r="B138" s="22" t="s">
        <v>140</v>
      </c>
      <c r="C138" s="22" t="s">
        <v>140</v>
      </c>
      <c r="D138" s="22" t="s">
        <v>82</v>
      </c>
      <c r="E138" s="22" t="s">
        <v>83</v>
      </c>
      <c r="F138" s="9">
        <f>29</f>
      </c>
      <c r="G138" s="10">
        <f>16.6</f>
      </c>
      <c r="H138" s="10">
        <f>1</f>
      </c>
      <c r="I138" s="11">
        <f>193.72</f>
      </c>
      <c r="J138" s="11">
        <f>3221.47</f>
      </c>
      <c r="K138" s="10">
        <f>24.8</f>
      </c>
      <c r="L138" s="10">
        <f>1.2</f>
      </c>
      <c r="M138" s="21">
        <f>18751000000</f>
      </c>
      <c r="N138" s="21">
        <f>380701500000</f>
      </c>
    </row>
    <row r="139">
      <c r="A139" s="22" t="s">
        <v>53</v>
      </c>
      <c r="B139" s="22" t="s">
        <v>140</v>
      </c>
      <c r="C139" s="22" t="s">
        <v>140</v>
      </c>
      <c r="D139" s="22" t="s">
        <v>84</v>
      </c>
      <c r="E139" s="22" t="s">
        <v>85</v>
      </c>
      <c r="F139" s="9">
        <f>7</f>
      </c>
      <c r="G139" s="10">
        <f>"－"</f>
      </c>
      <c r="H139" s="10">
        <f>2.3</f>
      </c>
      <c r="I139" s="11">
        <f>-4.56</f>
      </c>
      <c r="J139" s="11">
        <f>289.13</f>
      </c>
      <c r="K139" s="10">
        <f>"－"</f>
      </c>
      <c r="L139" s="10">
        <f>3.2</f>
      </c>
      <c r="M139" s="21">
        <f>-3670000000</f>
      </c>
      <c r="N139" s="21">
        <f>22406000000</f>
      </c>
    </row>
    <row r="140">
      <c r="A140" s="22" t="s">
        <v>53</v>
      </c>
      <c r="B140" s="22" t="s">
        <v>140</v>
      </c>
      <c r="C140" s="22" t="s">
        <v>140</v>
      </c>
      <c r="D140" s="22" t="s">
        <v>86</v>
      </c>
      <c r="E140" s="22" t="s">
        <v>87</v>
      </c>
      <c r="F140" s="9">
        <f>"－"</f>
      </c>
      <c r="G140" s="10">
        <f>"－"</f>
      </c>
      <c r="H140" s="10">
        <f>"－"</f>
      </c>
      <c r="I140" s="11">
        <f>"－"</f>
      </c>
      <c r="J140" s="11">
        <f>"－"</f>
      </c>
      <c r="K140" s="10">
        <f>"－"</f>
      </c>
      <c r="L140" s="10">
        <f>"－"</f>
      </c>
      <c r="M140" s="21">
        <f>"－"</f>
      </c>
      <c r="N140" s="21">
        <f>"－"</f>
      </c>
    </row>
    <row r="141">
      <c r="A141" s="22" t="s">
        <v>53</v>
      </c>
      <c r="B141" s="22" t="s">
        <v>140</v>
      </c>
      <c r="C141" s="22" t="s">
        <v>140</v>
      </c>
      <c r="D141" s="22" t="s">
        <v>88</v>
      </c>
      <c r="E141" s="22" t="s">
        <v>89</v>
      </c>
      <c r="F141" s="9">
        <f>2</f>
      </c>
      <c r="G141" s="10">
        <f>541.4</f>
      </c>
      <c r="H141" s="10">
        <f>1.1</f>
      </c>
      <c r="I141" s="11">
        <f>3.54</f>
      </c>
      <c r="J141" s="11">
        <f>1694.12</f>
      </c>
      <c r="K141" s="10">
        <f>70.2</f>
      </c>
      <c r="L141" s="10">
        <f>0.9</f>
      </c>
      <c r="M141" s="21">
        <f>100000000</f>
      </c>
      <c r="N141" s="21">
        <f>7573000000</f>
      </c>
    </row>
    <row r="142">
      <c r="A142" s="22" t="s">
        <v>53</v>
      </c>
      <c r="B142" s="22" t="s">
        <v>140</v>
      </c>
      <c r="C142" s="22" t="s">
        <v>140</v>
      </c>
      <c r="D142" s="22" t="s">
        <v>90</v>
      </c>
      <c r="E142" s="22" t="s">
        <v>91</v>
      </c>
      <c r="F142" s="9">
        <f>10</f>
      </c>
      <c r="G142" s="10">
        <f>23.7</f>
      </c>
      <c r="H142" s="10">
        <f>1.3</f>
      </c>
      <c r="I142" s="11">
        <f>146.48</f>
      </c>
      <c r="J142" s="11">
        <f>2724.15</f>
      </c>
      <c r="K142" s="10">
        <f>"－"</f>
      </c>
      <c r="L142" s="10">
        <f>1</f>
      </c>
      <c r="M142" s="21">
        <f>-919000000</f>
      </c>
      <c r="N142" s="21">
        <f>55327000000</f>
      </c>
    </row>
    <row r="143">
      <c r="A143" s="22" t="s">
        <v>53</v>
      </c>
      <c r="B143" s="22" t="s">
        <v>140</v>
      </c>
      <c r="C143" s="22" t="s">
        <v>140</v>
      </c>
      <c r="D143" s="22" t="s">
        <v>92</v>
      </c>
      <c r="E143" s="22" t="s">
        <v>93</v>
      </c>
      <c r="F143" s="9">
        <f>4</f>
      </c>
      <c r="G143" s="10">
        <f>8.7</f>
      </c>
      <c r="H143" s="10">
        <f>0.7</f>
      </c>
      <c r="I143" s="11">
        <f>211.88</f>
      </c>
      <c r="J143" s="11">
        <f>2509.47</f>
      </c>
      <c r="K143" s="10">
        <f>8</f>
      </c>
      <c r="L143" s="10">
        <f>0.6</f>
      </c>
      <c r="M143" s="21">
        <f>3262000000</f>
      </c>
      <c r="N143" s="21">
        <f>42669000000</f>
      </c>
    </row>
    <row r="144">
      <c r="A144" s="22" t="s">
        <v>53</v>
      </c>
      <c r="B144" s="22" t="s">
        <v>140</v>
      </c>
      <c r="C144" s="22" t="s">
        <v>140</v>
      </c>
      <c r="D144" s="22" t="s">
        <v>94</v>
      </c>
      <c r="E144" s="22" t="s">
        <v>95</v>
      </c>
      <c r="F144" s="9">
        <f>3</f>
      </c>
      <c r="G144" s="10">
        <f>25.9</f>
      </c>
      <c r="H144" s="10">
        <f>0.8</f>
      </c>
      <c r="I144" s="11">
        <f>70.03</f>
      </c>
      <c r="J144" s="11">
        <f>2180.33</f>
      </c>
      <c r="K144" s="10">
        <f>36.6</f>
      </c>
      <c r="L144" s="10">
        <f>1.1</f>
      </c>
      <c r="M144" s="21">
        <f>404000000</f>
      </c>
      <c r="N144" s="21">
        <f>13439000000</f>
      </c>
    </row>
    <row r="145">
      <c r="A145" s="22" t="s">
        <v>53</v>
      </c>
      <c r="B145" s="22" t="s">
        <v>140</v>
      </c>
      <c r="C145" s="22" t="s">
        <v>140</v>
      </c>
      <c r="D145" s="22" t="s">
        <v>96</v>
      </c>
      <c r="E145" s="22" t="s">
        <v>97</v>
      </c>
      <c r="F145" s="9">
        <f>18</f>
      </c>
      <c r="G145" s="10">
        <f>13.1</f>
      </c>
      <c r="H145" s="10">
        <f>0.6</f>
      </c>
      <c r="I145" s="11">
        <f>163.45</f>
      </c>
      <c r="J145" s="11">
        <f>3337.89</f>
      </c>
      <c r="K145" s="10">
        <f>16.6</f>
      </c>
      <c r="L145" s="10">
        <f>0.8</f>
      </c>
      <c r="M145" s="21">
        <f>7919000000</f>
      </c>
      <c r="N145" s="21">
        <f>170014000000</f>
      </c>
    </row>
    <row r="146">
      <c r="A146" s="22" t="s">
        <v>53</v>
      </c>
      <c r="B146" s="22" t="s">
        <v>140</v>
      </c>
      <c r="C146" s="22" t="s">
        <v>140</v>
      </c>
      <c r="D146" s="22" t="s">
        <v>98</v>
      </c>
      <c r="E146" s="22" t="s">
        <v>99</v>
      </c>
      <c r="F146" s="9">
        <f>42</f>
      </c>
      <c r="G146" s="10">
        <f>31</f>
      </c>
      <c r="H146" s="10">
        <f>0.9</f>
      </c>
      <c r="I146" s="11">
        <f>49.48</f>
      </c>
      <c r="J146" s="11">
        <f>1766.27</f>
      </c>
      <c r="K146" s="10">
        <f>232.8</f>
      </c>
      <c r="L146" s="10">
        <f>1.6</f>
      </c>
      <c r="M146" s="21">
        <f>6245000000</f>
      </c>
      <c r="N146" s="21">
        <f>883640000000</f>
      </c>
    </row>
    <row r="147">
      <c r="A147" s="22" t="s">
        <v>53</v>
      </c>
      <c r="B147" s="22" t="s">
        <v>140</v>
      </c>
      <c r="C147" s="22" t="s">
        <v>140</v>
      </c>
      <c r="D147" s="22" t="s">
        <v>100</v>
      </c>
      <c r="E147" s="22" t="s">
        <v>101</v>
      </c>
      <c r="F147" s="9">
        <f>46</f>
      </c>
      <c r="G147" s="10">
        <f>23.2</f>
      </c>
      <c r="H147" s="10">
        <f>1</f>
      </c>
      <c r="I147" s="11">
        <f>76.11</f>
      </c>
      <c r="J147" s="11">
        <f>1801.64</f>
      </c>
      <c r="K147" s="10">
        <f>50.8</f>
      </c>
      <c r="L147" s="10">
        <f>1.2</f>
      </c>
      <c r="M147" s="21">
        <f>14240000000</f>
      </c>
      <c r="N147" s="21">
        <f>601660000000</f>
      </c>
    </row>
    <row r="148">
      <c r="A148" s="22" t="s">
        <v>53</v>
      </c>
      <c r="B148" s="22" t="s">
        <v>140</v>
      </c>
      <c r="C148" s="22" t="s">
        <v>140</v>
      </c>
      <c r="D148" s="22" t="s">
        <v>102</v>
      </c>
      <c r="E148" s="22" t="s">
        <v>103</v>
      </c>
      <c r="F148" s="9">
        <f>14</f>
      </c>
      <c r="G148" s="10">
        <f>18.5</f>
      </c>
      <c r="H148" s="10">
        <f>0.5</f>
      </c>
      <c r="I148" s="11">
        <f>54.51</f>
      </c>
      <c r="J148" s="11">
        <f>2206.89</f>
      </c>
      <c r="K148" s="10">
        <f>84.5</f>
      </c>
      <c r="L148" s="10">
        <f>0.4</f>
      </c>
      <c r="M148" s="21">
        <f>1113000000</f>
      </c>
      <c r="N148" s="21">
        <f>253585000000</f>
      </c>
    </row>
    <row r="149">
      <c r="A149" s="22" t="s">
        <v>53</v>
      </c>
      <c r="B149" s="22" t="s">
        <v>140</v>
      </c>
      <c r="C149" s="22" t="s">
        <v>140</v>
      </c>
      <c r="D149" s="22" t="s">
        <v>104</v>
      </c>
      <c r="E149" s="22" t="s">
        <v>105</v>
      </c>
      <c r="F149" s="9">
        <f>13</f>
      </c>
      <c r="G149" s="10">
        <f>27.1</f>
      </c>
      <c r="H149" s="10">
        <f>1.9</f>
      </c>
      <c r="I149" s="11">
        <f>46.17</f>
      </c>
      <c r="J149" s="11">
        <f>648.19</f>
      </c>
      <c r="K149" s="10">
        <f>43.5</f>
      </c>
      <c r="L149" s="10">
        <f>2.3</f>
      </c>
      <c r="M149" s="21">
        <f>8775000000</f>
      </c>
      <c r="N149" s="21">
        <f>167814000000</f>
      </c>
    </row>
    <row r="150">
      <c r="A150" s="22" t="s">
        <v>53</v>
      </c>
      <c r="B150" s="22" t="s">
        <v>140</v>
      </c>
      <c r="C150" s="22" t="s">
        <v>140</v>
      </c>
      <c r="D150" s="22" t="s">
        <v>106</v>
      </c>
      <c r="E150" s="22" t="s">
        <v>107</v>
      </c>
      <c r="F150" s="9">
        <f>32</f>
      </c>
      <c r="G150" s="10">
        <f>21.9</f>
      </c>
      <c r="H150" s="10">
        <f>0.7</f>
      </c>
      <c r="I150" s="11">
        <f>60.01</f>
      </c>
      <c r="J150" s="11">
        <f>1846.04</f>
      </c>
      <c r="K150" s="10">
        <f>29.9</f>
      </c>
      <c r="L150" s="10">
        <f>0.9</f>
      </c>
      <c r="M150" s="21">
        <f>6434000000</f>
      </c>
      <c r="N150" s="21">
        <f>204022000000</f>
      </c>
    </row>
    <row r="151">
      <c r="A151" s="22" t="s">
        <v>53</v>
      </c>
      <c r="B151" s="22" t="s">
        <v>140</v>
      </c>
      <c r="C151" s="22" t="s">
        <v>140</v>
      </c>
      <c r="D151" s="22" t="s">
        <v>108</v>
      </c>
      <c r="E151" s="22" t="s">
        <v>109</v>
      </c>
      <c r="F151" s="9">
        <f>"－"</f>
      </c>
      <c r="G151" s="10">
        <f>"－"</f>
      </c>
      <c r="H151" s="10">
        <f>"－"</f>
      </c>
      <c r="I151" s="11">
        <f>"－"</f>
      </c>
      <c r="J151" s="11">
        <f>"－"</f>
      </c>
      <c r="K151" s="10">
        <f>"－"</f>
      </c>
      <c r="L151" s="10">
        <f>"－"</f>
      </c>
      <c r="M151" s="21">
        <f>"－"</f>
      </c>
      <c r="N151" s="21">
        <f>"－"</f>
      </c>
    </row>
    <row r="152">
      <c r="A152" s="22" t="s">
        <v>53</v>
      </c>
      <c r="B152" s="22" t="s">
        <v>140</v>
      </c>
      <c r="C152" s="22" t="s">
        <v>140</v>
      </c>
      <c r="D152" s="22" t="s">
        <v>110</v>
      </c>
      <c r="E152" s="22" t="s">
        <v>111</v>
      </c>
      <c r="F152" s="9">
        <f>8</f>
      </c>
      <c r="G152" s="10">
        <f>15.6</f>
      </c>
      <c r="H152" s="10">
        <f>0.5</f>
      </c>
      <c r="I152" s="11">
        <f>116.04</f>
      </c>
      <c r="J152" s="11">
        <f>3953.73</f>
      </c>
      <c r="K152" s="10">
        <f>13.8</f>
      </c>
      <c r="L152" s="10">
        <f>0.6</f>
      </c>
      <c r="M152" s="21">
        <f>3744000000</f>
      </c>
      <c r="N152" s="21">
        <f>87062000000</f>
      </c>
    </row>
    <row r="153">
      <c r="A153" s="22" t="s">
        <v>53</v>
      </c>
      <c r="B153" s="22" t="s">
        <v>140</v>
      </c>
      <c r="C153" s="22" t="s">
        <v>140</v>
      </c>
      <c r="D153" s="22" t="s">
        <v>112</v>
      </c>
      <c r="E153" s="22" t="s">
        <v>113</v>
      </c>
      <c r="F153" s="9">
        <f>1</f>
      </c>
      <c r="G153" s="10">
        <f>"－"</f>
      </c>
      <c r="H153" s="10">
        <f>2</f>
      </c>
      <c r="I153" s="11">
        <f>-50.03</f>
      </c>
      <c r="J153" s="11">
        <f>110.6</f>
      </c>
      <c r="K153" s="10">
        <f>"－"</f>
      </c>
      <c r="L153" s="10">
        <f>2</f>
      </c>
      <c r="M153" s="21">
        <f>-769000000</f>
      </c>
      <c r="N153" s="21">
        <f>1700000000</f>
      </c>
    </row>
    <row r="154">
      <c r="A154" s="22" t="s">
        <v>53</v>
      </c>
      <c r="B154" s="22" t="s">
        <v>140</v>
      </c>
      <c r="C154" s="22" t="s">
        <v>140</v>
      </c>
      <c r="D154" s="22" t="s">
        <v>114</v>
      </c>
      <c r="E154" s="22" t="s">
        <v>115</v>
      </c>
      <c r="F154" s="9">
        <f>"－"</f>
      </c>
      <c r="G154" s="10">
        <f>"－"</f>
      </c>
      <c r="H154" s="10">
        <f>"－"</f>
      </c>
      <c r="I154" s="11">
        <f>"－"</f>
      </c>
      <c r="J154" s="11">
        <f>"－"</f>
      </c>
      <c r="K154" s="10">
        <f>"－"</f>
      </c>
      <c r="L154" s="10">
        <f>"－"</f>
      </c>
      <c r="M154" s="21">
        <f>"－"</f>
      </c>
      <c r="N154" s="21">
        <f>"－"</f>
      </c>
    </row>
    <row r="155">
      <c r="A155" s="22" t="s">
        <v>53</v>
      </c>
      <c r="B155" s="22" t="s">
        <v>140</v>
      </c>
      <c r="C155" s="22" t="s">
        <v>140</v>
      </c>
      <c r="D155" s="22" t="s">
        <v>116</v>
      </c>
      <c r="E155" s="22" t="s">
        <v>117</v>
      </c>
      <c r="F155" s="9">
        <f>2</f>
      </c>
      <c r="G155" s="10">
        <f>9.9</f>
      </c>
      <c r="H155" s="10">
        <f>0.8</f>
      </c>
      <c r="I155" s="11">
        <f>52.68</f>
      </c>
      <c r="J155" s="11">
        <f>665.67</f>
      </c>
      <c r="K155" s="10">
        <f>10.2</f>
      </c>
      <c r="L155" s="10">
        <f>0.8</f>
      </c>
      <c r="M155" s="21">
        <f>1152000000</f>
      </c>
      <c r="N155" s="21">
        <f>15564000000</f>
      </c>
    </row>
    <row r="156">
      <c r="A156" s="22" t="s">
        <v>53</v>
      </c>
      <c r="B156" s="22" t="s">
        <v>140</v>
      </c>
      <c r="C156" s="22" t="s">
        <v>140</v>
      </c>
      <c r="D156" s="22" t="s">
        <v>118</v>
      </c>
      <c r="E156" s="22" t="s">
        <v>119</v>
      </c>
      <c r="F156" s="9">
        <f>99</f>
      </c>
      <c r="G156" s="10">
        <f>25</f>
      </c>
      <c r="H156" s="10">
        <f>1.9</f>
      </c>
      <c r="I156" s="11">
        <f>56.41</f>
      </c>
      <c r="J156" s="11">
        <f>725.33</f>
      </c>
      <c r="K156" s="10">
        <f>36.8</f>
      </c>
      <c r="L156" s="10">
        <f>2.4</f>
      </c>
      <c r="M156" s="21">
        <f>43164013545</f>
      </c>
      <c r="N156" s="21">
        <f>674207554000</f>
      </c>
    </row>
    <row r="157">
      <c r="A157" s="22" t="s">
        <v>53</v>
      </c>
      <c r="B157" s="22" t="s">
        <v>140</v>
      </c>
      <c r="C157" s="22" t="s">
        <v>140</v>
      </c>
      <c r="D157" s="22" t="s">
        <v>120</v>
      </c>
      <c r="E157" s="22" t="s">
        <v>121</v>
      </c>
      <c r="F157" s="9">
        <f>83</f>
      </c>
      <c r="G157" s="10">
        <f>15.4</f>
      </c>
      <c r="H157" s="10">
        <f>0.7</f>
      </c>
      <c r="I157" s="11">
        <f>98.69</f>
      </c>
      <c r="J157" s="11">
        <f>2150.59</f>
      </c>
      <c r="K157" s="10">
        <f>20.5</f>
      </c>
      <c r="L157" s="10">
        <f>0.9</f>
      </c>
      <c r="M157" s="21">
        <f>33075000000</f>
      </c>
      <c r="N157" s="21">
        <f>720936000000</f>
      </c>
    </row>
    <row r="158">
      <c r="A158" s="22" t="s">
        <v>53</v>
      </c>
      <c r="B158" s="22" t="s">
        <v>140</v>
      </c>
      <c r="C158" s="22" t="s">
        <v>140</v>
      </c>
      <c r="D158" s="22" t="s">
        <v>122</v>
      </c>
      <c r="E158" s="22" t="s">
        <v>123</v>
      </c>
      <c r="F158" s="9">
        <f>83</f>
      </c>
      <c r="G158" s="10">
        <f>50.8</f>
      </c>
      <c r="H158" s="10">
        <f>1.3</f>
      </c>
      <c r="I158" s="11">
        <f>28.69</f>
      </c>
      <c r="J158" s="11">
        <f>1140.18</f>
      </c>
      <c r="K158" s="10">
        <f>48.6</f>
      </c>
      <c r="L158" s="10">
        <f>2.6</f>
      </c>
      <c r="M158" s="21">
        <f>48558673000</f>
      </c>
      <c r="N158" s="21">
        <f>891465597000</f>
      </c>
    </row>
    <row r="159">
      <c r="A159" s="22" t="s">
        <v>53</v>
      </c>
      <c r="B159" s="22" t="s">
        <v>140</v>
      </c>
      <c r="C159" s="22" t="s">
        <v>140</v>
      </c>
      <c r="D159" s="22" t="s">
        <v>124</v>
      </c>
      <c r="E159" s="22" t="s">
        <v>125</v>
      </c>
      <c r="F159" s="9">
        <f>"－"</f>
      </c>
      <c r="G159" s="10">
        <f>"－"</f>
      </c>
      <c r="H159" s="10">
        <f>"－"</f>
      </c>
      <c r="I159" s="11">
        <f>"－"</f>
      </c>
      <c r="J159" s="11">
        <f>"－"</f>
      </c>
      <c r="K159" s="10">
        <f>"－"</f>
      </c>
      <c r="L159" s="10">
        <f>"－"</f>
      </c>
      <c r="M159" s="21">
        <f>"－"</f>
      </c>
      <c r="N159" s="21">
        <f>"－"</f>
      </c>
    </row>
    <row r="160">
      <c r="A160" s="22" t="s">
        <v>53</v>
      </c>
      <c r="B160" s="22" t="s">
        <v>140</v>
      </c>
      <c r="C160" s="22" t="s">
        <v>140</v>
      </c>
      <c r="D160" s="22" t="s">
        <v>126</v>
      </c>
      <c r="E160" s="22" t="s">
        <v>127</v>
      </c>
      <c r="F160" s="9">
        <f>12</f>
      </c>
      <c r="G160" s="10">
        <f>9.5</f>
      </c>
      <c r="H160" s="10">
        <f>0.8</f>
      </c>
      <c r="I160" s="11">
        <f>76.14</f>
      </c>
      <c r="J160" s="11">
        <f>948.45</f>
      </c>
      <c r="K160" s="10">
        <f>9.2</f>
      </c>
      <c r="L160" s="10">
        <f>1</f>
      </c>
      <c r="M160" s="21">
        <f>19811000000</f>
      </c>
      <c r="N160" s="21">
        <f>178480000000</f>
      </c>
    </row>
    <row r="161">
      <c r="A161" s="22" t="s">
        <v>53</v>
      </c>
      <c r="B161" s="22" t="s">
        <v>140</v>
      </c>
      <c r="C161" s="22" t="s">
        <v>140</v>
      </c>
      <c r="D161" s="22" t="s">
        <v>128</v>
      </c>
      <c r="E161" s="22" t="s">
        <v>129</v>
      </c>
      <c r="F161" s="9">
        <f>1</f>
      </c>
      <c r="G161" s="10">
        <f>15.2</f>
      </c>
      <c r="H161" s="10">
        <f>3.9</f>
      </c>
      <c r="I161" s="11">
        <f>151.64</f>
      </c>
      <c r="J161" s="11">
        <f>591.51</f>
      </c>
      <c r="K161" s="10">
        <f>15.2</f>
      </c>
      <c r="L161" s="10">
        <f>3.9</f>
      </c>
      <c r="M161" s="21">
        <f>2743000000</f>
      </c>
      <c r="N161" s="21">
        <f>10700000000</f>
      </c>
    </row>
    <row r="162">
      <c r="A162" s="22" t="s">
        <v>53</v>
      </c>
      <c r="B162" s="22" t="s">
        <v>140</v>
      </c>
      <c r="C162" s="22" t="s">
        <v>140</v>
      </c>
      <c r="D162" s="22" t="s">
        <v>130</v>
      </c>
      <c r="E162" s="22" t="s">
        <v>131</v>
      </c>
      <c r="F162" s="9">
        <f>3</f>
      </c>
      <c r="G162" s="10">
        <f>16.7</f>
      </c>
      <c r="H162" s="10">
        <f>0.7</f>
      </c>
      <c r="I162" s="11">
        <f>16.41</f>
      </c>
      <c r="J162" s="11">
        <f>407.48</f>
      </c>
      <c r="K162" s="10">
        <f>"－"</f>
      </c>
      <c r="L162" s="10">
        <f>0.4</f>
      </c>
      <c r="M162" s="21">
        <f>-1752000000</f>
      </c>
      <c r="N162" s="21">
        <f>17433000000</f>
      </c>
    </row>
    <row r="163">
      <c r="A163" s="22" t="s">
        <v>53</v>
      </c>
      <c r="B163" s="22" t="s">
        <v>140</v>
      </c>
      <c r="C163" s="22" t="s">
        <v>140</v>
      </c>
      <c r="D163" s="22" t="s">
        <v>132</v>
      </c>
      <c r="E163" s="22" t="s">
        <v>133</v>
      </c>
      <c r="F163" s="9">
        <f>27</f>
      </c>
      <c r="G163" s="10">
        <f>11.6</f>
      </c>
      <c r="H163" s="10">
        <f>0.8</f>
      </c>
      <c r="I163" s="11">
        <f>71.95</f>
      </c>
      <c r="J163" s="11">
        <f>1082.36</f>
      </c>
      <c r="K163" s="10">
        <f>10.5</f>
      </c>
      <c r="L163" s="10">
        <f>1</f>
      </c>
      <c r="M163" s="21">
        <f>25642000000</f>
      </c>
      <c r="N163" s="21">
        <f>261315846500</f>
      </c>
    </row>
    <row r="164">
      <c r="A164" s="22" t="s">
        <v>53</v>
      </c>
      <c r="B164" s="22" t="s">
        <v>140</v>
      </c>
      <c r="C164" s="22" t="s">
        <v>140</v>
      </c>
      <c r="D164" s="22" t="s">
        <v>134</v>
      </c>
      <c r="E164" s="22" t="s">
        <v>135</v>
      </c>
      <c r="F164" s="9">
        <f>102</f>
      </c>
      <c r="G164" s="10">
        <f>25.9</f>
      </c>
      <c r="H164" s="10">
        <f>1.2</f>
      </c>
      <c r="I164" s="11">
        <f>45.84</f>
      </c>
      <c r="J164" s="11">
        <f>968.49</f>
      </c>
      <c r="K164" s="10">
        <f>29.1</f>
      </c>
      <c r="L164" s="10">
        <f>1.8</f>
      </c>
      <c r="M164" s="21">
        <f>30874195000</f>
      </c>
      <c r="N164" s="21">
        <f>505343126810</f>
      </c>
    </row>
  </sheetData>
  <mergeCells count="8">
    <mergeCell ref="F1:J1"/>
    <mergeCell ref="K1:N1"/>
    <mergeCell ref="F2:J2"/>
    <mergeCell ref="K2:N2"/>
    <mergeCell ref="B3:B4"/>
    <mergeCell ref="C3:C4"/>
    <mergeCell ref="D3:D4"/>
    <mergeCell ref="E3:E4"/>
  </mergeCells>
  <phoneticPr fontId="2"/>
  <pageMargins bottom="0.74803149606299213" footer="0.31496062992125984" header="0.31496062992125984" left="0.23622047244094491" right="0.23622047244094491" top="0.74803149606299213"/>
  <pageSetup orientation="portrait" paperSize="9" r:id="rId1" scale="33"/>
  <headerFooter>
    <oddFooter>&amp;C1-&amp;P&amp;RCopyright (c) Tokyo Stock Exchange, Inc. All Rights Reserved.</oddFooter>
  </headerFooter>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2">
    <pageSetUpPr fitToPage="1"/>
  </sheetPr>
  <dimension ref="A1:AA9"/>
  <sheetViews>
    <sheetView showGridLines="0" workbookViewId="0" zoomScaleNormal="100">
      <pane activePane="bottomLeft" state="frozen" topLeftCell="A6" ySplit="5"/>
      <selection activeCell="A6" pane="bottomLeft" sqref="A6"/>
    </sheetView>
  </sheetViews>
  <sheetFormatPr defaultRowHeight="13.5"/>
  <cols>
    <col min="1" max="1" customWidth="true" style="5" width="12.875" collapsed="true"/>
    <col min="2" max="2" bestFit="true" customWidth="true" style="5" width="9.1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customHeight="1" ht="33.75" r="1" spans="1:26">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customHeight="1" ht="13.5" r="2" spans="1:26">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customHeight="1" ht="13.5" r="3" spans="1:26">
      <c r="A3" s="16"/>
      <c r="B3" s="2"/>
      <c r="C3" s="2"/>
      <c r="D3" s="2"/>
      <c r="E3" s="2"/>
      <c r="F3" s="17"/>
      <c r="G3" s="17"/>
      <c r="H3" s="17"/>
      <c r="I3" s="17"/>
      <c r="J3" s="27" t="s">
        <v>52</v>
      </c>
      <c r="K3" s="27"/>
      <c r="L3" s="27"/>
      <c r="M3" s="3"/>
      <c r="N3" s="3"/>
      <c r="O3" s="3"/>
      <c r="P3" s="4"/>
      <c r="Q3" s="3"/>
      <c r="R3" s="3"/>
      <c r="S3" s="3"/>
      <c r="T3" s="3"/>
      <c r="U3" s="3"/>
      <c r="V3" s="3"/>
      <c r="W3" s="3"/>
      <c r="X3" s="3"/>
      <c r="Y3" s="3"/>
      <c r="Z3" s="3"/>
    </row>
    <row customFormat="1" ht="24" r="4" s="20" spans="1:26">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customFormat="1" ht="24" r="5" s="20" spans="1:26">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c r="A6" s="22" t="s">
        <v>53</v>
      </c>
      <c r="B6" s="22" t="s">
        <v>54</v>
      </c>
      <c r="C6" s="22" t="s">
        <v>55</v>
      </c>
      <c r="D6" s="9">
        <f>1813</f>
      </c>
      <c r="E6" s="23">
        <f>27.8</f>
      </c>
      <c r="F6" s="23">
        <f>1.6</f>
      </c>
      <c r="G6" s="11">
        <f>83.49</f>
      </c>
      <c r="H6" s="11">
        <f>1496.23</f>
      </c>
      <c r="I6" s="23">
        <f>30.5</f>
      </c>
      <c r="J6" s="23">
        <f>2</f>
      </c>
      <c r="K6" s="24">
        <f>16917007148533</f>
      </c>
      <c r="L6" s="24">
        <f>253818838730641</f>
      </c>
    </row>
    <row r="7">
      <c r="A7" s="22" t="s">
        <v>53</v>
      </c>
      <c r="B7" s="22" t="s">
        <v>136</v>
      </c>
      <c r="C7" s="22" t="s">
        <v>137</v>
      </c>
      <c r="D7" s="9">
        <f>410</f>
      </c>
      <c r="E7" s="23">
        <f>17.5</f>
      </c>
      <c r="F7" s="23">
        <f>0.8</f>
      </c>
      <c r="G7" s="11">
        <f>77.33</f>
      </c>
      <c r="H7" s="11">
        <f>1773.71</f>
      </c>
      <c r="I7" s="23">
        <f>27.3</f>
      </c>
      <c r="J7" s="23">
        <f>1.2</f>
      </c>
      <c r="K7" s="24">
        <f>212063383800</f>
      </c>
      <c r="L7" s="24">
        <f>4916596660000</f>
      </c>
    </row>
    <row r="8">
      <c r="A8" s="22" t="s">
        <v>53</v>
      </c>
      <c r="B8" s="22" t="s">
        <v>138</v>
      </c>
      <c r="C8" s="22" t="s">
        <v>139</v>
      </c>
      <c r="D8" s="9">
        <f>277</f>
      </c>
      <c r="E8" s="23">
        <f>231.8</f>
      </c>
      <c r="F8" s="23">
        <f>7</f>
      </c>
      <c r="G8" s="11">
        <f>9.98</f>
      </c>
      <c r="H8" s="11">
        <f>330.14</f>
      </c>
      <c r="I8" s="23">
        <f>"－"</f>
      </c>
      <c r="J8" s="23">
        <f>8.1</f>
      </c>
      <c r="K8" s="24">
        <f>-41834715235</f>
      </c>
      <c r="L8" s="24">
        <f>943656905580</f>
      </c>
    </row>
    <row r="9">
      <c r="A9" s="22" t="s">
        <v>53</v>
      </c>
      <c r="B9" s="22" t="s">
        <v>140</v>
      </c>
      <c r="C9" s="22" t="s">
        <v>140</v>
      </c>
      <c r="D9" s="9">
        <f>586</f>
      </c>
      <c r="E9" s="23">
        <f>23.1</f>
      </c>
      <c r="F9" s="23">
        <f>1.1</f>
      </c>
      <c r="G9" s="11">
        <f>65.64</f>
      </c>
      <c r="H9" s="11">
        <f>1428.76</f>
      </c>
      <c r="I9" s="23">
        <f>47.2</f>
      </c>
      <c r="J9" s="23">
        <f>1.7</f>
      </c>
      <c r="K9" s="24">
        <f>180241445364</f>
      </c>
      <c r="L9" s="24">
        <f>4988431541310</f>
      </c>
    </row>
  </sheetData>
  <mergeCells count="7">
    <mergeCell ref="B4:B5"/>
    <mergeCell ref="C4:C5"/>
    <mergeCell ref="G1:I1"/>
    <mergeCell ref="J1:L1"/>
    <mergeCell ref="G2:I2"/>
    <mergeCell ref="J2:L2"/>
    <mergeCell ref="J3:L3"/>
  </mergeCells>
  <phoneticPr fontId="2"/>
  <pageMargins bottom="0.74803149606299213" footer="0.31496062992125984" header="0.31496062992125984" left="0.70866141732283472" right="0.70866141732283472" top="0.74803149606299213"/>
  <pageSetup orientation="portrait" paperSize="9" r:id="rId1" scale="37"/>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2020-05-11T05:03:50Z</dcterms:modified>
</cp:coreProperties>
</file>