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<sst xmlns="http://schemas.openxmlformats.org/spreadsheetml/2006/main" count="871" uniqueCount="141">
  <si>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</si>
  <si>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</si>
  <si>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</si>
  <si>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</si>
  <si>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</si>
  <si>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</si>
  <si>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</si>
  <si>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</si>
  <si>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</si>
  <si>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</si>
  <si>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</si>
  <si>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</si>
  <si>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</si>
  <si>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</si>
  <si>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</si>
  <si>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</si>
  <si>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</si>
  <si>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</si>
  <si>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</si>
  <si>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</si>
  <si>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</si>
  <si>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</si>
  <si>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</si>
  <si>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</si>
  <si>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</si>
  <si>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</si>
  <si>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</si>
  <si>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</si>
  <si>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</si>
  <si>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</si>
  <si>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</si>
  <si>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</si>
  <si>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</si>
  <si>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</si>
  <si>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</si>
  <si>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</si>
  <si>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</si>
  <si>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</si>
  <si>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</si>
  <si>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</si>
  <si>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</si>
  <si>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</si>
  <si>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</si>
  <si>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</si>
  <si>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</si>
  <si>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</si>
  <si>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</si>
  <si>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</si>
  <si>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</si>
  <si>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3.本表の作成に当たって使用した親会社株主に帰属する当期純利益及び純資産は、2020年2月期～2021年1月期の確定数値である。</t>
  </si>
  <si>
    <t xml:space="preserve">       3.Figures of Net Income and Net Assets are based on the fixed figures during the term from February of 2020 to January of 2021.</t>
  </si>
  <si>
    <t xml:space="preserve">    2.本表の作成に当たって使用した当期純利益及び純資産は、2020年2月期～2021年1月期の確定数値である。</t>
  </si>
  <si>
    <t xml:space="preserve">         the term from February of 2020 to January of 2021.</t>
  </si>
  <si>
    <t>2021/04</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</si>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</sst>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2183</f>
      </c>
      <c r="G5" s="10">
        <f>25.1</f>
      </c>
      <c r="H5" s="10">
        <f>1.3</f>
      </c>
      <c r="I5" s="11">
        <f>94.69</f>
      </c>
      <c r="J5" s="11">
        <f>1836.18</f>
      </c>
      <c r="K5" s="10">
        <f>25.5</f>
      </c>
      <c r="L5" s="10">
        <f>1.4</f>
      </c>
      <c r="M5" s="21">
        <f>27839225707633</f>
      </c>
      <c r="N5" s="21">
        <f>505420484976486</f>
      </c>
      <c r="O5" s="3"/>
      <c r="P5" s="3"/>
      <c r="Q5" s="4"/>
      <c r="R5" s="4"/>
      <c r="S5" s="4"/>
      <c r="T5" s="4"/>
      <c r="U5" s="4"/>
      <c r="V5" s="4"/>
      <c r="W5" s="4"/>
      <c r="X5" s="4"/>
      <c r="Y5" s="4"/>
      <c r="Z5" s="4"/>
      <c r="AA5" s="4"/>
    </row>
    <row r="6">
      <c r="A6" s="22" t="s">
        <v>53</v>
      </c>
      <c r="B6" s="22" t="s">
        <v>54</v>
      </c>
      <c r="C6" s="22" t="s">
        <v>55</v>
      </c>
      <c r="D6" s="22" t="s">
        <v>58</v>
      </c>
      <c r="E6" s="22" t="s">
        <v>59</v>
      </c>
      <c r="F6" s="9">
        <f>99</f>
      </c>
      <c r="G6" s="10">
        <f>30.8</f>
      </c>
      <c r="H6" s="10">
        <f>2.5</f>
      </c>
      <c r="I6" s="11">
        <f>263.84</f>
      </c>
      <c r="J6" s="11">
        <f>3266.94</f>
      </c>
      <c r="K6" s="10">
        <f>24.6</f>
      </c>
      <c r="L6" s="10">
        <f>1.5</f>
      </c>
      <c r="M6" s="21">
        <f>16317498000000</f>
      </c>
      <c r="N6" s="21">
        <f>268586069000000</f>
      </c>
    </row>
    <row r="7">
      <c r="A7" s="22" t="s">
        <v>53</v>
      </c>
      <c r="B7" s="22" t="s">
        <v>54</v>
      </c>
      <c r="C7" s="22" t="s">
        <v>55</v>
      </c>
      <c r="D7" s="22" t="s">
        <v>60</v>
      </c>
      <c r="E7" s="22" t="s">
        <v>61</v>
      </c>
      <c r="F7" s="9">
        <f>395</f>
      </c>
      <c r="G7" s="10">
        <f>26.2</f>
      </c>
      <c r="H7" s="10">
        <f>1.6</f>
      </c>
      <c r="I7" s="11">
        <f>137.09</f>
      </c>
      <c r="J7" s="11">
        <f>2217.38</f>
      </c>
      <c r="K7" s="10">
        <f>26.9</f>
      </c>
      <c r="L7" s="10">
        <f>1.4</f>
      </c>
      <c r="M7" s="21">
        <f>8321784539612</f>
      </c>
      <c r="N7" s="21">
        <f>161744824316446</f>
      </c>
    </row>
    <row r="8">
      <c r="A8" s="22" t="s">
        <v>53</v>
      </c>
      <c r="B8" s="22" t="s">
        <v>54</v>
      </c>
      <c r="C8" s="22" t="s">
        <v>55</v>
      </c>
      <c r="D8" s="22" t="s">
        <v>62</v>
      </c>
      <c r="E8" s="22" t="s">
        <v>63</v>
      </c>
      <c r="F8" s="9">
        <f>1689</f>
      </c>
      <c r="G8" s="10">
        <f>23.4</f>
      </c>
      <c r="H8" s="10">
        <f>1.1</f>
      </c>
      <c r="I8" s="11">
        <f>74.86</f>
      </c>
      <c r="J8" s="11">
        <f>1663.16</f>
      </c>
      <c r="K8" s="10">
        <f>26</f>
      </c>
      <c r="L8" s="10">
        <f>1.1</f>
      </c>
      <c r="M8" s="21">
        <f>3199943168021</f>
      </c>
      <c r="N8" s="21">
        <f>75089591660040</f>
      </c>
    </row>
    <row r="9">
      <c r="A9" s="22" t="s">
        <v>53</v>
      </c>
      <c r="B9" s="22" t="s">
        <v>54</v>
      </c>
      <c r="C9" s="22" t="s">
        <v>55</v>
      </c>
      <c r="D9" s="22" t="s">
        <v>64</v>
      </c>
      <c r="E9" s="22" t="s">
        <v>65</v>
      </c>
      <c r="F9" s="9">
        <f>2047</f>
      </c>
      <c r="G9" s="10">
        <f>26.2</f>
      </c>
      <c r="H9" s="10">
        <f>1.4</f>
      </c>
      <c r="I9" s="11">
        <f>92.89</f>
      </c>
      <c r="J9" s="11">
        <f>1732.58</f>
      </c>
      <c r="K9" s="10">
        <f>28.5</f>
      </c>
      <c r="L9" s="10">
        <f>1.6</f>
      </c>
      <c r="M9" s="21">
        <f>22875174977230</f>
      </c>
      <c r="N9" s="21">
        <f>405492841413786</f>
      </c>
    </row>
    <row r="10">
      <c r="A10" s="22" t="s">
        <v>53</v>
      </c>
      <c r="B10" s="22" t="s">
        <v>54</v>
      </c>
      <c r="C10" s="22" t="s">
        <v>55</v>
      </c>
      <c r="D10" s="22" t="s">
        <v>66</v>
      </c>
      <c r="E10" s="22" t="s">
        <v>67</v>
      </c>
      <c r="F10" s="9">
        <f>915</f>
      </c>
      <c r="G10" s="10">
        <f>29.9</f>
      </c>
      <c r="H10" s="10">
        <f>1.3</f>
      </c>
      <c r="I10" s="11">
        <f>90.08</f>
      </c>
      <c r="J10" s="11">
        <f>2119.22</f>
      </c>
      <c r="K10" s="10">
        <f>32.8</f>
      </c>
      <c r="L10" s="10">
        <f>1.7</f>
      </c>
      <c r="M10" s="21">
        <f>11626243407436</f>
      </c>
      <c r="N10" s="21">
        <f>227314353685786</f>
      </c>
    </row>
    <row r="11">
      <c r="A11" s="22" t="s">
        <v>53</v>
      </c>
      <c r="B11" s="22" t="s">
        <v>54</v>
      </c>
      <c r="C11" s="22" t="s">
        <v>55</v>
      </c>
      <c r="D11" s="22" t="s">
        <v>68</v>
      </c>
      <c r="E11" s="22" t="s">
        <v>69</v>
      </c>
      <c r="F11" s="9">
        <f>1132</f>
      </c>
      <c r="G11" s="10">
        <f>23.4</f>
      </c>
      <c r="H11" s="10">
        <f>1.6</f>
      </c>
      <c r="I11" s="11">
        <f>95.16</f>
      </c>
      <c r="J11" s="11">
        <f>1420.05</f>
      </c>
      <c r="K11" s="10">
        <f>24.2</f>
      </c>
      <c r="L11" s="10">
        <f>1.5</f>
      </c>
      <c r="M11" s="21">
        <f>11248931569794</f>
      </c>
      <c r="N11" s="21">
        <f>178178487728000</f>
      </c>
    </row>
    <row r="12">
      <c r="A12" s="22" t="s">
        <v>53</v>
      </c>
      <c r="B12" s="22" t="s">
        <v>54</v>
      </c>
      <c r="C12" s="22" t="s">
        <v>55</v>
      </c>
      <c r="D12" s="22" t="s">
        <v>70</v>
      </c>
      <c r="E12" s="22" t="s">
        <v>71</v>
      </c>
      <c r="F12" s="9">
        <f>8</f>
      </c>
      <c r="G12" s="10">
        <f>18.3</f>
      </c>
      <c r="H12" s="10">
        <f>1.2</f>
      </c>
      <c r="I12" s="11">
        <f>109.59</f>
      </c>
      <c r="J12" s="11">
        <f>1640.8</f>
      </c>
      <c r="K12" s="10">
        <f>15.8</f>
      </c>
      <c r="L12" s="10">
        <f>1.2</f>
      </c>
      <c r="M12" s="21">
        <f>42658000000</f>
      </c>
      <c r="N12" s="21">
        <f>550439000000</f>
      </c>
    </row>
    <row r="13">
      <c r="A13" s="22" t="s">
        <v>53</v>
      </c>
      <c r="B13" s="22" t="s">
        <v>54</v>
      </c>
      <c r="C13" s="22" t="s">
        <v>55</v>
      </c>
      <c r="D13" s="22" t="s">
        <v>72</v>
      </c>
      <c r="E13" s="22" t="s">
        <v>73</v>
      </c>
      <c r="F13" s="9">
        <f>6</f>
      </c>
      <c r="G13" s="10">
        <f>10</f>
      </c>
      <c r="H13" s="10">
        <f>0.4</f>
      </c>
      <c r="I13" s="11">
        <f>203.33</f>
      </c>
      <c r="J13" s="11">
        <f>4618.4</f>
      </c>
      <c r="K13" s="10">
        <f>"－"</f>
      </c>
      <c r="L13" s="10">
        <f>0.4</f>
      </c>
      <c r="M13" s="21">
        <f>-74223280000</f>
      </c>
      <c r="N13" s="21">
        <f>3671746720000</f>
      </c>
    </row>
    <row r="14">
      <c r="A14" s="22" t="s">
        <v>53</v>
      </c>
      <c r="B14" s="22" t="s">
        <v>54</v>
      </c>
      <c r="C14" s="22" t="s">
        <v>55</v>
      </c>
      <c r="D14" s="22" t="s">
        <v>74</v>
      </c>
      <c r="E14" s="22" t="s">
        <v>75</v>
      </c>
      <c r="F14" s="9">
        <f>99</f>
      </c>
      <c r="G14" s="10">
        <f>9.8</f>
      </c>
      <c r="H14" s="10">
        <f>0.9</f>
      </c>
      <c r="I14" s="11">
        <f>204.21</f>
      </c>
      <c r="J14" s="11">
        <f>2219.08</f>
      </c>
      <c r="K14" s="10">
        <f>9.7</f>
      </c>
      <c r="L14" s="10">
        <f>1</f>
      </c>
      <c r="M14" s="21">
        <f>1631522666667</f>
      </c>
      <c r="N14" s="21">
        <f>15162870978000</f>
      </c>
    </row>
    <row r="15">
      <c r="A15" s="22" t="s">
        <v>53</v>
      </c>
      <c r="B15" s="22" t="s">
        <v>54</v>
      </c>
      <c r="C15" s="22" t="s">
        <v>55</v>
      </c>
      <c r="D15" s="22" t="s">
        <v>76</v>
      </c>
      <c r="E15" s="22" t="s">
        <v>77</v>
      </c>
      <c r="F15" s="9">
        <f>85</f>
      </c>
      <c r="G15" s="10">
        <f>25.3</f>
      </c>
      <c r="H15" s="10">
        <f>1.3</f>
      </c>
      <c r="I15" s="11">
        <f>105.1</f>
      </c>
      <c r="J15" s="11">
        <f>1979.47</f>
      </c>
      <c r="K15" s="10">
        <f>23.2</f>
      </c>
      <c r="L15" s="10">
        <f>1.6</f>
      </c>
      <c r="M15" s="21">
        <f>1027034000000</f>
      </c>
      <c r="N15" s="21">
        <f>15053038316446</f>
      </c>
    </row>
    <row r="16">
      <c r="A16" s="22" t="s">
        <v>53</v>
      </c>
      <c r="B16" s="22" t="s">
        <v>54</v>
      </c>
      <c r="C16" s="22" t="s">
        <v>55</v>
      </c>
      <c r="D16" s="22" t="s">
        <v>78</v>
      </c>
      <c r="E16" s="22" t="s">
        <v>79</v>
      </c>
      <c r="F16" s="9">
        <f>40</f>
      </c>
      <c r="G16" s="10">
        <f>41</f>
      </c>
      <c r="H16" s="10">
        <f>0.8</f>
      </c>
      <c r="I16" s="11">
        <f>34.26</f>
      </c>
      <c r="J16" s="11">
        <f>1868.83</f>
      </c>
      <c r="K16" s="10">
        <f>34</f>
      </c>
      <c r="L16" s="10">
        <f>0.9</f>
      </c>
      <c r="M16" s="21">
        <f>92675940769</f>
      </c>
      <c r="N16" s="21">
        <f>3431726369340</f>
      </c>
    </row>
    <row r="17">
      <c r="A17" s="22" t="s">
        <v>53</v>
      </c>
      <c r="B17" s="22" t="s">
        <v>54</v>
      </c>
      <c r="C17" s="22" t="s">
        <v>55</v>
      </c>
      <c r="D17" s="22" t="s">
        <v>80</v>
      </c>
      <c r="E17" s="22" t="s">
        <v>81</v>
      </c>
      <c r="F17" s="9">
        <f>12</f>
      </c>
      <c r="G17" s="10">
        <f>14.5</f>
      </c>
      <c r="H17" s="10">
        <f>0.7</f>
      </c>
      <c r="I17" s="11">
        <f>97.93</f>
      </c>
      <c r="J17" s="11">
        <f>2150.77</f>
      </c>
      <c r="K17" s="10">
        <f>12.2</f>
      </c>
      <c r="L17" s="10">
        <f>0.8</f>
      </c>
      <c r="M17" s="21">
        <f>140299000000</f>
      </c>
      <c r="N17" s="21">
        <f>2227768000000</f>
      </c>
    </row>
    <row r="18">
      <c r="A18" s="22" t="s">
        <v>53</v>
      </c>
      <c r="B18" s="22" t="s">
        <v>54</v>
      </c>
      <c r="C18" s="22" t="s">
        <v>55</v>
      </c>
      <c r="D18" s="22" t="s">
        <v>82</v>
      </c>
      <c r="E18" s="22" t="s">
        <v>83</v>
      </c>
      <c r="F18" s="9">
        <f>147</f>
      </c>
      <c r="G18" s="10">
        <f>23.2</f>
      </c>
      <c r="H18" s="10">
        <f>1.3</f>
      </c>
      <c r="I18" s="11">
        <f>112</f>
      </c>
      <c r="J18" s="11">
        <f>2050.28</f>
      </c>
      <c r="K18" s="10">
        <f>28.5</f>
      </c>
      <c r="L18" s="10">
        <f>1.8</f>
      </c>
      <c r="M18" s="21">
        <f>1766999000000</f>
      </c>
      <c r="N18" s="21">
        <f>27757378000000</f>
      </c>
    </row>
    <row r="19">
      <c r="A19" s="22" t="s">
        <v>53</v>
      </c>
      <c r="B19" s="22" t="s">
        <v>54</v>
      </c>
      <c r="C19" s="22" t="s">
        <v>55</v>
      </c>
      <c r="D19" s="22" t="s">
        <v>84</v>
      </c>
      <c r="E19" s="22" t="s">
        <v>85</v>
      </c>
      <c r="F19" s="9">
        <f>36</f>
      </c>
      <c r="G19" s="10">
        <f>23.4</f>
      </c>
      <c r="H19" s="10">
        <f>1.5</f>
      </c>
      <c r="I19" s="11">
        <f>131.84</f>
      </c>
      <c r="J19" s="11">
        <f>2063.16</f>
      </c>
      <c r="K19" s="10">
        <f>28.4</f>
      </c>
      <c r="L19" s="10">
        <f>2.2</f>
      </c>
      <c r="M19" s="21">
        <f>1303132666667</f>
      </c>
      <c r="N19" s="21">
        <f>16593297000000</f>
      </c>
    </row>
    <row r="20">
      <c r="A20" s="22" t="s">
        <v>53</v>
      </c>
      <c r="B20" s="22" t="s">
        <v>54</v>
      </c>
      <c r="C20" s="22" t="s">
        <v>55</v>
      </c>
      <c r="D20" s="22" t="s">
        <v>86</v>
      </c>
      <c r="E20" s="22" t="s">
        <v>87</v>
      </c>
      <c r="F20" s="9">
        <f>9</f>
      </c>
      <c r="G20" s="10">
        <f>"－"</f>
      </c>
      <c r="H20" s="10">
        <f>0.7</f>
      </c>
      <c r="I20" s="11">
        <f>-55.1</f>
      </c>
      <c r="J20" s="11">
        <f>1794.28</f>
      </c>
      <c r="K20" s="10">
        <f>"－"</f>
      </c>
      <c r="L20" s="10">
        <f>0.6</f>
      </c>
      <c r="M20" s="21">
        <f>-261998000000</f>
      </c>
      <c r="N20" s="21">
        <f>4473668000000</f>
      </c>
    </row>
    <row r="21">
      <c r="A21" s="22" t="s">
        <v>53</v>
      </c>
      <c r="B21" s="22" t="s">
        <v>54</v>
      </c>
      <c r="C21" s="22" t="s">
        <v>55</v>
      </c>
      <c r="D21" s="22" t="s">
        <v>88</v>
      </c>
      <c r="E21" s="22" t="s">
        <v>89</v>
      </c>
      <c r="F21" s="9">
        <f>11</f>
      </c>
      <c r="G21" s="10">
        <f>23.4</f>
      </c>
      <c r="H21" s="10">
        <f>0.9</f>
      </c>
      <c r="I21" s="11">
        <f>80.91</f>
      </c>
      <c r="J21" s="11">
        <f>2139.16</f>
      </c>
      <c r="K21" s="10">
        <f>81.9</f>
      </c>
      <c r="L21" s="10">
        <f>1.2</f>
      </c>
      <c r="M21" s="21">
        <f>54652000000</f>
      </c>
      <c r="N21" s="21">
        <f>3836453000000</f>
      </c>
    </row>
    <row r="22">
      <c r="A22" s="22" t="s">
        <v>53</v>
      </c>
      <c r="B22" s="22" t="s">
        <v>54</v>
      </c>
      <c r="C22" s="22" t="s">
        <v>55</v>
      </c>
      <c r="D22" s="22" t="s">
        <v>90</v>
      </c>
      <c r="E22" s="22" t="s">
        <v>91</v>
      </c>
      <c r="F22" s="9">
        <f>33</f>
      </c>
      <c r="G22" s="10">
        <f>16.3</f>
      </c>
      <c r="H22" s="10">
        <f>0.9</f>
      </c>
      <c r="I22" s="11">
        <f>157.18</f>
      </c>
      <c r="J22" s="11">
        <f>2792.65</f>
      </c>
      <c r="K22" s="10">
        <f>23.8</f>
      </c>
      <c r="L22" s="10">
        <f>1.1</f>
      </c>
      <c r="M22" s="21">
        <f>236876000000</f>
      </c>
      <c r="N22" s="21">
        <f>5066437000000</f>
      </c>
    </row>
    <row r="23">
      <c r="A23" s="22" t="s">
        <v>53</v>
      </c>
      <c r="B23" s="22" t="s">
        <v>54</v>
      </c>
      <c r="C23" s="22" t="s">
        <v>55</v>
      </c>
      <c r="D23" s="22" t="s">
        <v>92</v>
      </c>
      <c r="E23" s="22" t="s">
        <v>93</v>
      </c>
      <c r="F23" s="9">
        <f>31</f>
      </c>
      <c r="G23" s="10">
        <f>28</f>
      </c>
      <c r="H23" s="10">
        <f>0.5</f>
      </c>
      <c r="I23" s="11">
        <f>62.06</f>
      </c>
      <c r="J23" s="11">
        <f>3262.68</f>
      </c>
      <c r="K23" s="10">
        <f>"－"</f>
      </c>
      <c r="L23" s="10">
        <f>0.6</f>
      </c>
      <c r="M23" s="21">
        <f>-646855000000</f>
      </c>
      <c r="N23" s="21">
        <f>8553554000000</f>
      </c>
    </row>
    <row r="24">
      <c r="A24" s="22" t="s">
        <v>53</v>
      </c>
      <c r="B24" s="22" t="s">
        <v>54</v>
      </c>
      <c r="C24" s="22" t="s">
        <v>55</v>
      </c>
      <c r="D24" s="22" t="s">
        <v>94</v>
      </c>
      <c r="E24" s="22" t="s">
        <v>95</v>
      </c>
      <c r="F24" s="9">
        <f>24</f>
      </c>
      <c r="G24" s="10">
        <f>145.2</f>
      </c>
      <c r="H24" s="10">
        <f>0.8</f>
      </c>
      <c r="I24" s="11">
        <f>13.55</f>
      </c>
      <c r="J24" s="11">
        <f>2318.69</f>
      </c>
      <c r="K24" s="10">
        <f>54.7</f>
      </c>
      <c r="L24" s="10">
        <f>0.9</f>
      </c>
      <c r="M24" s="21">
        <f>86600000000</f>
      </c>
      <c r="N24" s="21">
        <f>5413247000000</f>
      </c>
    </row>
    <row r="25">
      <c r="A25" s="22" t="s">
        <v>53</v>
      </c>
      <c r="B25" s="22" t="s">
        <v>54</v>
      </c>
      <c r="C25" s="22" t="s">
        <v>55</v>
      </c>
      <c r="D25" s="22" t="s">
        <v>96</v>
      </c>
      <c r="E25" s="22" t="s">
        <v>97</v>
      </c>
      <c r="F25" s="9">
        <f>42</f>
      </c>
      <c r="G25" s="10">
        <f>17.6</f>
      </c>
      <c r="H25" s="10">
        <f>0.7</f>
      </c>
      <c r="I25" s="11">
        <f>102.99</f>
      </c>
      <c r="J25" s="11">
        <f>2454.19</f>
      </c>
      <c r="K25" s="10">
        <f>28.2</f>
      </c>
      <c r="L25" s="10">
        <f>1.1</f>
      </c>
      <c r="M25" s="21">
        <f>154685000000</f>
      </c>
      <c r="N25" s="21">
        <f>4140055000000</f>
      </c>
    </row>
    <row r="26">
      <c r="A26" s="22" t="s">
        <v>53</v>
      </c>
      <c r="B26" s="22" t="s">
        <v>54</v>
      </c>
      <c r="C26" s="22" t="s">
        <v>55</v>
      </c>
      <c r="D26" s="22" t="s">
        <v>98</v>
      </c>
      <c r="E26" s="22" t="s">
        <v>99</v>
      </c>
      <c r="F26" s="9">
        <f>141</f>
      </c>
      <c r="G26" s="10">
        <f>30.8</f>
      </c>
      <c r="H26" s="10">
        <f>1.4</f>
      </c>
      <c r="I26" s="11">
        <f>95.62</f>
      </c>
      <c r="J26" s="11">
        <f>2115.76</f>
      </c>
      <c r="K26" s="10">
        <f>30.4</f>
      </c>
      <c r="L26" s="10">
        <f>1.8</f>
      </c>
      <c r="M26" s="21">
        <f>1183193333333</f>
      </c>
      <c r="N26" s="21">
        <f>19753622000000</f>
      </c>
    </row>
    <row r="27">
      <c r="A27" s="22" t="s">
        <v>53</v>
      </c>
      <c r="B27" s="22" t="s">
        <v>54</v>
      </c>
      <c r="C27" s="22" t="s">
        <v>55</v>
      </c>
      <c r="D27" s="22" t="s">
        <v>100</v>
      </c>
      <c r="E27" s="22" t="s">
        <v>101</v>
      </c>
      <c r="F27" s="9">
        <f>159</f>
      </c>
      <c r="G27" s="10">
        <f>44.3</f>
      </c>
      <c r="H27" s="10">
        <f>1.9</f>
      </c>
      <c r="I27" s="11">
        <f>85.34</f>
      </c>
      <c r="J27" s="11">
        <f>1999.86</f>
      </c>
      <c r="K27" s="10">
        <f>38.2</f>
      </c>
      <c r="L27" s="10">
        <f>2.5</f>
      </c>
      <c r="M27" s="21">
        <f>2972239800000</f>
      </c>
      <c r="N27" s="21">
        <f>45274453000000</f>
      </c>
    </row>
    <row r="28">
      <c r="A28" s="22" t="s">
        <v>53</v>
      </c>
      <c r="B28" s="22" t="s">
        <v>54</v>
      </c>
      <c r="C28" s="22" t="s">
        <v>55</v>
      </c>
      <c r="D28" s="22" t="s">
        <v>102</v>
      </c>
      <c r="E28" s="22" t="s">
        <v>103</v>
      </c>
      <c r="F28" s="9">
        <f>59</f>
      </c>
      <c r="G28" s="10">
        <f>124.3</f>
      </c>
      <c r="H28" s="10">
        <f>0.9</f>
      </c>
      <c r="I28" s="11">
        <f>16.43</f>
      </c>
      <c r="J28" s="11">
        <f>2381.43</f>
      </c>
      <c r="K28" s="10">
        <f>22.3</f>
      </c>
      <c r="L28" s="10">
        <f>1</f>
      </c>
      <c r="M28" s="21">
        <f>2553109000000</f>
      </c>
      <c r="N28" s="21">
        <f>54489757000000</f>
      </c>
    </row>
    <row r="29">
      <c r="A29" s="22" t="s">
        <v>53</v>
      </c>
      <c r="B29" s="22" t="s">
        <v>54</v>
      </c>
      <c r="C29" s="22" t="s">
        <v>55</v>
      </c>
      <c r="D29" s="22" t="s">
        <v>104</v>
      </c>
      <c r="E29" s="22" t="s">
        <v>105</v>
      </c>
      <c r="F29" s="9">
        <f>33</f>
      </c>
      <c r="G29" s="10">
        <f>27.7</f>
      </c>
      <c r="H29" s="10">
        <f>1.8</f>
      </c>
      <c r="I29" s="11">
        <f>88.09</f>
      </c>
      <c r="J29" s="11">
        <f>1386.57</f>
      </c>
      <c r="K29" s="10">
        <f>45.5</f>
      </c>
      <c r="L29" s="10">
        <f>3.8</f>
      </c>
      <c r="M29" s="21">
        <f>332930666667</f>
      </c>
      <c r="N29" s="21">
        <f>4021953000000</f>
      </c>
    </row>
    <row r="30">
      <c r="A30" s="22" t="s">
        <v>53</v>
      </c>
      <c r="B30" s="22" t="s">
        <v>54</v>
      </c>
      <c r="C30" s="22" t="s">
        <v>55</v>
      </c>
      <c r="D30" s="22" t="s">
        <v>106</v>
      </c>
      <c r="E30" s="22" t="s">
        <v>107</v>
      </c>
      <c r="F30" s="9">
        <f>53</f>
      </c>
      <c r="G30" s="10">
        <f>24.8</f>
      </c>
      <c r="H30" s="10">
        <f>1.6</f>
      </c>
      <c r="I30" s="11">
        <f>125.5</f>
      </c>
      <c r="J30" s="11">
        <f>1893.14</f>
      </c>
      <c r="K30" s="10">
        <f>25.2</f>
      </c>
      <c r="L30" s="10">
        <f>2.2</f>
      </c>
      <c r="M30" s="21">
        <f>630670000000</f>
      </c>
      <c r="N30" s="21">
        <f>7227947000000</f>
      </c>
    </row>
    <row r="31">
      <c r="A31" s="22" t="s">
        <v>53</v>
      </c>
      <c r="B31" s="22" t="s">
        <v>54</v>
      </c>
      <c r="C31" s="22" t="s">
        <v>55</v>
      </c>
      <c r="D31" s="22" t="s">
        <v>108</v>
      </c>
      <c r="E31" s="22" t="s">
        <v>109</v>
      </c>
      <c r="F31" s="9">
        <f>22</f>
      </c>
      <c r="G31" s="10">
        <f>14.4</f>
      </c>
      <c r="H31" s="10">
        <f>0.9</f>
      </c>
      <c r="I31" s="11">
        <f>111.14</f>
      </c>
      <c r="J31" s="11">
        <f>1777.06</f>
      </c>
      <c r="K31" s="10">
        <f>11</f>
      </c>
      <c r="L31" s="10">
        <f>0.6</f>
      </c>
      <c r="M31" s="21">
        <f>731832000000</f>
      </c>
      <c r="N31" s="21">
        <f>12349155000000</f>
      </c>
    </row>
    <row r="32">
      <c r="A32" s="22" t="s">
        <v>53</v>
      </c>
      <c r="B32" s="22" t="s">
        <v>54</v>
      </c>
      <c r="C32" s="22" t="s">
        <v>55</v>
      </c>
      <c r="D32" s="22" t="s">
        <v>110</v>
      </c>
      <c r="E32" s="22" t="s">
        <v>111</v>
      </c>
      <c r="F32" s="9">
        <f>44</f>
      </c>
      <c r="G32" s="10">
        <f>15.3</f>
      </c>
      <c r="H32" s="10">
        <f>1.1</f>
      </c>
      <c r="I32" s="11">
        <f>222.8</f>
      </c>
      <c r="J32" s="11">
        <f>3091.15</f>
      </c>
      <c r="K32" s="10">
        <f>16.8</f>
      </c>
      <c r="L32" s="10">
        <f>1.2</f>
      </c>
      <c r="M32" s="21">
        <f>1315923000000</f>
      </c>
      <c r="N32" s="21">
        <f>18281878000000</f>
      </c>
    </row>
    <row r="33">
      <c r="A33" s="22" t="s">
        <v>53</v>
      </c>
      <c r="B33" s="22" t="s">
        <v>54</v>
      </c>
      <c r="C33" s="22" t="s">
        <v>55</v>
      </c>
      <c r="D33" s="22" t="s">
        <v>112</v>
      </c>
      <c r="E33" s="22" t="s">
        <v>113</v>
      </c>
      <c r="F33" s="9">
        <f>8</f>
      </c>
      <c r="G33" s="10">
        <f>15.3</f>
      </c>
      <c r="H33" s="10">
        <f>0.9</f>
      </c>
      <c r="I33" s="11">
        <f>139.71</f>
      </c>
      <c r="J33" s="11">
        <f>2313.92</f>
      </c>
      <c r="K33" s="10">
        <f>20.7</f>
      </c>
      <c r="L33" s="10">
        <f>1.1</f>
      </c>
      <c r="M33" s="21">
        <f>82654000000</f>
      </c>
      <c r="N33" s="21">
        <f>1578752000000</f>
      </c>
    </row>
    <row r="34">
      <c r="A34" s="22" t="s">
        <v>53</v>
      </c>
      <c r="B34" s="22" t="s">
        <v>54</v>
      </c>
      <c r="C34" s="22" t="s">
        <v>55</v>
      </c>
      <c r="D34" s="22" t="s">
        <v>114</v>
      </c>
      <c r="E34" s="22" t="s">
        <v>115</v>
      </c>
      <c r="F34" s="9">
        <f>3</f>
      </c>
      <c r="G34" s="10">
        <f>15</f>
      </c>
      <c r="H34" s="10">
        <f>1</f>
      </c>
      <c r="I34" s="11">
        <f>138.11</f>
      </c>
      <c r="J34" s="11">
        <f>2003.84</f>
      </c>
      <c r="K34" s="10">
        <f>26.6</f>
      </c>
      <c r="L34" s="10">
        <f>1</f>
      </c>
      <c r="M34" s="21">
        <f>84534000000</f>
      </c>
      <c r="N34" s="21">
        <f>2218656000000</f>
      </c>
    </row>
    <row r="35">
      <c r="A35" s="22" t="s">
        <v>53</v>
      </c>
      <c r="B35" s="22" t="s">
        <v>54</v>
      </c>
      <c r="C35" s="22" t="s">
        <v>55</v>
      </c>
      <c r="D35" s="22" t="s">
        <v>116</v>
      </c>
      <c r="E35" s="22" t="s">
        <v>117</v>
      </c>
      <c r="F35" s="9">
        <f>24</f>
      </c>
      <c r="G35" s="10">
        <f>14.8</f>
      </c>
      <c r="H35" s="10">
        <f>0.9</f>
      </c>
      <c r="I35" s="11">
        <f>112.83</f>
      </c>
      <c r="J35" s="11">
        <f>1900.01</f>
      </c>
      <c r="K35" s="10">
        <f>16.6</f>
      </c>
      <c r="L35" s="10">
        <f>0.9</f>
      </c>
      <c r="M35" s="21">
        <f>80821000000</f>
      </c>
      <c r="N35" s="21">
        <f>1528363000000</f>
      </c>
    </row>
    <row r="36">
      <c r="A36" s="22" t="s">
        <v>53</v>
      </c>
      <c r="B36" s="22" t="s">
        <v>54</v>
      </c>
      <c r="C36" s="22" t="s">
        <v>55</v>
      </c>
      <c r="D36" s="22" t="s">
        <v>118</v>
      </c>
      <c r="E36" s="22" t="s">
        <v>119</v>
      </c>
      <c r="F36" s="9">
        <f>235</f>
      </c>
      <c r="G36" s="10">
        <f>32.5</f>
      </c>
      <c r="H36" s="10">
        <f>3</f>
      </c>
      <c r="I36" s="11">
        <f>80.12</f>
      </c>
      <c r="J36" s="11">
        <f>870.65</f>
      </c>
      <c r="K36" s="10">
        <f>38.4</f>
      </c>
      <c r="L36" s="10">
        <f>2.2</f>
      </c>
      <c r="M36" s="21">
        <f>2236698492000</f>
      </c>
      <c r="N36" s="21">
        <f>38480626030000</f>
      </c>
    </row>
    <row r="37">
      <c r="A37" s="22" t="s">
        <v>53</v>
      </c>
      <c r="B37" s="22" t="s">
        <v>54</v>
      </c>
      <c r="C37" s="22" t="s">
        <v>55</v>
      </c>
      <c r="D37" s="22" t="s">
        <v>120</v>
      </c>
      <c r="E37" s="22" t="s">
        <v>121</v>
      </c>
      <c r="F37" s="9">
        <f>180</f>
      </c>
      <c r="G37" s="10">
        <f>15.2</f>
      </c>
      <c r="H37" s="10">
        <f>0.9</f>
      </c>
      <c r="I37" s="11">
        <f>121.55</f>
      </c>
      <c r="J37" s="11">
        <f>1963.05</f>
      </c>
      <c r="K37" s="10">
        <f>13.6</f>
      </c>
      <c r="L37" s="10">
        <f>1</f>
      </c>
      <c r="M37" s="21">
        <f>2285913000000</f>
      </c>
      <c r="N37" s="21">
        <f>30698330000000</f>
      </c>
    </row>
    <row r="38">
      <c r="A38" s="22" t="s">
        <v>53</v>
      </c>
      <c r="B38" s="22" t="s">
        <v>54</v>
      </c>
      <c r="C38" s="22" t="s">
        <v>55</v>
      </c>
      <c r="D38" s="22" t="s">
        <v>122</v>
      </c>
      <c r="E38" s="22" t="s">
        <v>123</v>
      </c>
      <c r="F38" s="9">
        <f>200</f>
      </c>
      <c r="G38" s="10">
        <f>40.7</f>
      </c>
      <c r="H38" s="10">
        <f>2</f>
      </c>
      <c r="I38" s="11">
        <f>63.85</f>
      </c>
      <c r="J38" s="11">
        <f>1329.63</f>
      </c>
      <c r="K38" s="10">
        <f>40.6</f>
      </c>
      <c r="L38" s="10">
        <f>2.2</f>
      </c>
      <c r="M38" s="21">
        <f>1036339418400</f>
      </c>
      <c r="N38" s="21">
        <f>19109293000000</f>
      </c>
    </row>
    <row r="39">
      <c r="A39" s="22" t="s">
        <v>53</v>
      </c>
      <c r="B39" s="22" t="s">
        <v>54</v>
      </c>
      <c r="C39" s="22" t="s">
        <v>55</v>
      </c>
      <c r="D39" s="22" t="s">
        <v>124</v>
      </c>
      <c r="E39" s="22" t="s">
        <v>125</v>
      </c>
      <c r="F39" s="9">
        <f>80</f>
      </c>
      <c r="G39" s="10">
        <f>10.2</f>
      </c>
      <c r="H39" s="10">
        <f>0.3</f>
      </c>
      <c r="I39" s="11">
        <f>123.36</f>
      </c>
      <c r="J39" s="11">
        <f>4537.22</f>
      </c>
      <c r="K39" s="10">
        <f>10.1</f>
      </c>
      <c r="L39" s="10">
        <f>0.4</f>
      </c>
      <c r="M39" s="21">
        <f>3100159875858</f>
      </c>
      <c r="N39" s="21">
        <f>71931354562700</f>
      </c>
    </row>
    <row r="40">
      <c r="A40" s="22" t="s">
        <v>53</v>
      </c>
      <c r="B40" s="22" t="s">
        <v>54</v>
      </c>
      <c r="C40" s="22" t="s">
        <v>55</v>
      </c>
      <c r="D40" s="22" t="s">
        <v>126</v>
      </c>
      <c r="E40" s="22" t="s">
        <v>127</v>
      </c>
      <c r="F40" s="9">
        <f>23</f>
      </c>
      <c r="G40" s="10">
        <f>25.7</f>
      </c>
      <c r="H40" s="10">
        <f>1</f>
      </c>
      <c r="I40" s="11">
        <f>41.99</f>
      </c>
      <c r="J40" s="11">
        <f>1056.17</f>
      </c>
      <c r="K40" s="10">
        <f>14.1</f>
      </c>
      <c r="L40" s="10">
        <f>0.9</f>
      </c>
      <c r="M40" s="21">
        <f>353601000000</f>
      </c>
      <c r="N40" s="21">
        <f>5686365000000</f>
      </c>
    </row>
    <row r="41">
      <c r="A41" s="22" t="s">
        <v>53</v>
      </c>
      <c r="B41" s="22" t="s">
        <v>54</v>
      </c>
      <c r="C41" s="22" t="s">
        <v>55</v>
      </c>
      <c r="D41" s="22" t="s">
        <v>128</v>
      </c>
      <c r="E41" s="22" t="s">
        <v>129</v>
      </c>
      <c r="F41" s="9">
        <f>8</f>
      </c>
      <c r="G41" s="10">
        <f>14.3</f>
      </c>
      <c r="H41" s="10">
        <f>0.9</f>
      </c>
      <c r="I41" s="11">
        <f>174.1</f>
      </c>
      <c r="J41" s="11">
        <f>2790.86</f>
      </c>
      <c r="K41" s="10">
        <f>14.8</f>
      </c>
      <c r="L41" s="10">
        <f>0.8</f>
      </c>
      <c r="M41" s="21">
        <f>777756000000</f>
      </c>
      <c r="N41" s="21">
        <f>14390679000000</f>
      </c>
    </row>
    <row r="42">
      <c r="A42" s="22" t="s">
        <v>53</v>
      </c>
      <c r="B42" s="22" t="s">
        <v>54</v>
      </c>
      <c r="C42" s="22" t="s">
        <v>55</v>
      </c>
      <c r="D42" s="22" t="s">
        <v>130</v>
      </c>
      <c r="E42" s="22" t="s">
        <v>131</v>
      </c>
      <c r="F42" s="9">
        <f>25</f>
      </c>
      <c r="G42" s="10">
        <f>11.6</f>
      </c>
      <c r="H42" s="10">
        <f>1</f>
      </c>
      <c r="I42" s="11">
        <f>173.57</f>
      </c>
      <c r="J42" s="11">
        <f>2087.79</f>
      </c>
      <c r="K42" s="10">
        <f>11.4</f>
      </c>
      <c r="L42" s="10">
        <f>1.1</f>
      </c>
      <c r="M42" s="21">
        <f>732533854545</f>
      </c>
      <c r="N42" s="21">
        <f>7919245000000</f>
      </c>
    </row>
    <row r="43">
      <c r="A43" s="22" t="s">
        <v>53</v>
      </c>
      <c r="B43" s="22" t="s">
        <v>54</v>
      </c>
      <c r="C43" s="22" t="s">
        <v>55</v>
      </c>
      <c r="D43" s="22" t="s">
        <v>132</v>
      </c>
      <c r="E43" s="22" t="s">
        <v>133</v>
      </c>
      <c r="F43" s="9">
        <f>73</f>
      </c>
      <c r="G43" s="10">
        <f>15.2</f>
      </c>
      <c r="H43" s="10">
        <f>1.2</f>
      </c>
      <c r="I43" s="11">
        <f>97.12</f>
      </c>
      <c r="J43" s="11">
        <f>1221.24</f>
      </c>
      <c r="K43" s="10">
        <f>15.8</f>
      </c>
      <c r="L43" s="10">
        <f>1.2</f>
      </c>
      <c r="M43" s="21">
        <f>867618000000</f>
      </c>
      <c r="N43" s="21">
        <f>11525835000000</f>
      </c>
    </row>
    <row r="44">
      <c r="A44" s="22" t="s">
        <v>53</v>
      </c>
      <c r="B44" s="22" t="s">
        <v>54</v>
      </c>
      <c r="C44" s="22" t="s">
        <v>55</v>
      </c>
      <c r="D44" s="22" t="s">
        <v>134</v>
      </c>
      <c r="E44" s="22" t="s">
        <v>135</v>
      </c>
      <c r="F44" s="9">
        <f>230</f>
      </c>
      <c r="G44" s="10">
        <f>56.2</f>
      </c>
      <c r="H44" s="10">
        <f>2.5</f>
      </c>
      <c r="I44" s="11">
        <f>36.31</f>
      </c>
      <c r="J44" s="11">
        <f>820.52</f>
      </c>
      <c r="K44" s="10">
        <f>49.6</f>
      </c>
      <c r="L44" s="10">
        <f>2</f>
      </c>
      <c r="M44" s="21">
        <f>926641272727</f>
      </c>
      <c r="N44" s="21">
        <f>23022543000000</f>
      </c>
    </row>
    <row r="45">
      <c r="A45" s="22" t="s">
        <v>53</v>
      </c>
      <c r="B45" s="22" t="s">
        <v>136</v>
      </c>
      <c r="C45" s="22" t="s">
        <v>137</v>
      </c>
      <c r="D45" s="22" t="s">
        <v>56</v>
      </c>
      <c r="E45" s="22" t="s">
        <v>57</v>
      </c>
      <c r="F45" s="9">
        <f>471</f>
      </c>
      <c r="G45" s="10">
        <f>16.8</f>
      </c>
      <c r="H45" s="10">
        <f>0.7</f>
      </c>
      <c r="I45" s="11">
        <f>84.86</f>
      </c>
      <c r="J45" s="11">
        <f>1951.15</f>
      </c>
      <c r="K45" s="10">
        <f>24.4</f>
      </c>
      <c r="L45" s="10">
        <f>0.9</f>
      </c>
      <c r="M45" s="21">
        <f>236624251800</f>
      </c>
      <c r="N45" s="21">
        <f>6306044797000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466</f>
      </c>
      <c r="G49" s="10">
        <f>16.7</f>
      </c>
      <c r="H49" s="10">
        <f>0.7</f>
      </c>
      <c r="I49" s="11">
        <f>85.87</f>
      </c>
      <c r="J49" s="11">
        <f>1969.03</f>
      </c>
      <c r="K49" s="10">
        <f>23.4</f>
      </c>
      <c r="L49" s="10">
        <f>0.9</f>
      </c>
      <c r="M49" s="21">
        <f>244645251800</f>
      </c>
      <c r="N49" s="21">
        <f>6175642797000</f>
      </c>
    </row>
    <row r="50">
      <c r="A50" s="22" t="s">
        <v>53</v>
      </c>
      <c r="B50" s="22" t="s">
        <v>136</v>
      </c>
      <c r="C50" s="22" t="s">
        <v>137</v>
      </c>
      <c r="D50" s="22" t="s">
        <v>66</v>
      </c>
      <c r="E50" s="22" t="s">
        <v>67</v>
      </c>
      <c r="F50" s="9">
        <f>248</f>
      </c>
      <c r="G50" s="10">
        <f>14.5</f>
      </c>
      <c r="H50" s="10">
        <f>0.7</f>
      </c>
      <c r="I50" s="11">
        <f>111.8</f>
      </c>
      <c r="J50" s="11">
        <f>2337.25</f>
      </c>
      <c r="K50" s="10">
        <f>18.6</f>
      </c>
      <c r="L50" s="10">
        <f>0.8</f>
      </c>
      <c r="M50" s="21">
        <f>161451047667</f>
      </c>
      <c r="N50" s="21">
        <f>3745206774000</f>
      </c>
    </row>
    <row r="51">
      <c r="A51" s="22" t="s">
        <v>53</v>
      </c>
      <c r="B51" s="22" t="s">
        <v>136</v>
      </c>
      <c r="C51" s="22" t="s">
        <v>137</v>
      </c>
      <c r="D51" s="22" t="s">
        <v>68</v>
      </c>
      <c r="E51" s="22" t="s">
        <v>69</v>
      </c>
      <c r="F51" s="9">
        <f>218</f>
      </c>
      <c r="G51" s="10">
        <f>21.8</f>
      </c>
      <c r="H51" s="10">
        <f>0.8</f>
      </c>
      <c r="I51" s="11">
        <f>56.37</f>
      </c>
      <c r="J51" s="11">
        <f>1550.13</f>
      </c>
      <c r="K51" s="10">
        <f>32.6</f>
      </c>
      <c r="L51" s="10">
        <f>1.1</f>
      </c>
      <c r="M51" s="21">
        <f>83194204133</f>
      </c>
      <c r="N51" s="21">
        <f>2430436023000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7.6</f>
      </c>
      <c r="H54" s="10">
        <f>0.6</f>
      </c>
      <c r="I54" s="11">
        <f>163.18</f>
      </c>
      <c r="J54" s="11">
        <f>1926.06</f>
      </c>
      <c r="K54" s="10">
        <f>11.4</f>
      </c>
      <c r="L54" s="10">
        <f>1.6</f>
      </c>
      <c r="M54" s="21">
        <f>28135632800</f>
      </c>
      <c r="N54" s="21">
        <f>205105000000</f>
      </c>
    </row>
    <row r="55">
      <c r="A55" s="22" t="s">
        <v>53</v>
      </c>
      <c r="B55" s="22" t="s">
        <v>136</v>
      </c>
      <c r="C55" s="22" t="s">
        <v>137</v>
      </c>
      <c r="D55" s="22" t="s">
        <v>76</v>
      </c>
      <c r="E55" s="22" t="s">
        <v>77</v>
      </c>
      <c r="F55" s="9">
        <f>21</f>
      </c>
      <c r="G55" s="10">
        <f>36.9</f>
      </c>
      <c r="H55" s="10">
        <f>1.2</f>
      </c>
      <c r="I55" s="11">
        <f>59.97</f>
      </c>
      <c r="J55" s="11">
        <f>1781.53</f>
      </c>
      <c r="K55" s="10">
        <f>25.2</f>
      </c>
      <c r="L55" s="10">
        <f>1.4</f>
      </c>
      <c r="M55" s="21">
        <f>18535924000</f>
      </c>
      <c r="N55" s="21">
        <f>336220000000</f>
      </c>
    </row>
    <row r="56">
      <c r="A56" s="22" t="s">
        <v>53</v>
      </c>
      <c r="B56" s="22" t="s">
        <v>136</v>
      </c>
      <c r="C56" s="22" t="s">
        <v>137</v>
      </c>
      <c r="D56" s="22" t="s">
        <v>78</v>
      </c>
      <c r="E56" s="22" t="s">
        <v>79</v>
      </c>
      <c r="F56" s="9">
        <f>12</f>
      </c>
      <c r="G56" s="10">
        <f>"－"</f>
      </c>
      <c r="H56" s="10">
        <f>0.6</f>
      </c>
      <c r="I56" s="11">
        <f>-88.08</f>
      </c>
      <c r="J56" s="11">
        <f>2087.79</f>
      </c>
      <c r="K56" s="10">
        <f>"－"</f>
      </c>
      <c r="L56" s="10">
        <f>0.6</f>
      </c>
      <c r="M56" s="21">
        <f>-4272000000</f>
      </c>
      <c r="N56" s="21">
        <f>88488000000</f>
      </c>
    </row>
    <row r="57">
      <c r="A57" s="22" t="s">
        <v>53</v>
      </c>
      <c r="B57" s="22" t="s">
        <v>136</v>
      </c>
      <c r="C57" s="22" t="s">
        <v>137</v>
      </c>
      <c r="D57" s="22" t="s">
        <v>80</v>
      </c>
      <c r="E57" s="22" t="s">
        <v>81</v>
      </c>
      <c r="F57" s="9">
        <f>5</f>
      </c>
      <c r="G57" s="10">
        <f>16.7</f>
      </c>
      <c r="H57" s="10">
        <f>0.5</f>
      </c>
      <c r="I57" s="11">
        <f>86.13</f>
      </c>
      <c r="J57" s="11">
        <f>2665.01</f>
      </c>
      <c r="K57" s="10">
        <f>15.8</f>
      </c>
      <c r="L57" s="10">
        <f>0.6</f>
      </c>
      <c r="M57" s="21">
        <f>3443000000</f>
      </c>
      <c r="N57" s="21">
        <f>95620000000</f>
      </c>
    </row>
    <row r="58">
      <c r="A58" s="22" t="s">
        <v>53</v>
      </c>
      <c r="B58" s="22" t="s">
        <v>136</v>
      </c>
      <c r="C58" s="22" t="s">
        <v>137</v>
      </c>
      <c r="D58" s="22" t="s">
        <v>82</v>
      </c>
      <c r="E58" s="22" t="s">
        <v>83</v>
      </c>
      <c r="F58" s="9">
        <f>32</f>
      </c>
      <c r="G58" s="10">
        <f>14.9</f>
      </c>
      <c r="H58" s="10">
        <f>0.7</f>
      </c>
      <c r="I58" s="11">
        <f>122.2</f>
      </c>
      <c r="J58" s="11">
        <f>2607.57</f>
      </c>
      <c r="K58" s="10">
        <f>14.2</f>
      </c>
      <c r="L58" s="10">
        <f>0.7</f>
      </c>
      <c r="M58" s="21">
        <f>29775000000</f>
      </c>
      <c r="N58" s="21">
        <f>578453000000</f>
      </c>
    </row>
    <row r="59">
      <c r="A59" s="22" t="s">
        <v>53</v>
      </c>
      <c r="B59" s="22" t="s">
        <v>136</v>
      </c>
      <c r="C59" s="22" t="s">
        <v>137</v>
      </c>
      <c r="D59" s="22" t="s">
        <v>84</v>
      </c>
      <c r="E59" s="22" t="s">
        <v>85</v>
      </c>
      <c r="F59" s="9">
        <f>2</f>
      </c>
      <c r="G59" s="10">
        <f>53.6</f>
      </c>
      <c r="H59" s="10">
        <f>2.1</f>
      </c>
      <c r="I59" s="11">
        <f>54.86</f>
      </c>
      <c r="J59" s="11">
        <f>1404.96</f>
      </c>
      <c r="K59" s="10">
        <f>72.3</f>
      </c>
      <c r="L59" s="10">
        <f>3.3</f>
      </c>
      <c r="M59" s="21">
        <f>628000000</f>
      </c>
      <c r="N59" s="21">
        <f>13796000000</f>
      </c>
    </row>
    <row r="60">
      <c r="A60" s="22" t="s">
        <v>53</v>
      </c>
      <c r="B60" s="22" t="s">
        <v>136</v>
      </c>
      <c r="C60" s="22" t="s">
        <v>137</v>
      </c>
      <c r="D60" s="22" t="s">
        <v>86</v>
      </c>
      <c r="E60" s="22" t="s">
        <v>87</v>
      </c>
      <c r="F60" s="9">
        <f>2</f>
      </c>
      <c r="G60" s="10">
        <f>"－"</f>
      </c>
      <c r="H60" s="10">
        <f>1.2</f>
      </c>
      <c r="I60" s="11">
        <f>-109.92</f>
      </c>
      <c r="J60" s="11">
        <f>1235.59</f>
      </c>
      <c r="K60" s="10">
        <f>"－"</f>
      </c>
      <c r="L60" s="10">
        <f>1.1</f>
      </c>
      <c r="M60" s="21">
        <f>-4014800000</f>
      </c>
      <c r="N60" s="21">
        <f>33986000000</f>
      </c>
    </row>
    <row r="61">
      <c r="A61" s="22" t="s">
        <v>53</v>
      </c>
      <c r="B61" s="22" t="s">
        <v>136</v>
      </c>
      <c r="C61" s="22" t="s">
        <v>137</v>
      </c>
      <c r="D61" s="22" t="s">
        <v>88</v>
      </c>
      <c r="E61" s="22" t="s">
        <v>89</v>
      </c>
      <c r="F61" s="9">
        <f>6</f>
      </c>
      <c r="G61" s="10">
        <f>7.5</f>
      </c>
      <c r="H61" s="10">
        <f>0.6</f>
      </c>
      <c r="I61" s="11">
        <f>195.19</f>
      </c>
      <c r="J61" s="11">
        <f>2475.64</f>
      </c>
      <c r="K61" s="10">
        <f>9.2</f>
      </c>
      <c r="L61" s="10">
        <f>0.5</f>
      </c>
      <c r="M61" s="21">
        <f>7993000000</f>
      </c>
      <c r="N61" s="21">
        <f>139925000000</f>
      </c>
    </row>
    <row r="62">
      <c r="A62" s="22" t="s">
        <v>53</v>
      </c>
      <c r="B62" s="22" t="s">
        <v>136</v>
      </c>
      <c r="C62" s="22" t="s">
        <v>137</v>
      </c>
      <c r="D62" s="22" t="s">
        <v>90</v>
      </c>
      <c r="E62" s="22" t="s">
        <v>91</v>
      </c>
      <c r="F62" s="9">
        <f>13</f>
      </c>
      <c r="G62" s="10">
        <f>7.4</f>
      </c>
      <c r="H62" s="10">
        <f>0.7</f>
      </c>
      <c r="I62" s="11">
        <f>240.31</f>
      </c>
      <c r="J62" s="11">
        <f>2410.7</f>
      </c>
      <c r="K62" s="10">
        <f>8.2</f>
      </c>
      <c r="L62" s="10">
        <f>0.8</f>
      </c>
      <c r="M62" s="21">
        <f>16535000000</f>
      </c>
      <c r="N62" s="21">
        <f>163663000000</f>
      </c>
    </row>
    <row r="63">
      <c r="A63" s="22" t="s">
        <v>53</v>
      </c>
      <c r="B63" s="22" t="s">
        <v>136</v>
      </c>
      <c r="C63" s="22" t="s">
        <v>137</v>
      </c>
      <c r="D63" s="22" t="s">
        <v>92</v>
      </c>
      <c r="E63" s="22" t="s">
        <v>93</v>
      </c>
      <c r="F63" s="9">
        <f>8</f>
      </c>
      <c r="G63" s="10">
        <f>15.6</f>
      </c>
      <c r="H63" s="10">
        <f>0.4</f>
      </c>
      <c r="I63" s="11">
        <f>62.34</f>
      </c>
      <c r="J63" s="11">
        <f>2405.04</f>
      </c>
      <c r="K63" s="10">
        <f>11.9</f>
      </c>
      <c r="L63" s="10">
        <f>0.5</f>
      </c>
      <c r="M63" s="21">
        <f>3646000000</f>
      </c>
      <c r="N63" s="21">
        <f>90884000000</f>
      </c>
    </row>
    <row r="64">
      <c r="A64" s="22" t="s">
        <v>53</v>
      </c>
      <c r="B64" s="22" t="s">
        <v>136</v>
      </c>
      <c r="C64" s="22" t="s">
        <v>137</v>
      </c>
      <c r="D64" s="22" t="s">
        <v>94</v>
      </c>
      <c r="E64" s="22" t="s">
        <v>95</v>
      </c>
      <c r="F64" s="9">
        <f>6</f>
      </c>
      <c r="G64" s="10">
        <f>12.1</f>
      </c>
      <c r="H64" s="10">
        <f>0.7</f>
      </c>
      <c r="I64" s="11">
        <f>87.6</f>
      </c>
      <c r="J64" s="11">
        <f>1570.7</f>
      </c>
      <c r="K64" s="10">
        <f>21.5</f>
      </c>
      <c r="L64" s="10">
        <f>0.7</f>
      </c>
      <c r="M64" s="21">
        <f>1438000000</f>
      </c>
      <c r="N64" s="21">
        <f>44584000000</f>
      </c>
    </row>
    <row r="65">
      <c r="A65" s="22" t="s">
        <v>53</v>
      </c>
      <c r="B65" s="22" t="s">
        <v>136</v>
      </c>
      <c r="C65" s="22" t="s">
        <v>137</v>
      </c>
      <c r="D65" s="22" t="s">
        <v>96</v>
      </c>
      <c r="E65" s="22" t="s">
        <v>97</v>
      </c>
      <c r="F65" s="9">
        <f>29</f>
      </c>
      <c r="G65" s="10">
        <f>6.7</f>
      </c>
      <c r="H65" s="10">
        <f>0.6</f>
      </c>
      <c r="I65" s="11">
        <f>258.49</f>
      </c>
      <c r="J65" s="11">
        <f>3111.28</f>
      </c>
      <c r="K65" s="10">
        <f>10.6</f>
      </c>
      <c r="L65" s="10">
        <f>0.6</f>
      </c>
      <c r="M65" s="21">
        <f>24104666667</f>
      </c>
      <c r="N65" s="21">
        <f>395262000000</f>
      </c>
    </row>
    <row r="66">
      <c r="A66" s="22" t="s">
        <v>53</v>
      </c>
      <c r="B66" s="22" t="s">
        <v>136</v>
      </c>
      <c r="C66" s="22" t="s">
        <v>137</v>
      </c>
      <c r="D66" s="22" t="s">
        <v>98</v>
      </c>
      <c r="E66" s="22" t="s">
        <v>99</v>
      </c>
      <c r="F66" s="9">
        <f>42</f>
      </c>
      <c r="G66" s="10">
        <f>14.5</f>
      </c>
      <c r="H66" s="10">
        <f>0.8</f>
      </c>
      <c r="I66" s="11">
        <f>134.99</f>
      </c>
      <c r="J66" s="11">
        <f>2446.17</f>
      </c>
      <c r="K66" s="10">
        <f>15.5</f>
      </c>
      <c r="L66" s="10">
        <f>0.9</f>
      </c>
      <c r="M66" s="21">
        <f>31756857000</f>
      </c>
      <c r="N66" s="21">
        <f>526509774000</f>
      </c>
    </row>
    <row r="67">
      <c r="A67" s="22" t="s">
        <v>53</v>
      </c>
      <c r="B67" s="22" t="s">
        <v>136</v>
      </c>
      <c r="C67" s="22" t="s">
        <v>137</v>
      </c>
      <c r="D67" s="22" t="s">
        <v>100</v>
      </c>
      <c r="E67" s="22" t="s">
        <v>101</v>
      </c>
      <c r="F67" s="9">
        <f>32</f>
      </c>
      <c r="G67" s="10">
        <f>25.7</f>
      </c>
      <c r="H67" s="10">
        <f>1.1</f>
      </c>
      <c r="I67" s="11">
        <f>53.85</f>
      </c>
      <c r="J67" s="11">
        <f>1291.35</f>
      </c>
      <c r="K67" s="10">
        <f>27.6</f>
      </c>
      <c r="L67" s="10">
        <f>1.4</f>
      </c>
      <c r="M67" s="21">
        <f>16149400000</f>
      </c>
      <c r="N67" s="21">
        <f>324755000000</f>
      </c>
    </row>
    <row r="68">
      <c r="A68" s="22" t="s">
        <v>53</v>
      </c>
      <c r="B68" s="22" t="s">
        <v>136</v>
      </c>
      <c r="C68" s="22" t="s">
        <v>137</v>
      </c>
      <c r="D68" s="22" t="s">
        <v>102</v>
      </c>
      <c r="E68" s="22" t="s">
        <v>103</v>
      </c>
      <c r="F68" s="9">
        <f>16</f>
      </c>
      <c r="G68" s="10">
        <f>15.2</f>
      </c>
      <c r="H68" s="10">
        <f>0.4</f>
      </c>
      <c r="I68" s="11">
        <f>83.99</f>
      </c>
      <c r="J68" s="11">
        <f>3147.14</f>
      </c>
      <c r="K68" s="10">
        <f>36.9</f>
      </c>
      <c r="L68" s="10">
        <f>0.4</f>
      </c>
      <c r="M68" s="21">
        <f>7442000000</f>
      </c>
      <c r="N68" s="21">
        <f>676190000000</f>
      </c>
    </row>
    <row r="69">
      <c r="A69" s="22" t="s">
        <v>53</v>
      </c>
      <c r="B69" s="22" t="s">
        <v>136</v>
      </c>
      <c r="C69" s="22" t="s">
        <v>137</v>
      </c>
      <c r="D69" s="22" t="s">
        <v>104</v>
      </c>
      <c r="E69" s="22" t="s">
        <v>105</v>
      </c>
      <c r="F69" s="9">
        <f>2</f>
      </c>
      <c r="G69" s="10">
        <f>15.6</f>
      </c>
      <c r="H69" s="10">
        <f>1.2</f>
      </c>
      <c r="I69" s="11">
        <f>94.2</f>
      </c>
      <c r="J69" s="11">
        <f>1227.5</f>
      </c>
      <c r="K69" s="10">
        <f>16.3</f>
      </c>
      <c r="L69" s="10">
        <f>1.2</f>
      </c>
      <c r="M69" s="21">
        <f>1936000000</f>
      </c>
      <c r="N69" s="21">
        <f>26482000000</f>
      </c>
    </row>
    <row r="70">
      <c r="A70" s="22" t="s">
        <v>53</v>
      </c>
      <c r="B70" s="22" t="s">
        <v>136</v>
      </c>
      <c r="C70" s="22" t="s">
        <v>137</v>
      </c>
      <c r="D70" s="22" t="s">
        <v>106</v>
      </c>
      <c r="E70" s="22" t="s">
        <v>107</v>
      </c>
      <c r="F70" s="9">
        <f>20</f>
      </c>
      <c r="G70" s="10">
        <f>13.5</f>
      </c>
      <c r="H70" s="10">
        <f>0.4</f>
      </c>
      <c r="I70" s="11">
        <f>77.56</f>
      </c>
      <c r="J70" s="11">
        <f>2658.41</f>
      </c>
      <c r="K70" s="10">
        <f>21.5</f>
      </c>
      <c r="L70" s="10">
        <f>0.7</f>
      </c>
      <c r="M70" s="21">
        <f>6355000000</f>
      </c>
      <c r="N70" s="21">
        <f>210389000000</f>
      </c>
    </row>
    <row r="71">
      <c r="A71" s="22" t="s">
        <v>53</v>
      </c>
      <c r="B71" s="22" t="s">
        <v>136</v>
      </c>
      <c r="C71" s="22" t="s">
        <v>137</v>
      </c>
      <c r="D71" s="22" t="s">
        <v>108</v>
      </c>
      <c r="E71" s="22" t="s">
        <v>109</v>
      </c>
      <c r="F71" s="9">
        <f>2</f>
      </c>
      <c r="G71" s="10">
        <f>9.4</f>
      </c>
      <c r="H71" s="10">
        <f>0.4</f>
      </c>
      <c r="I71" s="11">
        <f>345.14</f>
      </c>
      <c r="J71" s="11">
        <f>8843.9</f>
      </c>
      <c r="K71" s="10">
        <f>8.6</f>
      </c>
      <c r="L71" s="10">
        <f>0.4</f>
      </c>
      <c r="M71" s="21">
        <f>6077000000</f>
      </c>
      <c r="N71" s="21">
        <f>131657000000</f>
      </c>
    </row>
    <row r="72">
      <c r="A72" s="22" t="s">
        <v>53</v>
      </c>
      <c r="B72" s="22" t="s">
        <v>136</v>
      </c>
      <c r="C72" s="22" t="s">
        <v>137</v>
      </c>
      <c r="D72" s="22" t="s">
        <v>110</v>
      </c>
      <c r="E72" s="22" t="s">
        <v>111</v>
      </c>
      <c r="F72" s="9">
        <f>10</f>
      </c>
      <c r="G72" s="10">
        <f>11.5</f>
      </c>
      <c r="H72" s="10">
        <f>0.5</f>
      </c>
      <c r="I72" s="11">
        <f>143.89</f>
      </c>
      <c r="J72" s="11">
        <f>3037.83</f>
      </c>
      <c r="K72" s="10">
        <f>13.6</f>
      </c>
      <c r="L72" s="10">
        <f>0.6</f>
      </c>
      <c r="M72" s="21">
        <f>8802000000</f>
      </c>
      <c r="N72" s="21">
        <f>191025000000</f>
      </c>
    </row>
    <row r="73">
      <c r="A73" s="22" t="s">
        <v>53</v>
      </c>
      <c r="B73" s="22" t="s">
        <v>136</v>
      </c>
      <c r="C73" s="22" t="s">
        <v>137</v>
      </c>
      <c r="D73" s="22" t="s">
        <v>112</v>
      </c>
      <c r="E73" s="22" t="s">
        <v>113</v>
      </c>
      <c r="F73" s="9">
        <f>4</f>
      </c>
      <c r="G73" s="10">
        <f>"－"</f>
      </c>
      <c r="H73" s="10">
        <f>0.4</f>
      </c>
      <c r="I73" s="11">
        <f>-4.32</f>
      </c>
      <c r="J73" s="11">
        <f>3903.32</f>
      </c>
      <c r="K73" s="10">
        <f>24.8</f>
      </c>
      <c r="L73" s="10">
        <f>0.3</f>
      </c>
      <c r="M73" s="21">
        <f>765000000</f>
      </c>
      <c r="N73" s="21">
        <f>57910000000</f>
      </c>
    </row>
    <row r="74">
      <c r="A74" s="22" t="s">
        <v>53</v>
      </c>
      <c r="B74" s="22" t="s">
        <v>136</v>
      </c>
      <c r="C74" s="22" t="s">
        <v>137</v>
      </c>
      <c r="D74" s="22" t="s">
        <v>114</v>
      </c>
      <c r="E74" s="22" t="s">
        <v>115</v>
      </c>
      <c r="F74" s="9">
        <f>2</f>
      </c>
      <c r="G74" s="10">
        <f>"－"</f>
      </c>
      <c r="H74" s="10">
        <f>1.1</f>
      </c>
      <c r="I74" s="11">
        <f>-22.68</f>
      </c>
      <c r="J74" s="11">
        <f>1598.7</f>
      </c>
      <c r="K74" s="10">
        <f>16.9</f>
      </c>
      <c r="L74" s="10">
        <f>1</f>
      </c>
      <c r="M74" s="21">
        <f>1354000000</f>
      </c>
      <c r="N74" s="21">
        <f>22399000000</f>
      </c>
    </row>
    <row r="75">
      <c r="A75" s="22" t="s">
        <v>53</v>
      </c>
      <c r="B75" s="22" t="s">
        <v>136</v>
      </c>
      <c r="C75" s="22" t="s">
        <v>137</v>
      </c>
      <c r="D75" s="22" t="s">
        <v>116</v>
      </c>
      <c r="E75" s="22" t="s">
        <v>117</v>
      </c>
      <c r="F75" s="9">
        <f>10</f>
      </c>
      <c r="G75" s="10">
        <f>11.7</f>
      </c>
      <c r="H75" s="10">
        <f>0.4</f>
      </c>
      <c r="I75" s="11">
        <f>118.01</f>
      </c>
      <c r="J75" s="11">
        <f>3225.09</f>
      </c>
      <c r="K75" s="10">
        <f>12.4</f>
      </c>
      <c r="L75" s="10">
        <f>0.4</f>
      </c>
      <c r="M75" s="21">
        <f>3470000000</f>
      </c>
      <c r="N75" s="21">
        <f>97456000000</f>
      </c>
    </row>
    <row r="76">
      <c r="A76" s="22" t="s">
        <v>53</v>
      </c>
      <c r="B76" s="22" t="s">
        <v>136</v>
      </c>
      <c r="C76" s="22" t="s">
        <v>137</v>
      </c>
      <c r="D76" s="22" t="s">
        <v>118</v>
      </c>
      <c r="E76" s="22" t="s">
        <v>119</v>
      </c>
      <c r="F76" s="9">
        <f>29</f>
      </c>
      <c r="G76" s="10">
        <f>31.4</f>
      </c>
      <c r="H76" s="10">
        <f>2.1</f>
      </c>
      <c r="I76" s="11">
        <f>32.07</f>
      </c>
      <c r="J76" s="11">
        <f>474.95</f>
      </c>
      <c r="K76" s="10">
        <f>134.1</f>
      </c>
      <c r="L76" s="10">
        <f>2.1</f>
      </c>
      <c r="M76" s="21">
        <f>1841238000</f>
      </c>
      <c r="N76" s="21">
        <f>116221894000</f>
      </c>
    </row>
    <row r="77">
      <c r="A77" s="22" t="s">
        <v>53</v>
      </c>
      <c r="B77" s="22" t="s">
        <v>136</v>
      </c>
      <c r="C77" s="22" t="s">
        <v>137</v>
      </c>
      <c r="D77" s="22" t="s">
        <v>120</v>
      </c>
      <c r="E77" s="22" t="s">
        <v>121</v>
      </c>
      <c r="F77" s="9">
        <f>45</f>
      </c>
      <c r="G77" s="10">
        <f>17.8</f>
      </c>
      <c r="H77" s="10">
        <f>0.6</f>
      </c>
      <c r="I77" s="11">
        <f>78.21</f>
      </c>
      <c r="J77" s="11">
        <f>2179.11</f>
      </c>
      <c r="K77" s="10">
        <f>16.9</f>
      </c>
      <c r="L77" s="10">
        <f>0.8</f>
      </c>
      <c r="M77" s="21">
        <f>34175000000</f>
      </c>
      <c r="N77" s="21">
        <f>705665000000</f>
      </c>
    </row>
    <row r="78">
      <c r="A78" s="22" t="s">
        <v>53</v>
      </c>
      <c r="B78" s="22" t="s">
        <v>136</v>
      </c>
      <c r="C78" s="22" t="s">
        <v>137</v>
      </c>
      <c r="D78" s="22" t="s">
        <v>122</v>
      </c>
      <c r="E78" s="22" t="s">
        <v>123</v>
      </c>
      <c r="F78" s="9">
        <f>37</f>
      </c>
      <c r="G78" s="10">
        <f>"－"</f>
      </c>
      <c r="H78" s="10">
        <f>1.4</f>
      </c>
      <c r="I78" s="11">
        <f>-44.31</f>
      </c>
      <c r="J78" s="11">
        <f>655.53</f>
      </c>
      <c r="K78" s="10">
        <f>"－"</f>
      </c>
      <c r="L78" s="10">
        <f>1.5</f>
      </c>
      <c r="M78" s="21">
        <f>-31003000000</f>
      </c>
      <c r="N78" s="21">
        <f>380710129000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60.3</f>
      </c>
      <c r="H80" s="10">
        <f>0.9</f>
      </c>
      <c r="I80" s="11">
        <f>2.48</f>
      </c>
      <c r="J80" s="11">
        <f>167.28</f>
      </c>
      <c r="K80" s="10">
        <f>"－"</f>
      </c>
      <c r="L80" s="10">
        <f>1.3</f>
      </c>
      <c r="M80" s="21">
        <f>-1493000000</f>
      </c>
      <c r="N80" s="21">
        <f>20640000000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f>
      </c>
      <c r="H82" s="10">
        <f>0.3</f>
      </c>
      <c r="I82" s="11">
        <f>-26.08</f>
      </c>
      <c r="J82" s="11">
        <f>461.82</f>
      </c>
      <c r="K82" s="10">
        <f>"－"</f>
      </c>
      <c r="L82" s="10">
        <f>0.4</f>
      </c>
      <c r="M82" s="21">
        <f>-6528000000</f>
      </c>
      <c r="N82" s="21">
        <f>109762000000</f>
      </c>
    </row>
    <row r="83">
      <c r="A83" s="22" t="s">
        <v>53</v>
      </c>
      <c r="B83" s="22" t="s">
        <v>136</v>
      </c>
      <c r="C83" s="22" t="s">
        <v>137</v>
      </c>
      <c r="D83" s="22" t="s">
        <v>132</v>
      </c>
      <c r="E83" s="22" t="s">
        <v>133</v>
      </c>
      <c r="F83" s="9">
        <f>15</f>
      </c>
      <c r="G83" s="10">
        <f>9.8</f>
      </c>
      <c r="H83" s="10">
        <f>0.7</f>
      </c>
      <c r="I83" s="11">
        <f>69.47</f>
      </c>
      <c r="J83" s="11">
        <f>912.27</f>
      </c>
      <c r="K83" s="10">
        <f>10.2</f>
      </c>
      <c r="L83" s="10">
        <f>1.1</f>
      </c>
      <c r="M83" s="21">
        <f>12029000000</f>
      </c>
      <c r="N83" s="21">
        <f>108832000000</f>
      </c>
    </row>
    <row r="84">
      <c r="A84" s="22" t="s">
        <v>53</v>
      </c>
      <c r="B84" s="22" t="s">
        <v>136</v>
      </c>
      <c r="C84" s="22" t="s">
        <v>137</v>
      </c>
      <c r="D84" s="22" t="s">
        <v>134</v>
      </c>
      <c r="E84" s="22" t="s">
        <v>135</v>
      </c>
      <c r="F84" s="9">
        <f>42</f>
      </c>
      <c r="G84" s="10">
        <f>36.4</f>
      </c>
      <c r="H84" s="10">
        <f>1.2</f>
      </c>
      <c r="I84" s="11">
        <f>38.08</f>
      </c>
      <c r="J84" s="11">
        <f>1110.86</f>
      </c>
      <c r="K84" s="10">
        <f>34.3</f>
      </c>
      <c r="L84" s="10">
        <f>1.5</f>
      </c>
      <c r="M84" s="21">
        <f>17548333333</f>
      </c>
      <c r="N84" s="21">
        <f>413455000000</f>
      </c>
    </row>
    <row r="85">
      <c r="A85" s="22" t="s">
        <v>53</v>
      </c>
      <c r="B85" s="22" t="s">
        <v>138</v>
      </c>
      <c r="C85" s="22" t="s">
        <v>139</v>
      </c>
      <c r="D85" s="22" t="s">
        <v>56</v>
      </c>
      <c r="E85" s="22" t="s">
        <v>57</v>
      </c>
      <c r="F85" s="9">
        <f>351</f>
      </c>
      <c r="G85" s="10">
        <f>261</f>
      </c>
      <c r="H85" s="10">
        <f>6.2</f>
      </c>
      <c r="I85" s="11">
        <f>8.29</f>
      </c>
      <c r="J85" s="11">
        <f>350.61</f>
      </c>
      <c r="K85" s="10">
        <f>"－"</f>
      </c>
      <c r="L85" s="10">
        <f>7.2</f>
      </c>
      <c r="M85" s="21">
        <f>-42137239765</f>
      </c>
      <c r="N85" s="21">
        <f>1295418230117</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344</f>
      </c>
      <c r="G89" s="10">
        <f>264.2</f>
      </c>
      <c r="H89" s="10">
        <f>6.2</f>
      </c>
      <c r="I89" s="11">
        <f>8.23</f>
      </c>
      <c r="J89" s="11">
        <f>348.91</f>
      </c>
      <c r="K89" s="10">
        <f>"－"</f>
      </c>
      <c r="L89" s="10">
        <f>7.3</f>
      </c>
      <c r="M89" s="21">
        <f>-40055219765</f>
      </c>
      <c r="N89" s="21">
        <f>1228954644117</f>
      </c>
    </row>
    <row r="90">
      <c r="A90" s="22" t="s">
        <v>53</v>
      </c>
      <c r="B90" s="22" t="s">
        <v>138</v>
      </c>
      <c r="C90" s="22" t="s">
        <v>139</v>
      </c>
      <c r="D90" s="22" t="s">
        <v>66</v>
      </c>
      <c r="E90" s="22" t="s">
        <v>67</v>
      </c>
      <c r="F90" s="9">
        <f>44</f>
      </c>
      <c r="G90" s="10">
        <f>"－"</f>
      </c>
      <c r="H90" s="10">
        <f>5</f>
      </c>
      <c r="I90" s="11">
        <f>-12.17</f>
      </c>
      <c r="J90" s="11">
        <f>362.3</f>
      </c>
      <c r="K90" s="10">
        <f>"－"</f>
      </c>
      <c r="L90" s="10">
        <f>4.4</f>
      </c>
      <c r="M90" s="21">
        <f>-34459796000</f>
      </c>
      <c r="N90" s="21">
        <f>349728785000</f>
      </c>
    </row>
    <row r="91">
      <c r="A91" s="22" t="s">
        <v>53</v>
      </c>
      <c r="B91" s="22" t="s">
        <v>138</v>
      </c>
      <c r="C91" s="22" t="s">
        <v>139</v>
      </c>
      <c r="D91" s="22" t="s">
        <v>68</v>
      </c>
      <c r="E91" s="22" t="s">
        <v>69</v>
      </c>
      <c r="F91" s="9">
        <f>300</f>
      </c>
      <c r="G91" s="10">
        <f>198.5</f>
      </c>
      <c r="H91" s="10">
        <f>6.4</f>
      </c>
      <c r="I91" s="11">
        <f>11.23</f>
      </c>
      <c r="J91" s="11">
        <f>346.95</f>
      </c>
      <c r="K91" s="10">
        <f>"－"</f>
      </c>
      <c r="L91" s="10">
        <f>8.4</f>
      </c>
      <c r="M91" s="21">
        <f>-5595423765</f>
      </c>
      <c r="N91" s="21">
        <f>879225859117</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42.5</f>
      </c>
      <c r="H94" s="10">
        <f>2.3</f>
      </c>
      <c r="I94" s="11">
        <f>18.43</f>
      </c>
      <c r="J94" s="11">
        <f>343.29</f>
      </c>
      <c r="K94" s="10">
        <f>55.9</f>
      </c>
      <c r="L94" s="10">
        <f>3.6</f>
      </c>
      <c r="M94" s="21">
        <f>846000000</f>
      </c>
      <c r="N94" s="21">
        <f>12976000000</f>
      </c>
    </row>
    <row r="95">
      <c r="A95" s="22" t="s">
        <v>53</v>
      </c>
      <c r="B95" s="22" t="s">
        <v>138</v>
      </c>
      <c r="C95" s="22" t="s">
        <v>139</v>
      </c>
      <c r="D95" s="22" t="s">
        <v>76</v>
      </c>
      <c r="E95" s="22" t="s">
        <v>77</v>
      </c>
      <c r="F95" s="9">
        <f>1</f>
      </c>
      <c r="G95" s="10">
        <f>"－"</f>
      </c>
      <c r="H95" s="10">
        <f>12</f>
      </c>
      <c r="I95" s="11">
        <f>-35.58</f>
      </c>
      <c r="J95" s="11">
        <f>18.19</f>
      </c>
      <c r="K95" s="10">
        <f>"－"</f>
      </c>
      <c r="L95" s="10">
        <f>12</f>
      </c>
      <c r="M95" s="21">
        <f>-440000000</f>
      </c>
      <c r="N95" s="21">
        <f>225000000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3</f>
      </c>
      <c r="G98" s="10">
        <f>66.4</f>
      </c>
      <c r="H98" s="10">
        <f>16.5</f>
      </c>
      <c r="I98" s="11">
        <f>87.9</f>
      </c>
      <c r="J98" s="11">
        <f>352.51</f>
      </c>
      <c r="K98" s="10">
        <f>65.6</f>
      </c>
      <c r="L98" s="10">
        <f>17</f>
      </c>
      <c r="M98" s="21">
        <f>2765371000</f>
      </c>
      <c r="N98" s="21">
        <f>10652086000</f>
      </c>
    </row>
    <row r="99">
      <c r="A99" s="22" t="s">
        <v>53</v>
      </c>
      <c r="B99" s="22" t="s">
        <v>138</v>
      </c>
      <c r="C99" s="22" t="s">
        <v>139</v>
      </c>
      <c r="D99" s="22" t="s">
        <v>84</v>
      </c>
      <c r="E99" s="22" t="s">
        <v>85</v>
      </c>
      <c r="F99" s="9">
        <f>22</f>
      </c>
      <c r="G99" s="10">
        <f>"－"</f>
      </c>
      <c r="H99" s="10">
        <f>7</f>
      </c>
      <c r="I99" s="11">
        <f>-54.19</f>
      </c>
      <c r="J99" s="11">
        <f>188.22</f>
      </c>
      <c r="K99" s="10">
        <f>"－"</f>
      </c>
      <c r="L99" s="10">
        <f>4.8</f>
      </c>
      <c r="M99" s="21">
        <f>-38288000000</f>
      </c>
      <c r="N99" s="21">
        <f>178477000000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f>
      </c>
      <c r="H104" s="10">
        <f>1.9</f>
      </c>
      <c r="I104" s="11">
        <f>-32.69</f>
      </c>
      <c r="J104" s="11">
        <f>394.04</f>
      </c>
      <c r="K104" s="10">
        <f>"－"</f>
      </c>
      <c r="L104" s="10">
        <f>1.9</f>
      </c>
      <c r="M104" s="21">
        <f>-173000000</f>
      </c>
      <c r="N104" s="21">
        <f>2085000000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5</f>
      </c>
      <c r="I106" s="11">
        <f>-1.33</f>
      </c>
      <c r="J106" s="11">
        <f>277.82</f>
      </c>
      <c r="K106" s="10">
        <f>136.3</f>
      </c>
      <c r="L106" s="10">
        <f>4.2</f>
      </c>
      <c r="M106" s="21">
        <f>388000000</f>
      </c>
      <c r="N106" s="21">
        <f>12601000000</f>
      </c>
    </row>
    <row r="107">
      <c r="A107" s="22" t="s">
        <v>53</v>
      </c>
      <c r="B107" s="22" t="s">
        <v>138</v>
      </c>
      <c r="C107" s="22" t="s">
        <v>139</v>
      </c>
      <c r="D107" s="22" t="s">
        <v>100</v>
      </c>
      <c r="E107" s="22" t="s">
        <v>101</v>
      </c>
      <c r="F107" s="9">
        <f>6</f>
      </c>
      <c r="G107" s="10">
        <f>151.3</f>
      </c>
      <c r="H107" s="10">
        <f>2.9</f>
      </c>
      <c r="I107" s="11">
        <f>15.07</f>
      </c>
      <c r="J107" s="11">
        <f>795.43</f>
      </c>
      <c r="K107" s="10">
        <f>"－"</f>
      </c>
      <c r="L107" s="10">
        <f>3.3</f>
      </c>
      <c r="M107" s="21">
        <f>-8167000</f>
      </c>
      <c r="N107" s="21">
        <f>41884699000</f>
      </c>
    </row>
    <row r="108">
      <c r="A108" s="22" t="s">
        <v>53</v>
      </c>
      <c r="B108" s="22" t="s">
        <v>138</v>
      </c>
      <c r="C108" s="22" t="s">
        <v>139</v>
      </c>
      <c r="D108" s="22" t="s">
        <v>102</v>
      </c>
      <c r="E108" s="22" t="s">
        <v>103</v>
      </c>
      <c r="F108" s="9">
        <f>1</f>
      </c>
      <c r="G108" s="10">
        <f>64.9</f>
      </c>
      <c r="H108" s="10">
        <f>7.2</f>
      </c>
      <c r="I108" s="11">
        <f>85.82</f>
      </c>
      <c r="J108" s="11">
        <f>770.44</f>
      </c>
      <c r="K108" s="10">
        <f>64.9</f>
      </c>
      <c r="L108" s="10">
        <f>7.2</f>
      </c>
      <c r="M108" s="21">
        <f>223000000</f>
      </c>
      <c r="N108" s="21">
        <f>2002000000</f>
      </c>
    </row>
    <row r="109">
      <c r="A109" s="22" t="s">
        <v>53</v>
      </c>
      <c r="B109" s="22" t="s">
        <v>138</v>
      </c>
      <c r="C109" s="22" t="s">
        <v>139</v>
      </c>
      <c r="D109" s="22" t="s">
        <v>104</v>
      </c>
      <c r="E109" s="22" t="s">
        <v>105</v>
      </c>
      <c r="F109" s="9">
        <f>2</f>
      </c>
      <c r="G109" s="10">
        <f>"－"</f>
      </c>
      <c r="H109" s="10">
        <f>4.4</f>
      </c>
      <c r="I109" s="11">
        <f>-2.42</f>
      </c>
      <c r="J109" s="11">
        <f>180.93</f>
      </c>
      <c r="K109" s="10">
        <f>"－"</f>
      </c>
      <c r="L109" s="10">
        <f>3.3</f>
      </c>
      <c r="M109" s="21">
        <f>-266000000</f>
      </c>
      <c r="N109" s="21">
        <f>48579000000</f>
      </c>
    </row>
    <row r="110">
      <c r="A110" s="22" t="s">
        <v>53</v>
      </c>
      <c r="B110" s="22" t="s">
        <v>138</v>
      </c>
      <c r="C110" s="22" t="s">
        <v>139</v>
      </c>
      <c r="D110" s="22" t="s">
        <v>106</v>
      </c>
      <c r="E110" s="22" t="s">
        <v>107</v>
      </c>
      <c r="F110" s="9">
        <f>5</f>
      </c>
      <c r="G110" s="10">
        <f>24.6</f>
      </c>
      <c r="H110" s="10">
        <f>2</f>
      </c>
      <c r="I110" s="11">
        <f>58.77</f>
      </c>
      <c r="J110" s="11">
        <f>718.47</f>
      </c>
      <c r="K110" s="10">
        <f>94.3</f>
      </c>
      <c r="L110" s="10">
        <f>2.4</f>
      </c>
      <c r="M110" s="21">
        <f>1339000000</f>
      </c>
      <c r="N110" s="21">
        <f>53223000000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61.9</f>
      </c>
      <c r="H115" s="10">
        <f>16.8</f>
      </c>
      <c r="I115" s="11">
        <f>53.41</f>
      </c>
      <c r="J115" s="11">
        <f>196.69</f>
      </c>
      <c r="K115" s="10">
        <f>61.9</f>
      </c>
      <c r="L115" s="10">
        <f>16.8</f>
      </c>
      <c r="M115" s="21">
        <f>170000000</f>
      </c>
      <c r="N115" s="21">
        <f>626000000</f>
      </c>
    </row>
    <row r="116">
      <c r="A116" s="22" t="s">
        <v>53</v>
      </c>
      <c r="B116" s="22" t="s">
        <v>138</v>
      </c>
      <c r="C116" s="22" t="s">
        <v>139</v>
      </c>
      <c r="D116" s="22" t="s">
        <v>118</v>
      </c>
      <c r="E116" s="22" t="s">
        <v>119</v>
      </c>
      <c r="F116" s="9">
        <f>137</f>
      </c>
      <c r="G116" s="10">
        <f>225.2</f>
      </c>
      <c r="H116" s="10">
        <f>9.9</f>
      </c>
      <c r="I116" s="11">
        <f>12.74</f>
      </c>
      <c r="J116" s="11">
        <f>290.14</f>
      </c>
      <c r="K116" s="10">
        <f>"－"</f>
      </c>
      <c r="L116" s="10">
        <f>14.5</f>
      </c>
      <c r="M116" s="21">
        <f>-19916933765</f>
      </c>
      <c r="N116" s="21">
        <f>375155918117</f>
      </c>
    </row>
    <row r="117">
      <c r="A117" s="22" t="s">
        <v>53</v>
      </c>
      <c r="B117" s="22" t="s">
        <v>138</v>
      </c>
      <c r="C117" s="22" t="s">
        <v>139</v>
      </c>
      <c r="D117" s="22" t="s">
        <v>120</v>
      </c>
      <c r="E117" s="22" t="s">
        <v>121</v>
      </c>
      <c r="F117" s="9">
        <f>6</f>
      </c>
      <c r="G117" s="10">
        <f>36.5</f>
      </c>
      <c r="H117" s="10">
        <f>6</f>
      </c>
      <c r="I117" s="11">
        <f>54.31</f>
      </c>
      <c r="J117" s="11">
        <f>328.14</f>
      </c>
      <c r="K117" s="10">
        <f>61</f>
      </c>
      <c r="L117" s="10">
        <f>7</f>
      </c>
      <c r="M117" s="21">
        <f>1830000000</f>
      </c>
      <c r="N117" s="21">
        <f>15995000000</f>
      </c>
    </row>
    <row r="118">
      <c r="A118" s="22" t="s">
        <v>53</v>
      </c>
      <c r="B118" s="22" t="s">
        <v>138</v>
      </c>
      <c r="C118" s="22" t="s">
        <v>139</v>
      </c>
      <c r="D118" s="22" t="s">
        <v>122</v>
      </c>
      <c r="E118" s="22" t="s">
        <v>123</v>
      </c>
      <c r="F118" s="9">
        <f>23</f>
      </c>
      <c r="G118" s="10">
        <f>"－"</f>
      </c>
      <c r="H118" s="10">
        <f>4.4</f>
      </c>
      <c r="I118" s="11">
        <f>-17.49</f>
      </c>
      <c r="J118" s="11">
        <f>356.14</f>
      </c>
      <c r="K118" s="10">
        <f>"－"</f>
      </c>
      <c r="L118" s="10">
        <f>4.4</f>
      </c>
      <c r="M118" s="21">
        <f>-3364548000</f>
      </c>
      <c r="N118" s="21">
        <f>41010776000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27.7</f>
      </c>
      <c r="I120" s="11">
        <f>-22</f>
      </c>
      <c r="J120" s="11">
        <f>151.7</f>
      </c>
      <c r="K120" s="10">
        <f>"－"</f>
      </c>
      <c r="L120" s="10">
        <f>27.7</f>
      </c>
      <c r="M120" s="21">
        <f>-1003000000</f>
      </c>
      <c r="N120" s="21">
        <f>6916000000</f>
      </c>
    </row>
    <row r="121">
      <c r="A121" s="22" t="s">
        <v>53</v>
      </c>
      <c r="B121" s="22" t="s">
        <v>138</v>
      </c>
      <c r="C121" s="22" t="s">
        <v>139</v>
      </c>
      <c r="D121" s="22" t="s">
        <v>128</v>
      </c>
      <c r="E121" s="22" t="s">
        <v>129</v>
      </c>
      <c r="F121" s="9">
        <f>4</f>
      </c>
      <c r="G121" s="10">
        <f>106.9</f>
      </c>
      <c r="H121" s="10">
        <f>1.9</f>
      </c>
      <c r="I121" s="11">
        <f>11.54</f>
      </c>
      <c r="J121" s="11">
        <f>656.48</f>
      </c>
      <c r="K121" s="10">
        <f>"－"</f>
      </c>
      <c r="L121" s="10">
        <f>2.3</f>
      </c>
      <c r="M121" s="21">
        <f>-1564020000</f>
      </c>
      <c r="N121" s="21">
        <f>56482586000</f>
      </c>
    </row>
    <row r="122">
      <c r="A122" s="22" t="s">
        <v>53</v>
      </c>
      <c r="B122" s="22" t="s">
        <v>138</v>
      </c>
      <c r="C122" s="22" t="s">
        <v>139</v>
      </c>
      <c r="D122" s="22" t="s">
        <v>130</v>
      </c>
      <c r="E122" s="22" t="s">
        <v>131</v>
      </c>
      <c r="F122" s="9">
        <f>2</f>
      </c>
      <c r="G122" s="10">
        <f>43.3</f>
      </c>
      <c r="H122" s="10">
        <f>8.9</f>
      </c>
      <c r="I122" s="11">
        <f>26.9</f>
      </c>
      <c r="J122" s="11">
        <f>130.67</f>
      </c>
      <c r="K122" s="10">
        <f>34.1</f>
      </c>
      <c r="L122" s="10">
        <f>5.4</f>
      </c>
      <c r="M122" s="21">
        <f>485000000</f>
      </c>
      <c r="N122" s="21">
        <f>3065000000</f>
      </c>
    </row>
    <row r="123">
      <c r="A123" s="22" t="s">
        <v>53</v>
      </c>
      <c r="B123" s="22" t="s">
        <v>138</v>
      </c>
      <c r="C123" s="22" t="s">
        <v>139</v>
      </c>
      <c r="D123" s="22" t="s">
        <v>132</v>
      </c>
      <c r="E123" s="22" t="s">
        <v>133</v>
      </c>
      <c r="F123" s="9">
        <f>18</f>
      </c>
      <c r="G123" s="10">
        <f>26.6</f>
      </c>
      <c r="H123" s="10">
        <f>2.4</f>
      </c>
      <c r="I123" s="11">
        <f>55.75</f>
      </c>
      <c r="J123" s="11">
        <f>626.81</f>
      </c>
      <c r="K123" s="10">
        <f>28.4</f>
      </c>
      <c r="L123" s="10">
        <f>1.8</f>
      </c>
      <c r="M123" s="21">
        <f>12399000000</f>
      </c>
      <c r="N123" s="21">
        <f>192096000000</f>
      </c>
    </row>
    <row r="124">
      <c r="A124" s="22" t="s">
        <v>53</v>
      </c>
      <c r="B124" s="22" t="s">
        <v>138</v>
      </c>
      <c r="C124" s="22" t="s">
        <v>139</v>
      </c>
      <c r="D124" s="22" t="s">
        <v>134</v>
      </c>
      <c r="E124" s="22" t="s">
        <v>135</v>
      </c>
      <c r="F124" s="9">
        <f>110</f>
      </c>
      <c r="G124" s="10">
        <f>352.7</f>
      </c>
      <c r="H124" s="10">
        <f>4.7</f>
      </c>
      <c r="I124" s="11">
        <f>5</f>
      </c>
      <c r="J124" s="11">
        <f>372.54</f>
      </c>
      <c r="K124" s="10">
        <f>512.4</f>
      </c>
      <c r="L124" s="10">
        <f>5.2</f>
      </c>
      <c r="M124" s="21">
        <f>2441058000</f>
      </c>
      <c r="N124" s="21">
        <f>241366165000</f>
      </c>
    </row>
    <row r="125">
      <c r="A125" s="22" t="s">
        <v>53</v>
      </c>
      <c r="B125" s="22" t="s">
        <v>140</v>
      </c>
      <c r="C125" s="22" t="s">
        <v>140</v>
      </c>
      <c r="D125" s="22" t="s">
        <v>56</v>
      </c>
      <c r="E125" s="22" t="s">
        <v>57</v>
      </c>
      <c r="F125" s="9">
        <f>694</f>
      </c>
      <c r="G125" s="10">
        <f>24</f>
      </c>
      <c r="H125" s="10">
        <f>1</f>
      </c>
      <c r="I125" s="11">
        <f>66.29</f>
      </c>
      <c r="J125" s="11">
        <f>1579.15</f>
      </c>
      <c r="K125" s="10">
        <f>38.7</f>
      </c>
      <c r="L125" s="10">
        <f>1.6</f>
      </c>
      <c r="M125" s="21">
        <f>272204651333</f>
      </c>
      <c r="N125" s="21">
        <f>6765836373310</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678</f>
      </c>
      <c r="G129" s="10">
        <f>24.2</f>
      </c>
      <c r="H129" s="10">
        <f>1</f>
      </c>
      <c r="I129" s="11">
        <f>66.46</f>
      </c>
      <c r="J129" s="11">
        <f>1597.03</f>
      </c>
      <c r="K129" s="10">
        <f>40.9</f>
      </c>
      <c r="L129" s="10">
        <f>1.6</f>
      </c>
      <c r="M129" s="21">
        <f>250941651333</f>
      </c>
      <c r="N129" s="21">
        <f>6559905373310</f>
      </c>
    </row>
    <row r="130">
      <c r="A130" s="22" t="s">
        <v>53</v>
      </c>
      <c r="B130" s="22" t="s">
        <v>140</v>
      </c>
      <c r="C130" s="22" t="s">
        <v>140</v>
      </c>
      <c r="D130" s="22" t="s">
        <v>66</v>
      </c>
      <c r="E130" s="22" t="s">
        <v>67</v>
      </c>
      <c r="F130" s="9">
        <f>242</f>
      </c>
      <c r="G130" s="10">
        <f>24.3</f>
      </c>
      <c r="H130" s="10">
        <f>0.9</f>
      </c>
      <c r="I130" s="11">
        <f>79.34</f>
      </c>
      <c r="J130" s="11">
        <f>2043.4</f>
      </c>
      <c r="K130" s="10">
        <f>78.2</f>
      </c>
      <c r="L130" s="10">
        <f>1.3</f>
      </c>
      <c r="M130" s="21">
        <f>50184638333</f>
      </c>
      <c r="N130" s="21">
        <f>3010362053000</f>
      </c>
    </row>
    <row r="131">
      <c r="A131" s="22" t="s">
        <v>53</v>
      </c>
      <c r="B131" s="22" t="s">
        <v>140</v>
      </c>
      <c r="C131" s="22" t="s">
        <v>140</v>
      </c>
      <c r="D131" s="22" t="s">
        <v>68</v>
      </c>
      <c r="E131" s="22" t="s">
        <v>69</v>
      </c>
      <c r="F131" s="9">
        <f>436</f>
      </c>
      <c r="G131" s="10">
        <f>24.1</f>
      </c>
      <c r="H131" s="10">
        <f>1.1</f>
      </c>
      <c r="I131" s="11">
        <f>59.31</f>
      </c>
      <c r="J131" s="11">
        <f>1349.28</f>
      </c>
      <c r="K131" s="10">
        <f>31.6</f>
      </c>
      <c r="L131" s="10">
        <f>1.8</f>
      </c>
      <c r="M131" s="21">
        <f>200757013000</f>
      </c>
      <c r="N131" s="21">
        <f>3549543320310</f>
      </c>
    </row>
    <row r="132">
      <c r="A132" s="22" t="s">
        <v>53</v>
      </c>
      <c r="B132" s="22" t="s">
        <v>140</v>
      </c>
      <c r="C132" s="22" t="s">
        <v>140</v>
      </c>
      <c r="D132" s="22" t="s">
        <v>70</v>
      </c>
      <c r="E132" s="22" t="s">
        <v>71</v>
      </c>
      <c r="F132" s="9">
        <f>4</f>
      </c>
      <c r="G132" s="10">
        <f>33.9</f>
      </c>
      <c r="H132" s="10">
        <f>1.7</f>
      </c>
      <c r="I132" s="11">
        <f>59.11</f>
      </c>
      <c r="J132" s="11">
        <f>1166.34</f>
      </c>
      <c r="K132" s="10">
        <f>15.3</f>
      </c>
      <c r="L132" s="10">
        <f>1.5</f>
      </c>
      <c r="M132" s="21">
        <f>1858000000</f>
      </c>
      <c r="N132" s="21">
        <f>18733000000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30</f>
      </c>
      <c r="G134" s="10">
        <f>11.1</f>
      </c>
      <c r="H134" s="10">
        <f>0.7</f>
      </c>
      <c r="I134" s="11">
        <f>183.07</f>
      </c>
      <c r="J134" s="11">
        <f>2821.09</f>
      </c>
      <c r="K134" s="10">
        <f>18.3</f>
      </c>
      <c r="L134" s="10">
        <f>1.1</f>
      </c>
      <c r="M134" s="21">
        <f>23425000000</f>
      </c>
      <c r="N134" s="21">
        <f>375689000000</f>
      </c>
    </row>
    <row r="135">
      <c r="A135" s="22" t="s">
        <v>53</v>
      </c>
      <c r="B135" s="22" t="s">
        <v>140</v>
      </c>
      <c r="C135" s="22" t="s">
        <v>140</v>
      </c>
      <c r="D135" s="22" t="s">
        <v>76</v>
      </c>
      <c r="E135" s="22" t="s">
        <v>77</v>
      </c>
      <c r="F135" s="9">
        <f>14</f>
      </c>
      <c r="G135" s="10">
        <f>50.8</f>
      </c>
      <c r="H135" s="10">
        <f>1.1</f>
      </c>
      <c r="I135" s="11">
        <f>39.53</f>
      </c>
      <c r="J135" s="11">
        <f>1861.45</f>
      </c>
      <c r="K135" s="10">
        <f>26.6</f>
      </c>
      <c r="L135" s="10">
        <f>1.1</f>
      </c>
      <c r="M135" s="21">
        <f>6388000000</f>
      </c>
      <c r="N135" s="21">
        <f>154018000000</f>
      </c>
    </row>
    <row r="136">
      <c r="A136" s="22" t="s">
        <v>53</v>
      </c>
      <c r="B136" s="22" t="s">
        <v>140</v>
      </c>
      <c r="C136" s="22" t="s">
        <v>140</v>
      </c>
      <c r="D136" s="22" t="s">
        <v>78</v>
      </c>
      <c r="E136" s="22" t="s">
        <v>79</v>
      </c>
      <c r="F136" s="9">
        <f>1</f>
      </c>
      <c r="G136" s="10">
        <f>"－"</f>
      </c>
      <c r="H136" s="10">
        <f>0.3</f>
      </c>
      <c r="I136" s="11">
        <f>-336</f>
      </c>
      <c r="J136" s="11">
        <f>8362</f>
      </c>
      <c r="K136" s="10">
        <f>"－"</f>
      </c>
      <c r="L136" s="10">
        <f>0.3</f>
      </c>
      <c r="M136" s="21">
        <f>-336000000</f>
      </c>
      <c r="N136" s="21">
        <f>8362000000</f>
      </c>
    </row>
    <row r="137">
      <c r="A137" s="22" t="s">
        <v>53</v>
      </c>
      <c r="B137" s="22" t="s">
        <v>140</v>
      </c>
      <c r="C137" s="22" t="s">
        <v>140</v>
      </c>
      <c r="D137" s="22" t="s">
        <v>80</v>
      </c>
      <c r="E137" s="22" t="s">
        <v>81</v>
      </c>
      <c r="F137" s="9">
        <f>7</f>
      </c>
      <c r="G137" s="10">
        <f>12.7</f>
      </c>
      <c r="H137" s="10">
        <f>0.8</f>
      </c>
      <c r="I137" s="11">
        <f>92.84</f>
      </c>
      <c r="J137" s="11">
        <f>1495.98</f>
      </c>
      <c r="K137" s="10">
        <f>16.4</f>
      </c>
      <c r="L137" s="10">
        <f>1</f>
      </c>
      <c r="M137" s="21">
        <f>3867000000</f>
      </c>
      <c r="N137" s="21">
        <f>63533000000</f>
      </c>
    </row>
    <row r="138">
      <c r="A138" s="22" t="s">
        <v>53</v>
      </c>
      <c r="B138" s="22" t="s">
        <v>140</v>
      </c>
      <c r="C138" s="22" t="s">
        <v>140</v>
      </c>
      <c r="D138" s="22" t="s">
        <v>82</v>
      </c>
      <c r="E138" s="22" t="s">
        <v>83</v>
      </c>
      <c r="F138" s="9">
        <f>30</f>
      </c>
      <c r="G138" s="10">
        <f>18.1</f>
      </c>
      <c r="H138" s="10">
        <f>1.1</f>
      </c>
      <c r="I138" s="11">
        <f>188.03</f>
      </c>
      <c r="J138" s="11">
        <f>3127.87</f>
      </c>
      <c r="K138" s="10">
        <f>27.6</f>
      </c>
      <c r="L138" s="10">
        <f>1.4</f>
      </c>
      <c r="M138" s="21">
        <f>18706000000</f>
      </c>
      <c r="N138" s="21">
        <f>382076500000</f>
      </c>
    </row>
    <row r="139">
      <c r="A139" s="22" t="s">
        <v>53</v>
      </c>
      <c r="B139" s="22" t="s">
        <v>140</v>
      </c>
      <c r="C139" s="22" t="s">
        <v>140</v>
      </c>
      <c r="D139" s="22" t="s">
        <v>84</v>
      </c>
      <c r="E139" s="22" t="s">
        <v>85</v>
      </c>
      <c r="F139" s="9">
        <f>8</f>
      </c>
      <c r="G139" s="10">
        <f>"－"</f>
      </c>
      <c r="H139" s="10">
        <f>3.4</f>
      </c>
      <c r="I139" s="11">
        <f>-26.24</f>
      </c>
      <c r="J139" s="11">
        <f>260.12</f>
      </c>
      <c r="K139" s="10">
        <f>"－"</f>
      </c>
      <c r="L139" s="10">
        <f>5</f>
      </c>
      <c r="M139" s="21">
        <f>-6308609000</f>
      </c>
      <c r="N139" s="21">
        <f>23032253000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483.7</f>
      </c>
      <c r="H141" s="10">
        <f>1</f>
      </c>
      <c r="I141" s="11">
        <f>3.54</f>
      </c>
      <c r="J141" s="11">
        <f>1694.12</f>
      </c>
      <c r="K141" s="10">
        <f>64.6</f>
      </c>
      <c r="L141" s="10">
        <f>0.9</f>
      </c>
      <c r="M141" s="21">
        <f>100000000</f>
      </c>
      <c r="N141" s="21">
        <f>7573000000</f>
      </c>
    </row>
    <row r="142">
      <c r="A142" s="22" t="s">
        <v>53</v>
      </c>
      <c r="B142" s="22" t="s">
        <v>140</v>
      </c>
      <c r="C142" s="22" t="s">
        <v>140</v>
      </c>
      <c r="D142" s="22" t="s">
        <v>90</v>
      </c>
      <c r="E142" s="22" t="s">
        <v>91</v>
      </c>
      <c r="F142" s="9">
        <f>10</f>
      </c>
      <c r="G142" s="10">
        <f>25.2</f>
      </c>
      <c r="H142" s="10">
        <f>1.4</f>
      </c>
      <c r="I142" s="11">
        <f>152.07</f>
      </c>
      <c r="J142" s="11">
        <f>2728.64</f>
      </c>
      <c r="K142" s="10">
        <f>71.3</f>
      </c>
      <c r="L142" s="10">
        <f>1.1</f>
      </c>
      <c r="M142" s="21">
        <f>896000000</f>
      </c>
      <c r="N142" s="21">
        <f>56763000000</f>
      </c>
    </row>
    <row r="143">
      <c r="A143" s="22" t="s">
        <v>53</v>
      </c>
      <c r="B143" s="22" t="s">
        <v>140</v>
      </c>
      <c r="C143" s="22" t="s">
        <v>140</v>
      </c>
      <c r="D143" s="22" t="s">
        <v>92</v>
      </c>
      <c r="E143" s="22" t="s">
        <v>93</v>
      </c>
      <c r="F143" s="9">
        <f>4</f>
      </c>
      <c r="G143" s="10">
        <f>10.4</f>
      </c>
      <c r="H143" s="10">
        <f>0.8</f>
      </c>
      <c r="I143" s="11">
        <f>195.8</f>
      </c>
      <c r="J143" s="11">
        <f>2534.25</f>
      </c>
      <c r="K143" s="10">
        <f>9.8</f>
      </c>
      <c r="L143" s="10">
        <f>0.7</f>
      </c>
      <c r="M143" s="21">
        <f>3031000000</f>
      </c>
      <c r="N143" s="21">
        <f>42866000000</f>
      </c>
    </row>
    <row r="144">
      <c r="A144" s="22" t="s">
        <v>53</v>
      </c>
      <c r="B144" s="22" t="s">
        <v>140</v>
      </c>
      <c r="C144" s="22" t="s">
        <v>140</v>
      </c>
      <c r="D144" s="22" t="s">
        <v>94</v>
      </c>
      <c r="E144" s="22" t="s">
        <v>95</v>
      </c>
      <c r="F144" s="9">
        <f>3</f>
      </c>
      <c r="G144" s="10">
        <f>20.6</f>
      </c>
      <c r="H144" s="10">
        <f>0.6</f>
      </c>
      <c r="I144" s="11">
        <f>62.26</f>
      </c>
      <c r="J144" s="11">
        <f>1978.63</f>
      </c>
      <c r="K144" s="10">
        <f>37.1</f>
      </c>
      <c r="L144" s="10">
        <f>1.1</f>
      </c>
      <c r="M144" s="21">
        <f>404000000</f>
      </c>
      <c r="N144" s="21">
        <f>13439000000</f>
      </c>
    </row>
    <row r="145">
      <c r="A145" s="22" t="s">
        <v>53</v>
      </c>
      <c r="B145" s="22" t="s">
        <v>140</v>
      </c>
      <c r="C145" s="22" t="s">
        <v>140</v>
      </c>
      <c r="D145" s="22" t="s">
        <v>96</v>
      </c>
      <c r="E145" s="22" t="s">
        <v>97</v>
      </c>
      <c r="F145" s="9">
        <f>18</f>
      </c>
      <c r="G145" s="10">
        <f>13.3</f>
      </c>
      <c r="H145" s="10">
        <f>0.6</f>
      </c>
      <c r="I145" s="11">
        <f>161.33</f>
      </c>
      <c r="J145" s="11">
        <f>3341.38</f>
      </c>
      <c r="K145" s="10">
        <f>16.8</f>
      </c>
      <c r="L145" s="10">
        <f>0.8</f>
      </c>
      <c r="M145" s="21">
        <f>7690000000</f>
      </c>
      <c r="N145" s="21">
        <f>170390000000</f>
      </c>
    </row>
    <row r="146">
      <c r="A146" s="22" t="s">
        <v>53</v>
      </c>
      <c r="B146" s="22" t="s">
        <v>140</v>
      </c>
      <c r="C146" s="22" t="s">
        <v>140</v>
      </c>
      <c r="D146" s="22" t="s">
        <v>98</v>
      </c>
      <c r="E146" s="22" t="s">
        <v>99</v>
      </c>
      <c r="F146" s="9">
        <f>42</f>
      </c>
      <c r="G146" s="10">
        <f>41.2</f>
      </c>
      <c r="H146" s="10">
        <f>0.9</f>
      </c>
      <c r="I146" s="11">
        <f>36.95</f>
      </c>
      <c r="J146" s="11">
        <f>1744.15</f>
      </c>
      <c r="K146" s="10">
        <f>"－"</f>
      </c>
      <c r="L146" s="10">
        <f>1.5</f>
      </c>
      <c r="M146" s="21">
        <f>-9788666667</f>
      </c>
      <c r="N146" s="21">
        <f>869567000000</f>
      </c>
    </row>
    <row r="147">
      <c r="A147" s="22" t="s">
        <v>53</v>
      </c>
      <c r="B147" s="22" t="s">
        <v>140</v>
      </c>
      <c r="C147" s="22" t="s">
        <v>140</v>
      </c>
      <c r="D147" s="22" t="s">
        <v>100</v>
      </c>
      <c r="E147" s="22" t="s">
        <v>101</v>
      </c>
      <c r="F147" s="9">
        <f>45</f>
      </c>
      <c r="G147" s="10">
        <f>26.7</f>
      </c>
      <c r="H147" s="10">
        <f>1.1</f>
      </c>
      <c r="I147" s="11">
        <f>70.67</f>
      </c>
      <c r="J147" s="11">
        <f>1765.47</f>
      </c>
      <c r="K147" s="10">
        <f>71.1</f>
      </c>
      <c r="L147" s="10">
        <f>1.4</f>
      </c>
      <c r="M147" s="21">
        <f>11248914000</f>
      </c>
      <c r="N147" s="21">
        <f>588921300000</f>
      </c>
    </row>
    <row r="148">
      <c r="A148" s="22" t="s">
        <v>53</v>
      </c>
      <c r="B148" s="22" t="s">
        <v>140</v>
      </c>
      <c r="C148" s="22" t="s">
        <v>140</v>
      </c>
      <c r="D148" s="22" t="s">
        <v>102</v>
      </c>
      <c r="E148" s="22" t="s">
        <v>103</v>
      </c>
      <c r="F148" s="9">
        <f>14</f>
      </c>
      <c r="G148" s="10">
        <f>22.3</f>
      </c>
      <c r="H148" s="10">
        <f>0.5</f>
      </c>
      <c r="I148" s="11">
        <f>51.96</f>
      </c>
      <c r="J148" s="11">
        <f>2229.98</f>
      </c>
      <c r="K148" s="10">
        <f>84.8</f>
      </c>
      <c r="L148" s="10">
        <f>0.4</f>
      </c>
      <c r="M148" s="21">
        <f>1263000000</f>
      </c>
      <c r="N148" s="21">
        <f>254514000000</f>
      </c>
    </row>
    <row r="149">
      <c r="A149" s="22" t="s">
        <v>53</v>
      </c>
      <c r="B149" s="22" t="s">
        <v>140</v>
      </c>
      <c r="C149" s="22" t="s">
        <v>140</v>
      </c>
      <c r="D149" s="22" t="s">
        <v>104</v>
      </c>
      <c r="E149" s="22" t="s">
        <v>105</v>
      </c>
      <c r="F149" s="9">
        <f>13</f>
      </c>
      <c r="G149" s="10">
        <f>28.4</f>
      </c>
      <c r="H149" s="10">
        <f>2</f>
      </c>
      <c r="I149" s="11">
        <f>46.19</f>
      </c>
      <c r="J149" s="11">
        <f>651.57</f>
      </c>
      <c r="K149" s="10">
        <f>47</f>
      </c>
      <c r="L149" s="10">
        <f>2.2</f>
      </c>
      <c r="M149" s="21">
        <f>8127000000</f>
      </c>
      <c r="N149" s="21">
        <f>171768000000</f>
      </c>
    </row>
    <row r="150">
      <c r="A150" s="22" t="s">
        <v>53</v>
      </c>
      <c r="B150" s="22" t="s">
        <v>140</v>
      </c>
      <c r="C150" s="22" t="s">
        <v>140</v>
      </c>
      <c r="D150" s="22" t="s">
        <v>106</v>
      </c>
      <c r="E150" s="22" t="s">
        <v>107</v>
      </c>
      <c r="F150" s="9">
        <f>31</f>
      </c>
      <c r="G150" s="10">
        <f>30.6</f>
      </c>
      <c r="H150" s="10">
        <f>0.8</f>
      </c>
      <c r="I150" s="11">
        <f>46.47</f>
      </c>
      <c r="J150" s="11">
        <f>1755.13</f>
      </c>
      <c r="K150" s="10">
        <f>46</f>
      </c>
      <c r="L150" s="10">
        <f>1.1</f>
      </c>
      <c r="M150" s="21">
        <f>4897000000</f>
      </c>
      <c r="N150" s="21">
        <f>203539000000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15.4</f>
      </c>
      <c r="H152" s="10">
        <f>0.5</f>
      </c>
      <c r="I152" s="11">
        <f>116.04</f>
      </c>
      <c r="J152" s="11">
        <f>3953.73</f>
      </c>
      <c r="K152" s="10">
        <f>13</f>
      </c>
      <c r="L152" s="10">
        <f>0.6</f>
      </c>
      <c r="M152" s="21">
        <f>3744000000</f>
      </c>
      <c r="N152" s="21">
        <f>87062000000</f>
      </c>
    </row>
    <row r="153">
      <c r="A153" s="22" t="s">
        <v>53</v>
      </c>
      <c r="B153" s="22" t="s">
        <v>140</v>
      </c>
      <c r="C153" s="22" t="s">
        <v>140</v>
      </c>
      <c r="D153" s="22" t="s">
        <v>112</v>
      </c>
      <c r="E153" s="22" t="s">
        <v>113</v>
      </c>
      <c r="F153" s="9">
        <f>1</f>
      </c>
      <c r="G153" s="10">
        <f>"－"</f>
      </c>
      <c r="H153" s="10">
        <f>"－"</f>
      </c>
      <c r="I153" s="11">
        <f>-149.76</f>
      </c>
      <c r="J153" s="11">
        <f>-51.51</f>
      </c>
      <c r="K153" s="10">
        <f>"－"</f>
      </c>
      <c r="L153" s="10">
        <f>"－"</f>
      </c>
      <c r="M153" s="21">
        <f>-2547000000</f>
      </c>
      <c r="N153" s="21">
        <f>-876000000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3</f>
      </c>
      <c r="G155" s="10">
        <f>22.4</f>
      </c>
      <c r="H155" s="10">
        <f>1.7</f>
      </c>
      <c r="I155" s="11">
        <f>42.55</f>
      </c>
      <c r="J155" s="11">
        <f>549.18</f>
      </c>
      <c r="K155" s="10">
        <f>15.5</f>
      </c>
      <c r="L155" s="10">
        <f>1.1</f>
      </c>
      <c r="M155" s="21">
        <f>1228545000</f>
      </c>
      <c r="N155" s="21">
        <f>16649633000</f>
      </c>
    </row>
    <row r="156">
      <c r="A156" s="22" t="s">
        <v>53</v>
      </c>
      <c r="B156" s="22" t="s">
        <v>140</v>
      </c>
      <c r="C156" s="22" t="s">
        <v>140</v>
      </c>
      <c r="D156" s="22" t="s">
        <v>118</v>
      </c>
      <c r="E156" s="22" t="s">
        <v>119</v>
      </c>
      <c r="F156" s="9">
        <f>99</f>
      </c>
      <c r="G156" s="10">
        <f>27.4</f>
      </c>
      <c r="H156" s="10">
        <f>2</f>
      </c>
      <c r="I156" s="11">
        <f>53.74</f>
      </c>
      <c r="J156" s="11">
        <f>748.24</f>
      </c>
      <c r="K156" s="10">
        <f>43.9</f>
      </c>
      <c r="L156" s="10">
        <f>2.5</f>
      </c>
      <c r="M156" s="21">
        <f>38632600000</f>
      </c>
      <c r="N156" s="21">
        <f>675968422000</f>
      </c>
    </row>
    <row r="157">
      <c r="A157" s="22" t="s">
        <v>53</v>
      </c>
      <c r="B157" s="22" t="s">
        <v>140</v>
      </c>
      <c r="C157" s="22" t="s">
        <v>140</v>
      </c>
      <c r="D157" s="22" t="s">
        <v>120</v>
      </c>
      <c r="E157" s="22" t="s">
        <v>121</v>
      </c>
      <c r="F157" s="9">
        <f>82</f>
      </c>
      <c r="G157" s="10">
        <f>17.9</f>
      </c>
      <c r="H157" s="10">
        <f>0.7</f>
      </c>
      <c r="I157" s="11">
        <f>87.63</f>
      </c>
      <c r="J157" s="11">
        <f>2152.43</f>
      </c>
      <c r="K157" s="10">
        <f>22.2</f>
      </c>
      <c r="L157" s="10">
        <f>1</f>
      </c>
      <c r="M157" s="21">
        <f>30701000000</f>
      </c>
      <c r="N157" s="21">
        <f>710499000000</f>
      </c>
    </row>
    <row r="158">
      <c r="A158" s="22" t="s">
        <v>53</v>
      </c>
      <c r="B158" s="22" t="s">
        <v>140</v>
      </c>
      <c r="C158" s="22" t="s">
        <v>140</v>
      </c>
      <c r="D158" s="22" t="s">
        <v>122</v>
      </c>
      <c r="E158" s="22" t="s">
        <v>123</v>
      </c>
      <c r="F158" s="9">
        <f>80</f>
      </c>
      <c r="G158" s="10">
        <f>97</f>
      </c>
      <c r="H158" s="10">
        <f>1.3</f>
      </c>
      <c r="I158" s="11">
        <f>14.62</f>
      </c>
      <c r="J158" s="11">
        <f>1088.15</f>
      </c>
      <c r="K158" s="10">
        <f>44.4</f>
      </c>
      <c r="L158" s="10">
        <f>2.5</f>
      </c>
      <c r="M158" s="21">
        <f>50474673000</f>
      </c>
      <c r="N158" s="21">
        <f>898136292000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12</f>
      </c>
      <c r="G160" s="10">
        <f>10.9</f>
      </c>
      <c r="H160" s="10">
        <f>0.9</f>
      </c>
      <c r="I160" s="11">
        <f>76.99</f>
      </c>
      <c r="J160" s="11">
        <f>947.97</f>
      </c>
      <c r="K160" s="10">
        <f>9.4</f>
      </c>
      <c r="L160" s="10">
        <f>1.1</f>
      </c>
      <c r="M160" s="21">
        <f>21036000000</f>
      </c>
      <c r="N160" s="21">
        <f>178008000000</f>
      </c>
    </row>
    <row r="161">
      <c r="A161" s="22" t="s">
        <v>53</v>
      </c>
      <c r="B161" s="22" t="s">
        <v>140</v>
      </c>
      <c r="C161" s="22" t="s">
        <v>140</v>
      </c>
      <c r="D161" s="22" t="s">
        <v>128</v>
      </c>
      <c r="E161" s="22" t="s">
        <v>129</v>
      </c>
      <c r="F161" s="9">
        <f>1</f>
      </c>
      <c r="G161" s="10">
        <f>14.2</f>
      </c>
      <c r="H161" s="10">
        <f>3.6</f>
      </c>
      <c r="I161" s="11">
        <f>151.64</f>
      </c>
      <c r="J161" s="11">
        <f>591.51</f>
      </c>
      <c r="K161" s="10">
        <f>14.2</f>
      </c>
      <c r="L161" s="10">
        <f>3.6</f>
      </c>
      <c r="M161" s="21">
        <f>2743000000</f>
      </c>
      <c r="N161" s="21">
        <f>10700000000</f>
      </c>
    </row>
    <row r="162">
      <c r="A162" s="22" t="s">
        <v>53</v>
      </c>
      <c r="B162" s="22" t="s">
        <v>140</v>
      </c>
      <c r="C162" s="22" t="s">
        <v>140</v>
      </c>
      <c r="D162" s="22" t="s">
        <v>130</v>
      </c>
      <c r="E162" s="22" t="s">
        <v>131</v>
      </c>
      <c r="F162" s="9">
        <f>3</f>
      </c>
      <c r="G162" s="10">
        <f>"－"</f>
      </c>
      <c r="H162" s="10">
        <f>0.8</f>
      </c>
      <c r="I162" s="11">
        <f>-43.22</f>
      </c>
      <c r="J162" s="11">
        <f>390.98</f>
      </c>
      <c r="K162" s="10">
        <f>"－"</f>
      </c>
      <c r="L162" s="10">
        <f>0.5</f>
      </c>
      <c r="M162" s="21">
        <f>-2516000000</f>
      </c>
      <c r="N162" s="21">
        <f>17223000000</f>
      </c>
    </row>
    <row r="163">
      <c r="A163" s="22" t="s">
        <v>53</v>
      </c>
      <c r="B163" s="22" t="s">
        <v>140</v>
      </c>
      <c r="C163" s="22" t="s">
        <v>140</v>
      </c>
      <c r="D163" s="22" t="s">
        <v>132</v>
      </c>
      <c r="E163" s="22" t="s">
        <v>133</v>
      </c>
      <c r="F163" s="9">
        <f>28</f>
      </c>
      <c r="G163" s="10">
        <f>12.5</f>
      </c>
      <c r="H163" s="10">
        <f>0.8</f>
      </c>
      <c r="I163" s="11">
        <f>71.47</f>
      </c>
      <c r="J163" s="11">
        <f>1076.79</f>
      </c>
      <c r="K163" s="10">
        <f>10.7</f>
      </c>
      <c r="L163" s="10">
        <f>1</f>
      </c>
      <c r="M163" s="21">
        <f>25960000000</f>
      </c>
      <c r="N163" s="21">
        <f>269671846500</f>
      </c>
    </row>
    <row r="164">
      <c r="A164" s="22" t="s">
        <v>53</v>
      </c>
      <c r="B164" s="22" t="s">
        <v>140</v>
      </c>
      <c r="C164" s="22" t="s">
        <v>140</v>
      </c>
      <c r="D164" s="22" t="s">
        <v>134</v>
      </c>
      <c r="E164" s="22" t="s">
        <v>135</v>
      </c>
      <c r="F164" s="9">
        <f>101</f>
      </c>
      <c r="G164" s="10">
        <f>35.1</f>
      </c>
      <c r="H164" s="10">
        <f>1.3</f>
      </c>
      <c r="I164" s="11">
        <f>35.11</f>
      </c>
      <c r="J164" s="11">
        <f>970.14</f>
      </c>
      <c r="K164" s="10">
        <f>33.8</f>
      </c>
      <c r="L164" s="10">
        <f>1.9</f>
      </c>
      <c r="M164" s="21">
        <f>27280195000</f>
      </c>
      <c r="N164" s="21">
        <f>498010126810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1828</f>
      </c>
      <c r="E6" s="23">
        <f>30.8</f>
      </c>
      <c r="F6" s="23">
        <f>1.6</f>
      </c>
      <c r="G6" s="11">
        <f>76.47</f>
      </c>
      <c r="H6" s="11">
        <f>1473.3</f>
      </c>
      <c r="I6" s="23">
        <f>34.1</f>
      </c>
      <c r="J6" s="23">
        <f>2.2</f>
      </c>
      <c r="K6" s="24">
        <f>16167443127199</f>
      </c>
      <c r="L6" s="24">
        <f>255210906085641</f>
      </c>
    </row>
    <row r="7">
      <c r="A7" s="22" t="s">
        <v>53</v>
      </c>
      <c r="B7" s="22" t="s">
        <v>136</v>
      </c>
      <c r="C7" s="22" t="s">
        <v>137</v>
      </c>
      <c r="D7" s="9">
        <f>408</f>
      </c>
      <c r="E7" s="23">
        <f>18.7</f>
      </c>
      <c r="F7" s="23">
        <f>0.8</f>
      </c>
      <c r="G7" s="11">
        <f>76.19</f>
      </c>
      <c r="H7" s="11">
        <f>1761.47</f>
      </c>
      <c r="I7" s="23">
        <f>24</f>
      </c>
      <c r="J7" s="23">
        <f>1.1</f>
      </c>
      <c r="K7" s="24">
        <f>193679308800</f>
      </c>
      <c r="L7" s="24">
        <f>4253893519000</f>
      </c>
    </row>
    <row r="8">
      <c r="A8" s="22" t="s">
        <v>53</v>
      </c>
      <c r="B8" s="22" t="s">
        <v>138</v>
      </c>
      <c r="C8" s="22" t="s">
        <v>139</v>
      </c>
      <c r="D8" s="9">
        <f>291</f>
      </c>
      <c r="E8" s="23">
        <f>"－"</f>
      </c>
      <c r="F8" s="23">
        <f>7.1</f>
      </c>
      <c r="G8" s="11">
        <f>-0.43</f>
      </c>
      <c r="H8" s="11">
        <f>314.28</f>
      </c>
      <c r="I8" s="23">
        <f>"－"</f>
      </c>
      <c r="J8" s="23">
        <f>8</f>
      </c>
      <c r="K8" s="24">
        <f>-63458768235</f>
      </c>
      <c r="L8" s="24">
        <f>959088429117</f>
      </c>
    </row>
    <row r="9">
      <c r="A9" s="22" t="s">
        <v>53</v>
      </c>
      <c r="B9" s="22" t="s">
        <v>140</v>
      </c>
      <c r="C9" s="22" t="s">
        <v>140</v>
      </c>
      <c r="D9" s="9">
        <f>584</f>
      </c>
      <c r="E9" s="23">
        <f>29</f>
      </c>
      <c r="F9" s="23">
        <f>1.1</f>
      </c>
      <c r="G9" s="11">
        <f>53.94</f>
      </c>
      <c r="H9" s="11">
        <f>1402.29</f>
      </c>
      <c r="I9" s="23">
        <f>55.6</f>
      </c>
      <c r="J9" s="23">
        <f>1.7</f>
      </c>
      <c r="K9" s="24">
        <f>155880078333</f>
      </c>
      <c r="L9" s="24">
        <f>4965361776310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