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<sst xmlns="http://schemas.openxmlformats.org/spreadsheetml/2006/main" count="638" uniqueCount="141">
  <si>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</si>
  <si>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</si>
  <si>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</si>
  <si>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</si>
  <si>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</si>
  <si>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</si>
  <si>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</si>
  <si>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</si>
  <si>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</si>
  <si>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</si>
  <si>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</si>
  <si>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</si>
  <si>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</si>
  <si>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</si>
  <si>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</si>
  <si>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</si>
  <si>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</si>
  <si>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</si>
  <si>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</si>
  <si>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</si>
  <si>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</si>
  <si>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</si>
  <si>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</si>
  <si>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</si>
  <si>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</si>
  <si>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</si>
  <si>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</si>
  <si>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</si>
  <si>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</si>
  <si>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</si>
  <si>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</si>
  <si>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</si>
  <si>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</si>
  <si>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</si>
  <si>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</si>
  <si>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</si>
  <si>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</si>
  <si>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</si>
  <si>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</si>
  <si>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</si>
  <si>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</si>
  <si>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</si>
  <si>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</si>
  <si>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</si>
  <si>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</si>
  <si>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</si>
  <si>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</si>
  <si>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</si>
  <si>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</si>
  <si>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3.本表の作成に当たって使用した親会社株主に帰属する当期純利益及び純資産は、2024年8月期～2025年7月期の確定数値である。</t>
  </si>
  <si>
    <t xml:space="preserve">       3.Figures of Net Income and Net Assets are based on the fixed figures during the term from August of 2024 to July of 2025.</t>
  </si>
  <si>
    <t xml:space="preserve">    2.本表の作成に当たって使用した当期純利益及び純資産は、2024年8月期～2025年7月期の確定数値である。</t>
  </si>
  <si>
    <t xml:space="preserve">         the term from August of 2024 to July of 2025.</t>
  </si>
  <si>
    <t>2025/10</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</si>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</sst>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1608</f>
        <v>1608.0</v>
      </c>
      <c r="G5" s="10" t="n">
        <f>17.5</f>
        <v>17.5</v>
      </c>
      <c r="H5" s="10" t="n">
        <f>1.4</f>
        <v>1.4</v>
      </c>
      <c r="I5" s="11" t="n">
        <f>170.21</f>
        <v>170.21</v>
      </c>
      <c r="J5" s="11" t="n">
        <f>2158.44</f>
        <v>2158.44</v>
      </c>
      <c r="K5" s="10" t="n">
        <f>18.6</f>
        <v>18.6</v>
      </c>
      <c r="L5" s="10" t="n">
        <f>1.6</f>
        <v>1.6</v>
      </c>
      <c r="M5" s="21" t="n">
        <f>61169538376851</f>
        <v>6.1169538376851E13</v>
      </c>
      <c r="N5" s="21" t="n">
        <f>711331494750816</f>
        <v>7.11331494750816E14</v>
      </c>
      <c r="O5" s="3"/>
      <c r="P5" s="3"/>
      <c r="Q5" s="4"/>
      <c r="R5" s="4"/>
      <c r="S5" s="4"/>
      <c r="T5" s="4"/>
      <c r="U5" s="4"/>
      <c r="V5" s="4"/>
      <c r="W5" s="4"/>
      <c r="X5" s="4"/>
      <c r="Y5" s="4"/>
      <c r="Z5" s="4"/>
      <c r="AA5" s="4"/>
    </row>
    <row r="6">
      <c r="A6" s="22" t="s">
        <v>53</v>
      </c>
      <c r="B6" s="22" t="s">
        <v>54</v>
      </c>
      <c r="C6" s="22" t="s">
        <v>55</v>
      </c>
      <c r="D6" s="22" t="s">
        <v>58</v>
      </c>
      <c r="E6" s="22" t="s">
        <v>59</v>
      </c>
      <c r="F6" s="9" t="n">
        <f>1490</f>
        <v>1490.0</v>
      </c>
      <c r="G6" s="10" t="n">
        <f>17.9</f>
        <v>17.9</v>
      </c>
      <c r="H6" s="10" t="n">
        <f>1.5</f>
        <v>1.5</v>
      </c>
      <c r="I6" s="11" t="n">
        <f>168.06</f>
        <v>168.06</v>
      </c>
      <c r="J6" s="11" t="n">
        <f>2064.53</f>
        <v>2064.53</v>
      </c>
      <c r="K6" s="10" t="n">
        <f>19.8</f>
        <v>19.8</v>
      </c>
      <c r="L6" s="10" t="n">
        <f>1.7</f>
        <v>1.7</v>
      </c>
      <c r="M6" s="21" t="n">
        <f>50405694303851</f>
        <v>5.0405694303851E13</v>
      </c>
      <c r="N6" s="21" t="n">
        <f>584622735965816</f>
        <v>5.84622735965816E14</v>
      </c>
    </row>
    <row r="7">
      <c r="A7" s="22" t="s">
        <v>53</v>
      </c>
      <c r="B7" s="22" t="s">
        <v>54</v>
      </c>
      <c r="C7" s="22" t="s">
        <v>55</v>
      </c>
      <c r="D7" s="22" t="s">
        <v>60</v>
      </c>
      <c r="E7" s="22" t="s">
        <v>61</v>
      </c>
      <c r="F7" s="9" t="n">
        <f>700</f>
        <v>700.0</v>
      </c>
      <c r="G7" s="10" t="n">
        <f>19</f>
        <v>19.0</v>
      </c>
      <c r="H7" s="10" t="n">
        <f>1.4</f>
        <v>1.4</v>
      </c>
      <c r="I7" s="11" t="n">
        <f>179.82</f>
        <v>179.82</v>
      </c>
      <c r="J7" s="11" t="n">
        <f>2495.96</f>
        <v>2495.96</v>
      </c>
      <c r="K7" s="10" t="n">
        <f>21.7</f>
        <v>21.7</v>
      </c>
      <c r="L7" s="10" t="n">
        <f>1.8</f>
        <v>1.8</v>
      </c>
      <c r="M7" s="21" t="n">
        <f>27241948221461</f>
        <v>2.7241948221461E13</v>
      </c>
      <c r="N7" s="21" t="n">
        <f>337252762918532</f>
        <v>3.37252762918532E14</v>
      </c>
    </row>
    <row r="8">
      <c r="A8" s="22" t="s">
        <v>53</v>
      </c>
      <c r="B8" s="22" t="s">
        <v>54</v>
      </c>
      <c r="C8" s="22" t="s">
        <v>55</v>
      </c>
      <c r="D8" s="22" t="s">
        <v>62</v>
      </c>
      <c r="E8" s="22" t="s">
        <v>63</v>
      </c>
      <c r="F8" s="9" t="n">
        <f>790</f>
        <v>790.0</v>
      </c>
      <c r="G8" s="10" t="n">
        <f>16.9</f>
        <v>16.9</v>
      </c>
      <c r="H8" s="10" t="n">
        <f>1.6</f>
        <v>1.6</v>
      </c>
      <c r="I8" s="11" t="n">
        <f>157.63</f>
        <v>157.63</v>
      </c>
      <c r="J8" s="11" t="n">
        <f>1682.24</f>
        <v>1682.24</v>
      </c>
      <c r="K8" s="10" t="n">
        <f>17.5</f>
        <v>17.5</v>
      </c>
      <c r="L8" s="10" t="n">
        <f>1.6</f>
        <v>1.6</v>
      </c>
      <c r="M8" s="21" t="n">
        <f>23163746082390</f>
        <v>2.316374608239E13</v>
      </c>
      <c r="N8" s="21" t="n">
        <f>247369973047284</f>
        <v>2.47369973047284E14</v>
      </c>
    </row>
    <row r="9">
      <c r="A9" s="22" t="s">
        <v>53</v>
      </c>
      <c r="B9" s="22" t="s">
        <v>54</v>
      </c>
      <c r="C9" s="22" t="s">
        <v>55</v>
      </c>
      <c r="D9" s="22" t="s">
        <v>64</v>
      </c>
      <c r="E9" s="22" t="s">
        <v>65</v>
      </c>
      <c r="F9" s="9" t="n">
        <f>6</f>
        <v>6.0</v>
      </c>
      <c r="G9" s="10" t="n">
        <f>10.8</f>
        <v>10.8</v>
      </c>
      <c r="H9" s="10" t="n">
        <f>0.9</f>
        <v>0.9</v>
      </c>
      <c r="I9" s="11" t="n">
        <f>247.31</f>
        <v>247.31</v>
      </c>
      <c r="J9" s="11" t="n">
        <f>2933.09</f>
        <v>2933.09</v>
      </c>
      <c r="K9" s="10" t="n">
        <f>11.9</f>
        <v>11.9</v>
      </c>
      <c r="L9" s="10" t="n">
        <f>1</f>
        <v>1.0</v>
      </c>
      <c r="M9" s="21" t="n">
        <f>71039000000</f>
        <v>7.1039E10</v>
      </c>
      <c r="N9" s="21" t="n">
        <f>860791000000</f>
        <v>8.60791E11</v>
      </c>
    </row>
    <row r="10">
      <c r="A10" s="22" t="s">
        <v>53</v>
      </c>
      <c r="B10" s="22" t="s">
        <v>54</v>
      </c>
      <c r="C10" s="22" t="s">
        <v>55</v>
      </c>
      <c r="D10" s="22" t="s">
        <v>66</v>
      </c>
      <c r="E10" s="22" t="s">
        <v>67</v>
      </c>
      <c r="F10" s="9" t="n">
        <f>4</f>
        <v>4.0</v>
      </c>
      <c r="G10" s="10" t="n">
        <f>9.5</f>
        <v>9.5</v>
      </c>
      <c r="H10" s="10" t="n">
        <f>0.8</f>
        <v>0.8</v>
      </c>
      <c r="I10" s="11" t="n">
        <f>245.2</f>
        <v>245.2</v>
      </c>
      <c r="J10" s="11" t="n">
        <f>2894.09</f>
        <v>2894.09</v>
      </c>
      <c r="K10" s="10" t="n">
        <f>7.9</f>
        <v>7.9</v>
      </c>
      <c r="L10" s="10" t="n">
        <f>0.7</f>
        <v>0.7</v>
      </c>
      <c r="M10" s="21" t="n">
        <f>523683000000</f>
        <v>5.23683E11</v>
      </c>
      <c r="N10" s="21" t="n">
        <f>5946467000000</f>
        <v>5.946467E12</v>
      </c>
    </row>
    <row r="11">
      <c r="A11" s="22" t="s">
        <v>53</v>
      </c>
      <c r="B11" s="22" t="s">
        <v>54</v>
      </c>
      <c r="C11" s="22" t="s">
        <v>55</v>
      </c>
      <c r="D11" s="22" t="s">
        <v>68</v>
      </c>
      <c r="E11" s="22" t="s">
        <v>69</v>
      </c>
      <c r="F11" s="9" t="n">
        <f>74</f>
        <v>74.0</v>
      </c>
      <c r="G11" s="10" t="n">
        <f>16.2</f>
        <v>16.2</v>
      </c>
      <c r="H11" s="10" t="n">
        <f>1.4</f>
        <v>1.4</v>
      </c>
      <c r="I11" s="11" t="n">
        <f>192.97</f>
        <v>192.97</v>
      </c>
      <c r="J11" s="11" t="n">
        <f>2185.76</f>
        <v>2185.76</v>
      </c>
      <c r="K11" s="10" t="n">
        <f>15.3</f>
        <v>15.3</v>
      </c>
      <c r="L11" s="10" t="n">
        <f>1.5</f>
        <v>1.5</v>
      </c>
      <c r="M11" s="21" t="n">
        <f>1849173600000</f>
        <v>1.8491736E12</v>
      </c>
      <c r="N11" s="21" t="n">
        <f>19072213639267</f>
        <v>1.9072213639267E13</v>
      </c>
    </row>
    <row r="12">
      <c r="A12" s="22" t="s">
        <v>53</v>
      </c>
      <c r="B12" s="22" t="s">
        <v>54</v>
      </c>
      <c r="C12" s="22" t="s">
        <v>55</v>
      </c>
      <c r="D12" s="22" t="s">
        <v>70</v>
      </c>
      <c r="E12" s="22" t="s">
        <v>71</v>
      </c>
      <c r="F12" s="9" t="n">
        <f>68</f>
        <v>68.0</v>
      </c>
      <c r="G12" s="10" t="n">
        <f>19.4</f>
        <v>19.4</v>
      </c>
      <c r="H12" s="10" t="n">
        <f>1.2</f>
        <v>1.2</v>
      </c>
      <c r="I12" s="11" t="n">
        <f>142.21</f>
        <v>142.21</v>
      </c>
      <c r="J12" s="11" t="n">
        <f>2285.26</f>
        <v>2285.26</v>
      </c>
      <c r="K12" s="10" t="n">
        <f>26.5</f>
        <v>26.5</v>
      </c>
      <c r="L12" s="10" t="n">
        <f>1.7</f>
        <v>1.7</v>
      </c>
      <c r="M12" s="21" t="n">
        <f>1348251000000</f>
        <v>1.348251E12</v>
      </c>
      <c r="N12" s="21" t="n">
        <f>21026660406109</f>
        <v>2.1026660406109E13</v>
      </c>
    </row>
    <row r="13">
      <c r="A13" s="22" t="s">
        <v>53</v>
      </c>
      <c r="B13" s="22" t="s">
        <v>54</v>
      </c>
      <c r="C13" s="22" t="s">
        <v>55</v>
      </c>
      <c r="D13" s="22" t="s">
        <v>72</v>
      </c>
      <c r="E13" s="22" t="s">
        <v>73</v>
      </c>
      <c r="F13" s="9" t="n">
        <f>19</f>
        <v>19.0</v>
      </c>
      <c r="G13" s="10" t="n">
        <f>19.1</f>
        <v>19.1</v>
      </c>
      <c r="H13" s="10" t="n">
        <f>1.2</f>
        <v>1.2</v>
      </c>
      <c r="I13" s="11" t="n">
        <f>143.73</f>
        <v>143.73</v>
      </c>
      <c r="J13" s="11" t="n">
        <f>2380.33</f>
        <v>2380.33</v>
      </c>
      <c r="K13" s="10" t="n">
        <f>18.3</f>
        <v>18.3</v>
      </c>
      <c r="L13" s="10" t="n">
        <f>1</f>
        <v>1.0</v>
      </c>
      <c r="M13" s="21" t="n">
        <f>204183000000</f>
        <v>2.04183E11</v>
      </c>
      <c r="N13" s="21" t="n">
        <f>3687286000000</f>
        <v>3.687286E12</v>
      </c>
    </row>
    <row r="14">
      <c r="A14" s="22" t="s">
        <v>53</v>
      </c>
      <c r="B14" s="22" t="s">
        <v>54</v>
      </c>
      <c r="C14" s="22" t="s">
        <v>55</v>
      </c>
      <c r="D14" s="22" t="s">
        <v>74</v>
      </c>
      <c r="E14" s="22" t="s">
        <v>75</v>
      </c>
      <c r="F14" s="9" t="n">
        <f>10</f>
        <v>10.0</v>
      </c>
      <c r="G14" s="10" t="n">
        <f>13.1</f>
        <v>13.1</v>
      </c>
      <c r="H14" s="10" t="n">
        <f>0.5</f>
        <v>0.5</v>
      </c>
      <c r="I14" s="11" t="n">
        <f>97.15</f>
        <v>97.15</v>
      </c>
      <c r="J14" s="11" t="n">
        <f>2461.52</f>
        <v>2461.52</v>
      </c>
      <c r="K14" s="10" t="n">
        <f>16.1</f>
        <v>16.1</v>
      </c>
      <c r="L14" s="10" t="n">
        <f>0.6</f>
        <v>0.6</v>
      </c>
      <c r="M14" s="21" t="n">
        <f>106556000000</f>
        <v>1.06556E11</v>
      </c>
      <c r="N14" s="21" t="n">
        <f>3053966000000</f>
        <v>3.053966E12</v>
      </c>
    </row>
    <row r="15">
      <c r="A15" s="22" t="s">
        <v>53</v>
      </c>
      <c r="B15" s="22" t="s">
        <v>54</v>
      </c>
      <c r="C15" s="22" t="s">
        <v>55</v>
      </c>
      <c r="D15" s="22" t="s">
        <v>76</v>
      </c>
      <c r="E15" s="22" t="s">
        <v>77</v>
      </c>
      <c r="F15" s="9" t="n">
        <f>118</f>
        <v>118.0</v>
      </c>
      <c r="G15" s="10" t="n">
        <f>17</f>
        <v>17.0</v>
      </c>
      <c r="H15" s="10" t="n">
        <f>1.1</f>
        <v>1.1</v>
      </c>
      <c r="I15" s="11" t="n">
        <f>158.43</f>
        <v>158.43</v>
      </c>
      <c r="J15" s="11" t="n">
        <f>2445.32</f>
        <v>2445.32</v>
      </c>
      <c r="K15" s="10" t="n">
        <f>18.2</f>
        <v>18.2</v>
      </c>
      <c r="L15" s="10" t="n">
        <f>1.3</f>
        <v>1.3</v>
      </c>
      <c r="M15" s="21" t="n">
        <f>2801092000000</f>
        <v>2.801092E12</v>
      </c>
      <c r="N15" s="21" t="n">
        <f>37908999000000</f>
        <v>3.7908999E13</v>
      </c>
    </row>
    <row r="16">
      <c r="A16" s="22" t="s">
        <v>53</v>
      </c>
      <c r="B16" s="22" t="s">
        <v>54</v>
      </c>
      <c r="C16" s="22" t="s">
        <v>55</v>
      </c>
      <c r="D16" s="22" t="s">
        <v>78</v>
      </c>
      <c r="E16" s="22" t="s">
        <v>79</v>
      </c>
      <c r="F16" s="9" t="n">
        <f>33</f>
        <v>33.0</v>
      </c>
      <c r="G16" s="10" t="n">
        <f>17.2</f>
        <v>17.2</v>
      </c>
      <c r="H16" s="10" t="n">
        <f>1.2</f>
        <v>1.2</v>
      </c>
      <c r="I16" s="11" t="n">
        <f>150.58</f>
        <v>150.58</v>
      </c>
      <c r="J16" s="11" t="n">
        <f>2068.17</f>
        <v>2068.17</v>
      </c>
      <c r="K16" s="10" t="n">
        <f>24</f>
        <v>24.0</v>
      </c>
      <c r="L16" s="10" t="n">
        <f>2</f>
        <v>2.0</v>
      </c>
      <c r="M16" s="21" t="n">
        <f>1790721000000</f>
        <v>1.790721E12</v>
      </c>
      <c r="N16" s="21" t="n">
        <f>21771134000000</f>
        <v>2.1771134E13</v>
      </c>
    </row>
    <row r="17">
      <c r="A17" s="22" t="s">
        <v>53</v>
      </c>
      <c r="B17" s="22" t="s">
        <v>54</v>
      </c>
      <c r="C17" s="22" t="s">
        <v>55</v>
      </c>
      <c r="D17" s="22" t="s">
        <v>80</v>
      </c>
      <c r="E17" s="22" t="s">
        <v>81</v>
      </c>
      <c r="F17" s="9" t="n">
        <f>6</f>
        <v>6.0</v>
      </c>
      <c r="G17" s="10" t="n">
        <f>15.7</f>
        <v>15.7</v>
      </c>
      <c r="H17" s="10" t="n">
        <f>0.8</f>
        <v>0.8</v>
      </c>
      <c r="I17" s="11" t="n">
        <f>91.14</f>
        <v>91.14</v>
      </c>
      <c r="J17" s="11" t="n">
        <f>1765.7</f>
        <v>1765.7</v>
      </c>
      <c r="K17" s="10" t="n">
        <f>12.7</f>
        <v>12.7</v>
      </c>
      <c r="L17" s="10" t="n">
        <f>0.8</f>
        <v>0.8</v>
      </c>
      <c r="M17" s="21" t="n">
        <f>372963000000</f>
        <v>3.72963E11</v>
      </c>
      <c r="N17" s="21" t="n">
        <f>6120599000000</f>
        <v>6.120599E12</v>
      </c>
    </row>
    <row r="18">
      <c r="A18" s="22" t="s">
        <v>53</v>
      </c>
      <c r="B18" s="22" t="s">
        <v>54</v>
      </c>
      <c r="C18" s="22" t="s">
        <v>55</v>
      </c>
      <c r="D18" s="22" t="s">
        <v>82</v>
      </c>
      <c r="E18" s="22" t="s">
        <v>83</v>
      </c>
      <c r="F18" s="9" t="n">
        <f>11</f>
        <v>11.0</v>
      </c>
      <c r="G18" s="10" t="n">
        <f>12.8</f>
        <v>12.8</v>
      </c>
      <c r="H18" s="10" t="n">
        <f>1</f>
        <v>1.0</v>
      </c>
      <c r="I18" s="11" t="n">
        <f>280.45</f>
        <v>280.45</v>
      </c>
      <c r="J18" s="11" t="n">
        <f>3484.94</f>
        <v>3484.94</v>
      </c>
      <c r="K18" s="10" t="n">
        <f>15</f>
        <v>15.0</v>
      </c>
      <c r="L18" s="10" t="n">
        <f>1.2</f>
        <v>1.2</v>
      </c>
      <c r="M18" s="21" t="n">
        <f>508182000000</f>
        <v>5.08182E11</v>
      </c>
      <c r="N18" s="21" t="n">
        <f>6588968000000</f>
        <v>6.588968E12</v>
      </c>
    </row>
    <row r="19">
      <c r="A19" s="22" t="s">
        <v>53</v>
      </c>
      <c r="B19" s="22" t="s">
        <v>54</v>
      </c>
      <c r="C19" s="22" t="s">
        <v>55</v>
      </c>
      <c r="D19" s="22" t="s">
        <v>84</v>
      </c>
      <c r="E19" s="22" t="s">
        <v>85</v>
      </c>
      <c r="F19" s="9" t="n">
        <f>23</f>
        <v>23.0</v>
      </c>
      <c r="G19" s="10" t="n">
        <f>22.4</f>
        <v>22.4</v>
      </c>
      <c r="H19" s="10" t="n">
        <f>1.5</f>
        <v>1.5</v>
      </c>
      <c r="I19" s="11" t="n">
        <f>237.01</f>
        <v>237.01</v>
      </c>
      <c r="J19" s="11" t="n">
        <f>3592.21</f>
        <v>3592.21</v>
      </c>
      <c r="K19" s="10" t="n">
        <f>36</f>
        <v>36.0</v>
      </c>
      <c r="L19" s="10" t="n">
        <f>1.1</f>
        <v>1.1</v>
      </c>
      <c r="M19" s="21" t="n">
        <f>205075000000</f>
        <v>2.05075E11</v>
      </c>
      <c r="N19" s="21" t="n">
        <f>6746170433743</f>
        <v>6.746170433743E12</v>
      </c>
    </row>
    <row r="20">
      <c r="A20" s="22" t="s">
        <v>53</v>
      </c>
      <c r="B20" s="22" t="s">
        <v>54</v>
      </c>
      <c r="C20" s="22" t="s">
        <v>55</v>
      </c>
      <c r="D20" s="22" t="s">
        <v>86</v>
      </c>
      <c r="E20" s="22" t="s">
        <v>87</v>
      </c>
      <c r="F20" s="9" t="n">
        <f>20</f>
        <v>20.0</v>
      </c>
      <c r="G20" s="10" t="n">
        <f>9.7</f>
        <v>9.7</v>
      </c>
      <c r="H20" s="10" t="n">
        <f>0.7</f>
        <v>0.7</v>
      </c>
      <c r="I20" s="11" t="n">
        <f>244.84</f>
        <v>244.84</v>
      </c>
      <c r="J20" s="11" t="n">
        <f>3379.32</f>
        <v>3379.32</v>
      </c>
      <c r="K20" s="10" t="n">
        <f>10.2</f>
        <v>10.2</v>
      </c>
      <c r="L20" s="10" t="n">
        <f>0.6</f>
        <v>0.6</v>
      </c>
      <c r="M20" s="21" t="n">
        <f>757942000000</f>
        <v>7.57942E11</v>
      </c>
      <c r="N20" s="21" t="n">
        <f>12832376000000</f>
        <v>1.2832376E13</v>
      </c>
    </row>
    <row r="21">
      <c r="A21" s="22" t="s">
        <v>53</v>
      </c>
      <c r="B21" s="22" t="s">
        <v>54</v>
      </c>
      <c r="C21" s="22" t="s">
        <v>55</v>
      </c>
      <c r="D21" s="22" t="s">
        <v>88</v>
      </c>
      <c r="E21" s="22" t="s">
        <v>89</v>
      </c>
      <c r="F21" s="9" t="n">
        <f>21</f>
        <v>21.0</v>
      </c>
      <c r="G21" s="10" t="n">
        <f>19</f>
        <v>19.0</v>
      </c>
      <c r="H21" s="10" t="n">
        <f>1.5</f>
        <v>1.5</v>
      </c>
      <c r="I21" s="11" t="n">
        <f>257.33</f>
        <v>257.33</v>
      </c>
      <c r="J21" s="11" t="n">
        <f>3318.03</f>
        <v>3318.03</v>
      </c>
      <c r="K21" s="10" t="n">
        <f>28.5</f>
        <v>28.5</v>
      </c>
      <c r="L21" s="10" t="n">
        <f>2</f>
        <v>2.0</v>
      </c>
      <c r="M21" s="21" t="n">
        <f>634909000000</f>
        <v>6.34909E11</v>
      </c>
      <c r="N21" s="21" t="n">
        <f>8974701000000</f>
        <v>8.974701E12</v>
      </c>
    </row>
    <row r="22">
      <c r="A22" s="22" t="s">
        <v>53</v>
      </c>
      <c r="B22" s="22" t="s">
        <v>54</v>
      </c>
      <c r="C22" s="22" t="s">
        <v>55</v>
      </c>
      <c r="D22" s="22" t="s">
        <v>90</v>
      </c>
      <c r="E22" s="22" t="s">
        <v>91</v>
      </c>
      <c r="F22" s="9" t="n">
        <f>26</f>
        <v>26.0</v>
      </c>
      <c r="G22" s="10" t="n">
        <f>12.3</f>
        <v>12.3</v>
      </c>
      <c r="H22" s="10" t="n">
        <f>0.8</f>
        <v>0.8</v>
      </c>
      <c r="I22" s="11" t="n">
        <f>172.87</f>
        <v>172.87</v>
      </c>
      <c r="J22" s="11" t="n">
        <f>2735.04</f>
        <v>2735.04</v>
      </c>
      <c r="K22" s="10" t="n">
        <f>17</f>
        <v>17.0</v>
      </c>
      <c r="L22" s="10" t="n">
        <f>1</f>
        <v>1.0</v>
      </c>
      <c r="M22" s="21" t="n">
        <f>297826000000</f>
        <v>2.97826E11</v>
      </c>
      <c r="N22" s="21" t="n">
        <f>5073209000000</f>
        <v>5.073209E12</v>
      </c>
    </row>
    <row r="23">
      <c r="A23" s="22" t="s">
        <v>53</v>
      </c>
      <c r="B23" s="22" t="s">
        <v>54</v>
      </c>
      <c r="C23" s="22" t="s">
        <v>55</v>
      </c>
      <c r="D23" s="22" t="s">
        <v>92</v>
      </c>
      <c r="E23" s="22" t="s">
        <v>93</v>
      </c>
      <c r="F23" s="9" t="n">
        <f>112</f>
        <v>112.0</v>
      </c>
      <c r="G23" s="10" t="n">
        <f>20</f>
        <v>20.0</v>
      </c>
      <c r="H23" s="10" t="n">
        <f>1.6</f>
        <v>1.6</v>
      </c>
      <c r="I23" s="11" t="n">
        <f>198.44</f>
        <v>198.44</v>
      </c>
      <c r="J23" s="11" t="n">
        <f>2529.95</f>
        <v>2529.95</v>
      </c>
      <c r="K23" s="10" t="n">
        <f>23.3</f>
        <v>23.3</v>
      </c>
      <c r="L23" s="10" t="n">
        <f>2.1</f>
        <v>2.1</v>
      </c>
      <c r="M23" s="21" t="n">
        <f>2782868666667</f>
        <v>2.782868666667E12</v>
      </c>
      <c r="N23" s="21" t="n">
        <f>30478552000000</f>
        <v>3.0478552E13</v>
      </c>
    </row>
    <row r="24">
      <c r="A24" s="22" t="s">
        <v>53</v>
      </c>
      <c r="B24" s="22" t="s">
        <v>54</v>
      </c>
      <c r="C24" s="22" t="s">
        <v>55</v>
      </c>
      <c r="D24" s="22" t="s">
        <v>94</v>
      </c>
      <c r="E24" s="22" t="s">
        <v>95</v>
      </c>
      <c r="F24" s="9" t="n">
        <f>127</f>
        <v>127.0</v>
      </c>
      <c r="G24" s="10" t="n">
        <f>22.6</f>
        <v>22.6</v>
      </c>
      <c r="H24" s="10" t="n">
        <f>2</f>
        <v>2.0</v>
      </c>
      <c r="I24" s="11" t="n">
        <f>205.35</f>
        <v>205.35</v>
      </c>
      <c r="J24" s="11" t="n">
        <f>2345.57</f>
        <v>2345.57</v>
      </c>
      <c r="K24" s="10" t="n">
        <f>29.5</f>
        <v>29.5</v>
      </c>
      <c r="L24" s="10" t="n">
        <f>2.8</f>
        <v>2.8</v>
      </c>
      <c r="M24" s="21" t="n">
        <f>6783264054794</f>
        <v>6.783264054794E12</v>
      </c>
      <c r="N24" s="21" t="n">
        <f>70938930160944</f>
        <v>7.0938930160944E13</v>
      </c>
    </row>
    <row r="25">
      <c r="A25" s="22" t="s">
        <v>53</v>
      </c>
      <c r="B25" s="22" t="s">
        <v>54</v>
      </c>
      <c r="C25" s="22" t="s">
        <v>55</v>
      </c>
      <c r="D25" s="22" t="s">
        <v>96</v>
      </c>
      <c r="E25" s="22" t="s">
        <v>97</v>
      </c>
      <c r="F25" s="9" t="n">
        <f>40</f>
        <v>40.0</v>
      </c>
      <c r="G25" s="10" t="n">
        <f>17.7</f>
        <v>17.7</v>
      </c>
      <c r="H25" s="10" t="n">
        <f>1</f>
        <v>1.0</v>
      </c>
      <c r="I25" s="11" t="n">
        <f>180.61</f>
        <v>180.61</v>
      </c>
      <c r="J25" s="11" t="n">
        <f>3207.42</f>
        <v>3207.42</v>
      </c>
      <c r="K25" s="10" t="n">
        <f>13</f>
        <v>13.0</v>
      </c>
      <c r="L25" s="10" t="n">
        <f>1.1</f>
        <v>1.1</v>
      </c>
      <c r="M25" s="21" t="n">
        <f>7047824500000</f>
        <v>7.0478245E12</v>
      </c>
      <c r="N25" s="21" t="n">
        <f>85979359917736</f>
        <v>8.5979359917736E13</v>
      </c>
    </row>
    <row r="26">
      <c r="A26" s="22" t="s">
        <v>53</v>
      </c>
      <c r="B26" s="22" t="s">
        <v>54</v>
      </c>
      <c r="C26" s="22" t="s">
        <v>55</v>
      </c>
      <c r="D26" s="22" t="s">
        <v>98</v>
      </c>
      <c r="E26" s="22" t="s">
        <v>99</v>
      </c>
      <c r="F26" s="9" t="n">
        <f>29</f>
        <v>29.0</v>
      </c>
      <c r="G26" s="10" t="n">
        <f>23.1</f>
        <v>23.1</v>
      </c>
      <c r="H26" s="10" t="n">
        <f>2</f>
        <v>2.0</v>
      </c>
      <c r="I26" s="11" t="n">
        <f>147.31</f>
        <v>147.31</v>
      </c>
      <c r="J26" s="11" t="n">
        <f>1696.14</f>
        <v>1696.14</v>
      </c>
      <c r="K26" s="10" t="n">
        <f>29.6</f>
        <v>29.6</v>
      </c>
      <c r="L26" s="10" t="n">
        <f>3.1</f>
        <v>3.1</v>
      </c>
      <c r="M26" s="21" t="n">
        <f>681186000000</f>
        <v>6.81186E11</v>
      </c>
      <c r="N26" s="21" t="n">
        <f>6496459000000</f>
        <v>6.496459E12</v>
      </c>
    </row>
    <row r="27">
      <c r="A27" s="22" t="s">
        <v>53</v>
      </c>
      <c r="B27" s="22" t="s">
        <v>54</v>
      </c>
      <c r="C27" s="22" t="s">
        <v>55</v>
      </c>
      <c r="D27" s="22" t="s">
        <v>100</v>
      </c>
      <c r="E27" s="22" t="s">
        <v>101</v>
      </c>
      <c r="F27" s="9" t="n">
        <f>37</f>
        <v>37.0</v>
      </c>
      <c r="G27" s="10" t="n">
        <f>18.4</f>
        <v>18.4</v>
      </c>
      <c r="H27" s="10" t="n">
        <f>1.4</f>
        <v>1.4</v>
      </c>
      <c r="I27" s="11" t="n">
        <f>139.45</f>
        <v>139.45</v>
      </c>
      <c r="J27" s="11" t="n">
        <f>1796.9</f>
        <v>1796.9</v>
      </c>
      <c r="K27" s="10" t="n">
        <f>32.2</f>
        <v>32.2</v>
      </c>
      <c r="L27" s="10" t="n">
        <f>3.1</f>
        <v>3.1</v>
      </c>
      <c r="M27" s="21" t="n">
        <f>919105000000</f>
        <v>9.19105E11</v>
      </c>
      <c r="N27" s="21" t="n">
        <f>9575393000000</f>
        <v>9.575393E12</v>
      </c>
    </row>
    <row r="28">
      <c r="A28" s="22" t="s">
        <v>53</v>
      </c>
      <c r="B28" s="22" t="s">
        <v>54</v>
      </c>
      <c r="C28" s="22" t="s">
        <v>55</v>
      </c>
      <c r="D28" s="22" t="s">
        <v>102</v>
      </c>
      <c r="E28" s="22" t="s">
        <v>103</v>
      </c>
      <c r="F28" s="9" t="n">
        <f>22</f>
        <v>22.0</v>
      </c>
      <c r="G28" s="10" t="n">
        <f>8.8</f>
        <v>8.8</v>
      </c>
      <c r="H28" s="10" t="n">
        <f>0.8</f>
        <v>0.8</v>
      </c>
      <c r="I28" s="11" t="n">
        <f>216.4</f>
        <v>216.4</v>
      </c>
      <c r="J28" s="11" t="n">
        <f>2509.94</f>
        <v>2509.94</v>
      </c>
      <c r="K28" s="10" t="n">
        <f>7.6</f>
        <v>7.6</v>
      </c>
      <c r="L28" s="10" t="n">
        <f>0.7</f>
        <v>0.7</v>
      </c>
      <c r="M28" s="21" t="n">
        <f>1758553000000</f>
        <v>1.758553E12</v>
      </c>
      <c r="N28" s="21" t="n">
        <f>18777562025798</f>
        <v>1.8777562025798E13</v>
      </c>
    </row>
    <row r="29">
      <c r="A29" s="22" t="s">
        <v>53</v>
      </c>
      <c r="B29" s="22" t="s">
        <v>54</v>
      </c>
      <c r="C29" s="22" t="s">
        <v>55</v>
      </c>
      <c r="D29" s="22" t="s">
        <v>104</v>
      </c>
      <c r="E29" s="22" t="s">
        <v>105</v>
      </c>
      <c r="F29" s="9" t="n">
        <f>37</f>
        <v>37.0</v>
      </c>
      <c r="G29" s="10" t="n">
        <f>13</f>
        <v>13.0</v>
      </c>
      <c r="H29" s="10" t="n">
        <f>1.1</f>
        <v>1.1</v>
      </c>
      <c r="I29" s="11" t="n">
        <f>226.22</f>
        <v>226.22</v>
      </c>
      <c r="J29" s="11" t="n">
        <f>2685.73</f>
        <v>2685.73</v>
      </c>
      <c r="K29" s="10" t="n">
        <f>12.4</f>
        <v>12.4</v>
      </c>
      <c r="L29" s="10" t="n">
        <f>1.2</f>
        <v>1.2</v>
      </c>
      <c r="M29" s="21" t="n">
        <f>2012673000000</f>
        <v>2.012673E12</v>
      </c>
      <c r="N29" s="21" t="n">
        <f>21497313000000</f>
        <v>2.1497313E13</v>
      </c>
    </row>
    <row r="30">
      <c r="A30" s="22" t="s">
        <v>53</v>
      </c>
      <c r="B30" s="22" t="s">
        <v>54</v>
      </c>
      <c r="C30" s="22" t="s">
        <v>55</v>
      </c>
      <c r="D30" s="22" t="s">
        <v>106</v>
      </c>
      <c r="E30" s="22" t="s">
        <v>107</v>
      </c>
      <c r="F30" s="9" t="n">
        <f>5</f>
        <v>5.0</v>
      </c>
      <c r="G30" s="10" t="n">
        <f>5.1</f>
        <v>5.1</v>
      </c>
      <c r="H30" s="10" t="n">
        <f>0.8</f>
        <v>0.8</v>
      </c>
      <c r="I30" s="11" t="n">
        <f>739.26</f>
        <v>739.26</v>
      </c>
      <c r="J30" s="11" t="n">
        <f>5020</f>
        <v>5020.0</v>
      </c>
      <c r="K30" s="10" t="n">
        <f>4.5</f>
        <v>4.5</v>
      </c>
      <c r="L30" s="10" t="n">
        <f>0.7</f>
        <v>0.7</v>
      </c>
      <c r="M30" s="21" t="n">
        <f>1245571000000</f>
        <v>1.245571E12</v>
      </c>
      <c r="N30" s="21" t="n">
        <f>7680023000000</f>
        <v>7.680023E12</v>
      </c>
    </row>
    <row r="31">
      <c r="A31" s="22" t="s">
        <v>53</v>
      </c>
      <c r="B31" s="22" t="s">
        <v>54</v>
      </c>
      <c r="C31" s="22" t="s">
        <v>55</v>
      </c>
      <c r="D31" s="22" t="s">
        <v>108</v>
      </c>
      <c r="E31" s="22" t="s">
        <v>109</v>
      </c>
      <c r="F31" s="9" t="n">
        <f>2</f>
        <v>2.0</v>
      </c>
      <c r="G31" s="10" t="n">
        <f>10.1</f>
        <v>10.1</v>
      </c>
      <c r="H31" s="10" t="n">
        <f>1.2</f>
        <v>1.2</v>
      </c>
      <c r="I31" s="11" t="n">
        <f>280.42</f>
        <v>280.42</v>
      </c>
      <c r="J31" s="11" t="n">
        <f>2339.93</f>
        <v>2339.93</v>
      </c>
      <c r="K31" s="10" t="n">
        <f>10</f>
        <v>10.0</v>
      </c>
      <c r="L31" s="10" t="n">
        <f>1.2</f>
        <v>1.2</v>
      </c>
      <c r="M31" s="21" t="n">
        <f>260065000000</f>
        <v>2.60065E11</v>
      </c>
      <c r="N31" s="21" t="n">
        <f>2156768000000</f>
        <v>2.156768E12</v>
      </c>
    </row>
    <row r="32">
      <c r="A32" s="22" t="s">
        <v>53</v>
      </c>
      <c r="B32" s="22" t="s">
        <v>54</v>
      </c>
      <c r="C32" s="22" t="s">
        <v>55</v>
      </c>
      <c r="D32" s="22" t="s">
        <v>110</v>
      </c>
      <c r="E32" s="22" t="s">
        <v>111</v>
      </c>
      <c r="F32" s="9" t="n">
        <f>9</f>
        <v>9.0</v>
      </c>
      <c r="G32" s="10" t="n">
        <f>17.3</f>
        <v>17.3</v>
      </c>
      <c r="H32" s="10" t="n">
        <f>1.1</f>
        <v>1.1</v>
      </c>
      <c r="I32" s="11" t="n">
        <f>133.6</f>
        <v>133.6</v>
      </c>
      <c r="J32" s="11" t="n">
        <f>2077.28</f>
        <v>2077.28</v>
      </c>
      <c r="K32" s="10" t="n">
        <f>16.4</f>
        <v>16.4</v>
      </c>
      <c r="L32" s="10" t="n">
        <f>1.2</f>
        <v>1.2</v>
      </c>
      <c r="M32" s="21" t="n">
        <f>107290000000</f>
        <v>1.0729E11</v>
      </c>
      <c r="N32" s="21" t="n">
        <f>1488330000000</f>
        <v>1.48833E12</v>
      </c>
    </row>
    <row r="33">
      <c r="A33" s="22" t="s">
        <v>53</v>
      </c>
      <c r="B33" s="22" t="s">
        <v>54</v>
      </c>
      <c r="C33" s="22" t="s">
        <v>55</v>
      </c>
      <c r="D33" s="22" t="s">
        <v>112</v>
      </c>
      <c r="E33" s="22" t="s">
        <v>113</v>
      </c>
      <c r="F33" s="9" t="n">
        <f>176</f>
        <v>176.0</v>
      </c>
      <c r="G33" s="10" t="n">
        <f>25.6</f>
        <v>25.6</v>
      </c>
      <c r="H33" s="10" t="n">
        <f>2.5</f>
        <v>2.5</v>
      </c>
      <c r="I33" s="11" t="n">
        <f>114.52</f>
        <v>114.52</v>
      </c>
      <c r="J33" s="11" t="n">
        <f>1155.09</f>
        <v>1155.09</v>
      </c>
      <c r="K33" s="10" t="n">
        <f>24.4</f>
        <v>24.4</v>
      </c>
      <c r="L33" s="10" t="n">
        <f>2.3</f>
        <v>2.3</v>
      </c>
      <c r="M33" s="21" t="n">
        <f>5047995000000</f>
        <v>5.047995E12</v>
      </c>
      <c r="N33" s="21" t="n">
        <f>53513879000000</f>
        <v>5.3513879E13</v>
      </c>
    </row>
    <row r="34">
      <c r="A34" s="22" t="s">
        <v>53</v>
      </c>
      <c r="B34" s="22" t="s">
        <v>54</v>
      </c>
      <c r="C34" s="22" t="s">
        <v>55</v>
      </c>
      <c r="D34" s="22" t="s">
        <v>114</v>
      </c>
      <c r="E34" s="22" t="s">
        <v>115</v>
      </c>
      <c r="F34" s="9" t="n">
        <f>122</f>
        <v>122.0</v>
      </c>
      <c r="G34" s="10" t="n">
        <f>12.6</f>
        <v>12.6</v>
      </c>
      <c r="H34" s="10" t="n">
        <f>1.2</f>
        <v>1.2</v>
      </c>
      <c r="I34" s="11" t="n">
        <f>231.73</f>
        <v>231.73</v>
      </c>
      <c r="J34" s="11" t="n">
        <f>2510.43</f>
        <v>2510.43</v>
      </c>
      <c r="K34" s="10" t="n">
        <f>13.7</f>
        <v>13.7</v>
      </c>
      <c r="L34" s="10" t="n">
        <f>1.5</f>
        <v>1.5</v>
      </c>
      <c r="M34" s="21" t="n">
        <f>5388397000000</f>
        <v>5.388397E12</v>
      </c>
      <c r="N34" s="21" t="n">
        <f>48771808000000</f>
        <v>4.8771808E13</v>
      </c>
    </row>
    <row r="35">
      <c r="A35" s="22" t="s">
        <v>53</v>
      </c>
      <c r="B35" s="22" t="s">
        <v>54</v>
      </c>
      <c r="C35" s="22" t="s">
        <v>55</v>
      </c>
      <c r="D35" s="22" t="s">
        <v>116</v>
      </c>
      <c r="E35" s="22" t="s">
        <v>117</v>
      </c>
      <c r="F35" s="9" t="n">
        <f>132</f>
        <v>132.0</v>
      </c>
      <c r="G35" s="10" t="n">
        <f>21.9</f>
        <v>21.9</v>
      </c>
      <c r="H35" s="10" t="n">
        <f>1.9</f>
        <v>1.9</v>
      </c>
      <c r="I35" s="11" t="n">
        <f>132.49</f>
        <v>132.49</v>
      </c>
      <c r="J35" s="11" t="n">
        <f>1555.09</f>
        <v>1555.09</v>
      </c>
      <c r="K35" s="10" t="n">
        <f>31</f>
        <v>31.0</v>
      </c>
      <c r="L35" s="10" t="n">
        <f>2.5</f>
        <v>2.5</v>
      </c>
      <c r="M35" s="21" t="n">
        <f>2003747135196</f>
        <v>2.003747135196E12</v>
      </c>
      <c r="N35" s="21" t="n">
        <f>24325326900258</f>
        <v>2.4325326900258E13</v>
      </c>
    </row>
    <row r="36">
      <c r="A36" s="22" t="s">
        <v>53</v>
      </c>
      <c r="B36" s="22" t="s">
        <v>54</v>
      </c>
      <c r="C36" s="22" t="s">
        <v>55</v>
      </c>
      <c r="D36" s="22" t="s">
        <v>118</v>
      </c>
      <c r="E36" s="22" t="s">
        <v>119</v>
      </c>
      <c r="F36" s="9" t="n">
        <f>68</f>
        <v>68.0</v>
      </c>
      <c r="G36" s="10" t="n">
        <f>12.2</f>
        <v>12.2</v>
      </c>
      <c r="H36" s="10" t="n">
        <f>0.6</f>
        <v>0.6</v>
      </c>
      <c r="I36" s="11" t="n">
        <f>221.06</f>
        <v>221.06</v>
      </c>
      <c r="J36" s="11" t="n">
        <f>4404.57</f>
        <v>4404.57</v>
      </c>
      <c r="K36" s="10" t="n">
        <f>14.5</f>
        <v>14.5</v>
      </c>
      <c r="L36" s="10" t="n">
        <f>1</f>
        <v>1.0</v>
      </c>
      <c r="M36" s="21" t="n">
        <f>6135010073000</f>
        <v>6.135010073E12</v>
      </c>
      <c r="N36" s="21" t="n">
        <f>86042619785000</f>
        <v>8.6042619785E13</v>
      </c>
    </row>
    <row r="37">
      <c r="A37" s="22" t="s">
        <v>53</v>
      </c>
      <c r="B37" s="22" t="s">
        <v>54</v>
      </c>
      <c r="C37" s="22" t="s">
        <v>55</v>
      </c>
      <c r="D37" s="22" t="s">
        <v>120</v>
      </c>
      <c r="E37" s="22" t="s">
        <v>121</v>
      </c>
      <c r="F37" s="9" t="n">
        <f>19</f>
        <v>19.0</v>
      </c>
      <c r="G37" s="10" t="n">
        <f>13.5</f>
        <v>13.5</v>
      </c>
      <c r="H37" s="10" t="n">
        <f>1.2</f>
        <v>1.2</v>
      </c>
      <c r="I37" s="11" t="n">
        <f>113.8</f>
        <v>113.8</v>
      </c>
      <c r="J37" s="11" t="n">
        <f>1265.28</f>
        <v>1265.28</v>
      </c>
      <c r="K37" s="10" t="n">
        <f>12.2</f>
        <v>12.2</v>
      </c>
      <c r="L37" s="10" t="n">
        <f>1.1</f>
        <v>1.1</v>
      </c>
      <c r="M37" s="21" t="n">
        <f>753976000000</f>
        <v>7.53976E11</v>
      </c>
      <c r="N37" s="21" t="n">
        <f>8502143000000</f>
        <v>8.502143E12</v>
      </c>
    </row>
    <row r="38">
      <c r="A38" s="22" t="s">
        <v>53</v>
      </c>
      <c r="B38" s="22" t="s">
        <v>54</v>
      </c>
      <c r="C38" s="22" t="s">
        <v>55</v>
      </c>
      <c r="D38" s="22" t="s">
        <v>122</v>
      </c>
      <c r="E38" s="22" t="s">
        <v>123</v>
      </c>
      <c r="F38" s="9" t="n">
        <f>11</f>
        <v>11.0</v>
      </c>
      <c r="G38" s="10" t="n">
        <f>11.7</f>
        <v>11.7</v>
      </c>
      <c r="H38" s="10" t="n">
        <f>1.2</f>
        <v>1.2</v>
      </c>
      <c r="I38" s="11" t="n">
        <f>212.56</f>
        <v>212.56</v>
      </c>
      <c r="J38" s="11" t="n">
        <f>2023.55</f>
        <v>2023.55</v>
      </c>
      <c r="K38" s="10" t="n">
        <f>10</f>
        <v>10.0</v>
      </c>
      <c r="L38" s="10" t="n">
        <f>1.4</f>
        <v>1.4</v>
      </c>
      <c r="M38" s="21" t="n">
        <f>2939039000000</f>
        <v>2.939039E12</v>
      </c>
      <c r="N38" s="21" t="n">
        <f>20836273000000</f>
        <v>2.0836273E13</v>
      </c>
    </row>
    <row r="39">
      <c r="A39" s="22" t="s">
        <v>53</v>
      </c>
      <c r="B39" s="22" t="s">
        <v>54</v>
      </c>
      <c r="C39" s="22" t="s">
        <v>55</v>
      </c>
      <c r="D39" s="22" t="s">
        <v>124</v>
      </c>
      <c r="E39" s="22" t="s">
        <v>125</v>
      </c>
      <c r="F39" s="9" t="n">
        <f>20</f>
        <v>20.0</v>
      </c>
      <c r="G39" s="10" t="n">
        <f>12.1</f>
        <v>12.1</v>
      </c>
      <c r="H39" s="10" t="n">
        <f>0.9</f>
        <v>0.9</v>
      </c>
      <c r="I39" s="11" t="n">
        <f>188.13</f>
        <v>188.13</v>
      </c>
      <c r="J39" s="11" t="n">
        <f>2440.42</f>
        <v>2440.42</v>
      </c>
      <c r="K39" s="10" t="n">
        <f>13.1</f>
        <v>13.1</v>
      </c>
      <c r="L39" s="10" t="n">
        <f>1.1</f>
        <v>1.1</v>
      </c>
      <c r="M39" s="21" t="n">
        <f>935819000000</f>
        <v>9.35819E11</v>
      </c>
      <c r="N39" s="21" t="n">
        <f>11327723000000</f>
        <v>1.1327723E13</v>
      </c>
    </row>
    <row r="40">
      <c r="A40" s="22" t="s">
        <v>53</v>
      </c>
      <c r="B40" s="22" t="s">
        <v>54</v>
      </c>
      <c r="C40" s="22" t="s">
        <v>55</v>
      </c>
      <c r="D40" s="22" t="s">
        <v>126</v>
      </c>
      <c r="E40" s="22" t="s">
        <v>127</v>
      </c>
      <c r="F40" s="9" t="n">
        <f>49</f>
        <v>49.0</v>
      </c>
      <c r="G40" s="10" t="n">
        <f>13</f>
        <v>13.0</v>
      </c>
      <c r="H40" s="10" t="n">
        <f>1.6</f>
        <v>1.6</v>
      </c>
      <c r="I40" s="11" t="n">
        <f>177.23</f>
        <v>177.23</v>
      </c>
      <c r="J40" s="11" t="n">
        <f>1456.52</f>
        <v>1456.52</v>
      </c>
      <c r="K40" s="10" t="n">
        <f>14.6</f>
        <v>14.6</v>
      </c>
      <c r="L40" s="10" t="n">
        <f>1.4</f>
        <v>1.4</v>
      </c>
      <c r="M40" s="21" t="n">
        <f>1463085000000</f>
        <v>1.463085E12</v>
      </c>
      <c r="N40" s="21" t="n">
        <f>15334307000000</f>
        <v>1.5334307E13</v>
      </c>
    </row>
    <row r="41">
      <c r="A41" s="22" t="s">
        <v>53</v>
      </c>
      <c r="B41" s="22" t="s">
        <v>54</v>
      </c>
      <c r="C41" s="22" t="s">
        <v>55</v>
      </c>
      <c r="D41" s="22" t="s">
        <v>128</v>
      </c>
      <c r="E41" s="22" t="s">
        <v>129</v>
      </c>
      <c r="F41" s="9" t="n">
        <f>152</f>
        <v>152.0</v>
      </c>
      <c r="G41" s="10" t="n">
        <f>19.5</f>
        <v>19.5</v>
      </c>
      <c r="H41" s="10" t="n">
        <f>1.9</f>
        <v>1.9</v>
      </c>
      <c r="I41" s="11" t="n">
        <f>96</f>
        <v>96.0</v>
      </c>
      <c r="J41" s="11" t="n">
        <f>978.79</f>
        <v>978.79</v>
      </c>
      <c r="K41" s="10" t="n">
        <f>30.7</f>
        <v>30.7</v>
      </c>
      <c r="L41" s="10" t="n">
        <f>1.6</f>
        <v>1.6</v>
      </c>
      <c r="M41" s="21" t="n">
        <f>1432474347194</f>
        <v>1.432474347194E12</v>
      </c>
      <c r="N41" s="21" t="n">
        <f>27945184481961</f>
        <v>2.7945184481961E13</v>
      </c>
    </row>
    <row r="42">
      <c r="A42" s="22" t="s">
        <v>53</v>
      </c>
      <c r="B42" s="22" t="s">
        <v>130</v>
      </c>
      <c r="C42" s="22" t="s">
        <v>131</v>
      </c>
      <c r="D42" s="22" t="s">
        <v>56</v>
      </c>
      <c r="E42" s="22" t="s">
        <v>57</v>
      </c>
      <c r="F42" s="9" t="n">
        <f>1554</f>
        <v>1554.0</v>
      </c>
      <c r="G42" s="10" t="n">
        <f>14.5</f>
        <v>14.5</v>
      </c>
      <c r="H42" s="10" t="n">
        <f>0.9</f>
        <v>0.9</v>
      </c>
      <c r="I42" s="11" t="n">
        <f>110.46</f>
        <v>110.46</v>
      </c>
      <c r="J42" s="11" t="n">
        <f>1780.12</f>
        <v>1780.12</v>
      </c>
      <c r="K42" s="10" t="n">
        <f>17.4</f>
        <v>17.4</v>
      </c>
      <c r="L42" s="10" t="n">
        <f>1.2</f>
        <v>1.2</v>
      </c>
      <c r="M42" s="21" t="n">
        <f>1809983719249</f>
        <v>1.809983719249E12</v>
      </c>
      <c r="N42" s="21" t="n">
        <f>26995142710968</f>
        <v>2.6995142710968E13</v>
      </c>
    </row>
    <row r="43">
      <c r="A43" s="22" t="s">
        <v>53</v>
      </c>
      <c r="B43" s="22" t="s">
        <v>130</v>
      </c>
      <c r="C43" s="22" t="s">
        <v>131</v>
      </c>
      <c r="D43" s="22" t="s">
        <v>58</v>
      </c>
      <c r="E43" s="22" t="s">
        <v>59</v>
      </c>
      <c r="F43" s="9" t="n">
        <f>1515</f>
        <v>1515.0</v>
      </c>
      <c r="G43" s="10" t="n">
        <f>14.6</f>
        <v>14.6</v>
      </c>
      <c r="H43" s="10" t="n">
        <f>0.9</f>
        <v>0.9</v>
      </c>
      <c r="I43" s="11" t="n">
        <f>111.27</f>
        <v>111.27</v>
      </c>
      <c r="J43" s="11" t="n">
        <f>1787.09</f>
        <v>1787.09</v>
      </c>
      <c r="K43" s="10" t="n">
        <f>17.5</f>
        <v>17.5</v>
      </c>
      <c r="L43" s="10" t="n">
        <f>1.2</f>
        <v>1.2</v>
      </c>
      <c r="M43" s="21" t="n">
        <f>1721645693127</f>
        <v>1.721645693127E12</v>
      </c>
      <c r="N43" s="21" t="n">
        <f>25337495550968</f>
        <v>2.5337495550968E13</v>
      </c>
    </row>
    <row r="44">
      <c r="A44" s="22" t="s">
        <v>53</v>
      </c>
      <c r="B44" s="22" t="s">
        <v>130</v>
      </c>
      <c r="C44" s="22" t="s">
        <v>131</v>
      </c>
      <c r="D44" s="22" t="s">
        <v>60</v>
      </c>
      <c r="E44" s="22" t="s">
        <v>61</v>
      </c>
      <c r="F44" s="9" t="n">
        <f>630</f>
        <v>630.0</v>
      </c>
      <c r="G44" s="10" t="n">
        <f>15.2</f>
        <v>15.2</v>
      </c>
      <c r="H44" s="10" t="n">
        <f>0.8</f>
        <v>0.8</v>
      </c>
      <c r="I44" s="11" t="n">
        <f>124.45</f>
        <v>124.45</v>
      </c>
      <c r="J44" s="11" t="n">
        <f>2355.94</f>
        <v>2355.94</v>
      </c>
      <c r="K44" s="10" t="n">
        <f>17.5</f>
        <v>17.5</v>
      </c>
      <c r="L44" s="10" t="n">
        <f>1</f>
        <v>1.0</v>
      </c>
      <c r="M44" s="21" t="n">
        <f>731377818714</f>
        <v>7.31377818714E11</v>
      </c>
      <c r="N44" s="21" t="n">
        <f>13392583033313</f>
        <v>1.3392583033313E13</v>
      </c>
    </row>
    <row r="45">
      <c r="A45" s="22" t="s">
        <v>53</v>
      </c>
      <c r="B45" s="22" t="s">
        <v>130</v>
      </c>
      <c r="C45" s="22" t="s">
        <v>131</v>
      </c>
      <c r="D45" s="22" t="s">
        <v>62</v>
      </c>
      <c r="E45" s="22" t="s">
        <v>63</v>
      </c>
      <c r="F45" s="9" t="n">
        <f>885</f>
        <v>885.0</v>
      </c>
      <c r="G45" s="10" t="n">
        <f>14</f>
        <v>14.0</v>
      </c>
      <c r="H45" s="10" t="n">
        <f>1</f>
        <v>1.0</v>
      </c>
      <c r="I45" s="11" t="n">
        <f>101.89</f>
        <v>101.89</v>
      </c>
      <c r="J45" s="11" t="n">
        <f>1382.14</f>
        <v>1382.14</v>
      </c>
      <c r="K45" s="10" t="n">
        <f>17.6</f>
        <v>17.6</v>
      </c>
      <c r="L45" s="10" t="n">
        <f>1.5</f>
        <v>1.5</v>
      </c>
      <c r="M45" s="21" t="n">
        <f>990267874413</f>
        <v>9.90267874413E11</v>
      </c>
      <c r="N45" s="21" t="n">
        <f>11944912517655</f>
        <v>1.1944912517655E13</v>
      </c>
    </row>
    <row r="46">
      <c r="A46" s="22" t="s">
        <v>53</v>
      </c>
      <c r="B46" s="22" t="s">
        <v>130</v>
      </c>
      <c r="C46" s="22" t="s">
        <v>131</v>
      </c>
      <c r="D46" s="22" t="s">
        <v>64</v>
      </c>
      <c r="E46" s="22" t="s">
        <v>65</v>
      </c>
      <c r="F46" s="9" t="n">
        <f>6</f>
        <v>6.0</v>
      </c>
      <c r="G46" s="10" t="n">
        <f>18.7</f>
        <v>18.7</v>
      </c>
      <c r="H46" s="10" t="n">
        <f>1.3</f>
        <v>1.3</v>
      </c>
      <c r="I46" s="11" t="n">
        <f>121.39</f>
        <v>121.39</v>
      </c>
      <c r="J46" s="11" t="n">
        <f>1745.36</f>
        <v>1745.36</v>
      </c>
      <c r="K46" s="10" t="n">
        <f>13.8</f>
        <v>13.8</v>
      </c>
      <c r="L46" s="10" t="n">
        <f>1.1</f>
        <v>1.1</v>
      </c>
      <c r="M46" s="21" t="n">
        <f>5192000000</f>
        <v>5.192E9</v>
      </c>
      <c r="N46" s="21" t="n">
        <f>65829000000</f>
        <v>6.5829E10</v>
      </c>
    </row>
    <row r="47">
      <c r="A47" s="22" t="s">
        <v>53</v>
      </c>
      <c r="B47" s="22" t="s">
        <v>130</v>
      </c>
      <c r="C47" s="22" t="s">
        <v>131</v>
      </c>
      <c r="D47" s="22" t="s">
        <v>66</v>
      </c>
      <c r="E47" s="22" t="s">
        <v>67</v>
      </c>
      <c r="F47" s="9" t="n">
        <f>1</f>
        <v>1.0</v>
      </c>
      <c r="G47" s="10" t="n">
        <f>9</f>
        <v>9.0</v>
      </c>
      <c r="H47" s="10" t="n">
        <f>1.3</f>
        <v>1.3</v>
      </c>
      <c r="I47" s="11" t="n">
        <f>62.4</f>
        <v>62.4</v>
      </c>
      <c r="J47" s="11" t="n">
        <f>416.88</f>
        <v>416.88</v>
      </c>
      <c r="K47" s="10" t="n">
        <f>9</f>
        <v>9.0</v>
      </c>
      <c r="L47" s="10" t="n">
        <f>1.3</f>
        <v>1.3</v>
      </c>
      <c r="M47" s="21" t="n">
        <f>4195000000</f>
        <v>4.195E9</v>
      </c>
      <c r="N47" s="21" t="n">
        <f>28024000000</f>
        <v>2.8024E10</v>
      </c>
    </row>
    <row r="48">
      <c r="A48" s="22" t="s">
        <v>53</v>
      </c>
      <c r="B48" s="22" t="s">
        <v>130</v>
      </c>
      <c r="C48" s="22" t="s">
        <v>131</v>
      </c>
      <c r="D48" s="22" t="s">
        <v>68</v>
      </c>
      <c r="E48" s="22" t="s">
        <v>69</v>
      </c>
      <c r="F48" s="9" t="n">
        <f>65</f>
        <v>65.0</v>
      </c>
      <c r="G48" s="10" t="n">
        <f>11.7</f>
        <v>11.7</v>
      </c>
      <c r="H48" s="10" t="n">
        <f>0.9</f>
        <v>0.9</v>
      </c>
      <c r="I48" s="11" t="n">
        <f>187.69</f>
        <v>187.69</v>
      </c>
      <c r="J48" s="11" t="n">
        <f>2486.59</f>
        <v>2486.59</v>
      </c>
      <c r="K48" s="10" t="n">
        <f>10.4</f>
        <v>10.4</v>
      </c>
      <c r="L48" s="10" t="n">
        <f>1.1</f>
        <v>1.1</v>
      </c>
      <c r="M48" s="21" t="n">
        <f>145943000000</f>
        <v>1.45943E11</v>
      </c>
      <c r="N48" s="21" t="n">
        <f>1356612000000</f>
        <v>1.356612E12</v>
      </c>
    </row>
    <row r="49">
      <c r="A49" s="22" t="s">
        <v>53</v>
      </c>
      <c r="B49" s="22" t="s">
        <v>130</v>
      </c>
      <c r="C49" s="22" t="s">
        <v>131</v>
      </c>
      <c r="D49" s="22" t="s">
        <v>70</v>
      </c>
      <c r="E49" s="22" t="s">
        <v>71</v>
      </c>
      <c r="F49" s="9" t="n">
        <f>51</f>
        <v>51.0</v>
      </c>
      <c r="G49" s="10" t="n">
        <f>18.5</f>
        <v>18.5</v>
      </c>
      <c r="H49" s="10" t="n">
        <f>1.2</f>
        <v>1.2</v>
      </c>
      <c r="I49" s="11" t="n">
        <f>113.75</f>
        <v>113.75</v>
      </c>
      <c r="J49" s="11" t="n">
        <f>1826.91</f>
        <v>1826.91</v>
      </c>
      <c r="K49" s="10" t="n">
        <f>16.6</f>
        <v>16.6</v>
      </c>
      <c r="L49" s="10" t="n">
        <f>1.3</f>
        <v>1.3</v>
      </c>
      <c r="M49" s="21" t="n">
        <f>75117000000</f>
        <v>7.5117E10</v>
      </c>
      <c r="N49" s="21" t="n">
        <f>995616000000</f>
        <v>9.95616E11</v>
      </c>
    </row>
    <row r="50">
      <c r="A50" s="22" t="s">
        <v>53</v>
      </c>
      <c r="B50" s="22" t="s">
        <v>130</v>
      </c>
      <c r="C50" s="22" t="s">
        <v>131</v>
      </c>
      <c r="D50" s="22" t="s">
        <v>72</v>
      </c>
      <c r="E50" s="22" t="s">
        <v>73</v>
      </c>
      <c r="F50" s="9" t="n">
        <f>28</f>
        <v>28.0</v>
      </c>
      <c r="G50" s="10" t="n">
        <f>16.7</f>
        <v>16.7</v>
      </c>
      <c r="H50" s="10" t="n">
        <f>0.6</f>
        <v>0.6</v>
      </c>
      <c r="I50" s="11" t="n">
        <f>73.98</f>
        <v>73.98</v>
      </c>
      <c r="J50" s="11" t="n">
        <f>2168.42</f>
        <v>2168.42</v>
      </c>
      <c r="K50" s="10" t="n">
        <f>23.9</f>
        <v>23.9</v>
      </c>
      <c r="L50" s="10" t="n">
        <f>0.7</f>
        <v>0.7</v>
      </c>
      <c r="M50" s="21" t="n">
        <f>14895533000</f>
        <v>1.4895533E10</v>
      </c>
      <c r="N50" s="21" t="n">
        <f>478435271000</f>
        <v>4.78435271E11</v>
      </c>
    </row>
    <row r="51">
      <c r="A51" s="22" t="s">
        <v>53</v>
      </c>
      <c r="B51" s="22" t="s">
        <v>130</v>
      </c>
      <c r="C51" s="22" t="s">
        <v>131</v>
      </c>
      <c r="D51" s="22" t="s">
        <v>74</v>
      </c>
      <c r="E51" s="22" t="s">
        <v>75</v>
      </c>
      <c r="F51" s="9" t="n">
        <f>14</f>
        <v>14.0</v>
      </c>
      <c r="G51" s="10" t="n">
        <f>10.7</f>
        <v>10.7</v>
      </c>
      <c r="H51" s="10" t="n">
        <f>0.6</f>
        <v>0.6</v>
      </c>
      <c r="I51" s="11" t="n">
        <f>141.86</f>
        <v>141.86</v>
      </c>
      <c r="J51" s="11" t="n">
        <f>2448.95</f>
        <v>2448.95</v>
      </c>
      <c r="K51" s="10" t="n">
        <f>11.8</f>
        <v>11.8</v>
      </c>
      <c r="L51" s="10" t="n">
        <f>0.6</f>
        <v>0.6</v>
      </c>
      <c r="M51" s="21" t="n">
        <f>12534000000</f>
        <v>1.2534E10</v>
      </c>
      <c r="N51" s="21" t="n">
        <f>231408000000</f>
        <v>2.31408E11</v>
      </c>
    </row>
    <row r="52">
      <c r="A52" s="22" t="s">
        <v>53</v>
      </c>
      <c r="B52" s="22" t="s">
        <v>130</v>
      </c>
      <c r="C52" s="22" t="s">
        <v>131</v>
      </c>
      <c r="D52" s="22" t="s">
        <v>76</v>
      </c>
      <c r="E52" s="22" t="s">
        <v>77</v>
      </c>
      <c r="F52" s="9" t="n">
        <f>82</f>
        <v>82.0</v>
      </c>
      <c r="G52" s="10" t="n">
        <f>13.9</f>
        <v>13.9</v>
      </c>
      <c r="H52" s="10" t="n">
        <f>0.9</f>
        <v>0.9</v>
      </c>
      <c r="I52" s="11" t="n">
        <f>162.74</f>
        <v>162.74</v>
      </c>
      <c r="J52" s="11" t="n">
        <f>2645.49</f>
        <v>2645.49</v>
      </c>
      <c r="K52" s="10" t="n">
        <f>15.1</f>
        <v>15.1</v>
      </c>
      <c r="L52" s="10" t="n">
        <f>0.9</f>
        <v>0.9</v>
      </c>
      <c r="M52" s="21" t="n">
        <f>109559000000</f>
        <v>1.09559E11</v>
      </c>
      <c r="N52" s="21" t="n">
        <f>1770492762313</f>
        <v>1.770492762313E12</v>
      </c>
    </row>
    <row r="53">
      <c r="A53" s="22" t="s">
        <v>53</v>
      </c>
      <c r="B53" s="22" t="s">
        <v>130</v>
      </c>
      <c r="C53" s="22" t="s">
        <v>131</v>
      </c>
      <c r="D53" s="22" t="s">
        <v>78</v>
      </c>
      <c r="E53" s="22" t="s">
        <v>79</v>
      </c>
      <c r="F53" s="9" t="n">
        <f>8</f>
        <v>8.0</v>
      </c>
      <c r="G53" s="10" t="n">
        <f>12.7</f>
        <v>12.7</v>
      </c>
      <c r="H53" s="10" t="n">
        <f>0.8</f>
        <v>0.8</v>
      </c>
      <c r="I53" s="11" t="n">
        <f>83.15</f>
        <v>83.15</v>
      </c>
      <c r="J53" s="11" t="n">
        <f>1392.51</f>
        <v>1392.51</v>
      </c>
      <c r="K53" s="10" t="n">
        <f>10.5</f>
        <v>10.5</v>
      </c>
      <c r="L53" s="10" t="n">
        <f>1.4</f>
        <v>1.4</v>
      </c>
      <c r="M53" s="21" t="n">
        <f>11920000000</f>
        <v>1.192E10</v>
      </c>
      <c r="N53" s="21" t="n">
        <f>89452000000</f>
        <v>8.9452E10</v>
      </c>
    </row>
    <row r="54">
      <c r="A54" s="22" t="s">
        <v>53</v>
      </c>
      <c r="B54" s="22" t="s">
        <v>130</v>
      </c>
      <c r="C54" s="22" t="s">
        <v>131</v>
      </c>
      <c r="D54" s="22" t="s">
        <v>80</v>
      </c>
      <c r="E54" s="22" t="s">
        <v>81</v>
      </c>
      <c r="F54" s="9" t="n">
        <f>4</f>
        <v>4.0</v>
      </c>
      <c r="G54" s="10" t="n">
        <f>8.6</f>
        <v>8.6</v>
      </c>
      <c r="H54" s="10" t="n">
        <f>0.7</f>
        <v>0.7</v>
      </c>
      <c r="I54" s="11" t="n">
        <f>133.69</f>
        <v>133.69</v>
      </c>
      <c r="J54" s="11" t="n">
        <f>1625.8</f>
        <v>1625.8</v>
      </c>
      <c r="K54" s="10" t="n">
        <f>8.5</f>
        <v>8.5</v>
      </c>
      <c r="L54" s="10" t="n">
        <f>0.8</f>
        <v>0.8</v>
      </c>
      <c r="M54" s="21" t="n">
        <f>8036000000</f>
        <v>8.036E9</v>
      </c>
      <c r="N54" s="21" t="n">
        <f>85658000000</f>
        <v>8.5658E10</v>
      </c>
    </row>
    <row r="55">
      <c r="A55" s="22" t="s">
        <v>53</v>
      </c>
      <c r="B55" s="22" t="s">
        <v>130</v>
      </c>
      <c r="C55" s="22" t="s">
        <v>131</v>
      </c>
      <c r="D55" s="22" t="s">
        <v>82</v>
      </c>
      <c r="E55" s="22" t="s">
        <v>83</v>
      </c>
      <c r="F55" s="9" t="n">
        <f>7</f>
        <v>7.0</v>
      </c>
      <c r="G55" s="10" t="n">
        <f>12.9</f>
        <v>12.9</v>
      </c>
      <c r="H55" s="10" t="n">
        <f>0.7</f>
        <v>0.7</v>
      </c>
      <c r="I55" s="11" t="n">
        <f>136.01</f>
        <v>136.01</v>
      </c>
      <c r="J55" s="11" t="n">
        <f>2355.6</f>
        <v>2355.6</v>
      </c>
      <c r="K55" s="10" t="n">
        <f>17.5</f>
        <v>17.5</v>
      </c>
      <c r="L55" s="10" t="n">
        <f>1</f>
        <v>1.0</v>
      </c>
      <c r="M55" s="21" t="n">
        <f>10804000000</f>
        <v>1.0804E10</v>
      </c>
      <c r="N55" s="21" t="n">
        <f>187808000000</f>
        <v>1.87808E11</v>
      </c>
    </row>
    <row r="56">
      <c r="A56" s="22" t="s">
        <v>53</v>
      </c>
      <c r="B56" s="22" t="s">
        <v>130</v>
      </c>
      <c r="C56" s="22" t="s">
        <v>131</v>
      </c>
      <c r="D56" s="22" t="s">
        <v>84</v>
      </c>
      <c r="E56" s="22" t="s">
        <v>85</v>
      </c>
      <c r="F56" s="9" t="n">
        <f>28</f>
        <v>28.0</v>
      </c>
      <c r="G56" s="10" t="n">
        <f>11</f>
        <v>11.0</v>
      </c>
      <c r="H56" s="10" t="n">
        <f>0.8</f>
        <v>0.8</v>
      </c>
      <c r="I56" s="11" t="n">
        <f>133.37</f>
        <v>133.37</v>
      </c>
      <c r="J56" s="11" t="n">
        <f>1924.77</f>
        <v>1924.77</v>
      </c>
      <c r="K56" s="10" t="n">
        <f>12.8</f>
        <v>12.8</v>
      </c>
      <c r="L56" s="10" t="n">
        <f>0.9</f>
        <v>0.9</v>
      </c>
      <c r="M56" s="21" t="n">
        <f>45223000000</f>
        <v>4.5223E10</v>
      </c>
      <c r="N56" s="21" t="n">
        <f>619848000000</f>
        <v>6.19848E11</v>
      </c>
    </row>
    <row r="57">
      <c r="A57" s="22" t="s">
        <v>53</v>
      </c>
      <c r="B57" s="22" t="s">
        <v>130</v>
      </c>
      <c r="C57" s="22" t="s">
        <v>131</v>
      </c>
      <c r="D57" s="22" t="s">
        <v>86</v>
      </c>
      <c r="E57" s="22" t="s">
        <v>87</v>
      </c>
      <c r="F57" s="9" t="n">
        <f>19</f>
        <v>19.0</v>
      </c>
      <c r="G57" s="10" t="n">
        <f>14.6</f>
        <v>14.6</v>
      </c>
      <c r="H57" s="10" t="n">
        <f>0.5</f>
        <v>0.5</v>
      </c>
      <c r="I57" s="11" t="n">
        <f>105.17</f>
        <v>105.17</v>
      </c>
      <c r="J57" s="11" t="n">
        <f>3064.69</f>
        <v>3064.69</v>
      </c>
      <c r="K57" s="10" t="n">
        <f>24.6</f>
        <v>24.6</v>
      </c>
      <c r="L57" s="10" t="n">
        <f>0.6</f>
        <v>0.6</v>
      </c>
      <c r="M57" s="21" t="n">
        <f>12301000000</f>
        <v>1.2301E10</v>
      </c>
      <c r="N57" s="21" t="n">
        <f>533597000000</f>
        <v>5.33597E11</v>
      </c>
    </row>
    <row r="58">
      <c r="A58" s="22" t="s">
        <v>53</v>
      </c>
      <c r="B58" s="22" t="s">
        <v>130</v>
      </c>
      <c r="C58" s="22" t="s">
        <v>131</v>
      </c>
      <c r="D58" s="22" t="s">
        <v>88</v>
      </c>
      <c r="E58" s="22" t="s">
        <v>89</v>
      </c>
      <c r="F58" s="9" t="n">
        <f>10</f>
        <v>10.0</v>
      </c>
      <c r="G58" s="10" t="n">
        <f>11.3</f>
        <v>11.3</v>
      </c>
      <c r="H58" s="10" t="n">
        <f>1.2</f>
        <v>1.2</v>
      </c>
      <c r="I58" s="11" t="n">
        <f>198.94</f>
        <v>198.94</v>
      </c>
      <c r="J58" s="11" t="n">
        <f>1904.4</f>
        <v>1904.4</v>
      </c>
      <c r="K58" s="10" t="n">
        <f>13</f>
        <v>13.0</v>
      </c>
      <c r="L58" s="10" t="n">
        <f>1.2</f>
        <v>1.2</v>
      </c>
      <c r="M58" s="21" t="n">
        <f>9278000000</f>
        <v>9.278E9</v>
      </c>
      <c r="N58" s="21" t="n">
        <f>99415000000</f>
        <v>9.9415E10</v>
      </c>
    </row>
    <row r="59">
      <c r="A59" s="22" t="s">
        <v>53</v>
      </c>
      <c r="B59" s="22" t="s">
        <v>130</v>
      </c>
      <c r="C59" s="22" t="s">
        <v>131</v>
      </c>
      <c r="D59" s="22" t="s">
        <v>90</v>
      </c>
      <c r="E59" s="22" t="s">
        <v>91</v>
      </c>
      <c r="F59" s="9" t="n">
        <f>59</f>
        <v>59.0</v>
      </c>
      <c r="G59" s="10" t="n">
        <f>16.7</f>
        <v>16.7</v>
      </c>
      <c r="H59" s="10" t="n">
        <f>0.6</f>
        <v>0.6</v>
      </c>
      <c r="I59" s="11" t="n">
        <f>119.44</f>
        <v>119.44</v>
      </c>
      <c r="J59" s="11" t="n">
        <f>3393.49</f>
        <v>3393.49</v>
      </c>
      <c r="K59" s="10" t="n">
        <f>20.5</f>
        <v>20.5</v>
      </c>
      <c r="L59" s="10" t="n">
        <f>0.7</f>
        <v>0.7</v>
      </c>
      <c r="M59" s="21" t="n">
        <f>34597000000</f>
        <v>3.4597E10</v>
      </c>
      <c r="N59" s="21" t="n">
        <f>1090196000000</f>
        <v>1.090196E12</v>
      </c>
    </row>
    <row r="60">
      <c r="A60" s="22" t="s">
        <v>53</v>
      </c>
      <c r="B60" s="22" t="s">
        <v>130</v>
      </c>
      <c r="C60" s="22" t="s">
        <v>131</v>
      </c>
      <c r="D60" s="22" t="s">
        <v>92</v>
      </c>
      <c r="E60" s="22" t="s">
        <v>93</v>
      </c>
      <c r="F60" s="9" t="n">
        <f>99</f>
        <v>99.0</v>
      </c>
      <c r="G60" s="10" t="n">
        <f>13.5</f>
        <v>13.5</v>
      </c>
      <c r="H60" s="10" t="n">
        <f>0.9</f>
        <v>0.9</v>
      </c>
      <c r="I60" s="11" t="n">
        <f>150.11</f>
        <v>150.11</v>
      </c>
      <c r="J60" s="11" t="n">
        <f>2362</f>
        <v>2362.0</v>
      </c>
      <c r="K60" s="10" t="n">
        <f>21.5</f>
        <v>21.5</v>
      </c>
      <c r="L60" s="10" t="n">
        <f>0.9</f>
        <v>0.9</v>
      </c>
      <c r="M60" s="21" t="n">
        <f>83437000000</f>
        <v>8.3437E10</v>
      </c>
      <c r="N60" s="21" t="n">
        <f>2096317000000</f>
        <v>2.096317E12</v>
      </c>
    </row>
    <row r="61">
      <c r="A61" s="22" t="s">
        <v>53</v>
      </c>
      <c r="B61" s="22" t="s">
        <v>130</v>
      </c>
      <c r="C61" s="22" t="s">
        <v>131</v>
      </c>
      <c r="D61" s="22" t="s">
        <v>94</v>
      </c>
      <c r="E61" s="22" t="s">
        <v>95</v>
      </c>
      <c r="F61" s="9" t="n">
        <f>98</f>
        <v>98.0</v>
      </c>
      <c r="G61" s="10" t="n">
        <f>16.2</f>
        <v>16.2</v>
      </c>
      <c r="H61" s="10" t="n">
        <f>1</f>
        <v>1.0</v>
      </c>
      <c r="I61" s="11" t="n">
        <f>129.11</f>
        <v>129.11</v>
      </c>
      <c r="J61" s="11" t="n">
        <f>2085.45</f>
        <v>2085.45</v>
      </c>
      <c r="K61" s="10" t="n">
        <f>15.2</f>
        <v>15.2</v>
      </c>
      <c r="L61" s="10" t="n">
        <f>1.2</f>
        <v>1.2</v>
      </c>
      <c r="M61" s="21" t="n">
        <f>170666285714</f>
        <v>1.70666285714E11</v>
      </c>
      <c r="N61" s="21" t="n">
        <f>2174129000000</f>
        <v>2.174129E12</v>
      </c>
    </row>
    <row r="62">
      <c r="A62" s="22" t="s">
        <v>53</v>
      </c>
      <c r="B62" s="22" t="s">
        <v>130</v>
      </c>
      <c r="C62" s="22" t="s">
        <v>131</v>
      </c>
      <c r="D62" s="22" t="s">
        <v>96</v>
      </c>
      <c r="E62" s="22" t="s">
        <v>97</v>
      </c>
      <c r="F62" s="9" t="n">
        <f>43</f>
        <v>43.0</v>
      </c>
      <c r="G62" s="10" t="n">
        <f>18.5</f>
        <v>18.5</v>
      </c>
      <c r="H62" s="10" t="n">
        <f>0.8</f>
        <v>0.8</v>
      </c>
      <c r="I62" s="11" t="n">
        <f>123.38</f>
        <v>123.38</v>
      </c>
      <c r="J62" s="11" t="n">
        <f>2753.59</f>
        <v>2753.59</v>
      </c>
      <c r="K62" s="10" t="n">
        <f>20.7</f>
        <v>20.7</v>
      </c>
      <c r="L62" s="10" t="n">
        <f>0.9</f>
        <v>0.9</v>
      </c>
      <c r="M62" s="21" t="n">
        <f>76226000000</f>
        <v>7.6226E10</v>
      </c>
      <c r="N62" s="21" t="n">
        <f>1774847000000</f>
        <v>1.774847E12</v>
      </c>
    </row>
    <row r="63">
      <c r="A63" s="22" t="s">
        <v>53</v>
      </c>
      <c r="B63" s="22" t="s">
        <v>130</v>
      </c>
      <c r="C63" s="22" t="s">
        <v>131</v>
      </c>
      <c r="D63" s="22" t="s">
        <v>98</v>
      </c>
      <c r="E63" s="22" t="s">
        <v>99</v>
      </c>
      <c r="F63" s="9" t="n">
        <f>17</f>
        <v>17.0</v>
      </c>
      <c r="G63" s="10" t="n">
        <f>19.4</f>
        <v>19.4</v>
      </c>
      <c r="H63" s="10" t="n">
        <f>1.4</f>
        <v>1.4</v>
      </c>
      <c r="I63" s="11" t="n">
        <f>75.16</f>
        <v>75.16</v>
      </c>
      <c r="J63" s="11" t="n">
        <f>1023.44</f>
        <v>1023.44</v>
      </c>
      <c r="K63" s="10" t="n">
        <f>19.3</f>
        <v>19.3</v>
      </c>
      <c r="L63" s="10" t="n">
        <f>1.3</f>
        <v>1.3</v>
      </c>
      <c r="M63" s="21" t="n">
        <f>23790000000</f>
        <v>2.379E10</v>
      </c>
      <c r="N63" s="21" t="n">
        <f>347881000000</f>
        <v>3.47881E11</v>
      </c>
    </row>
    <row r="64">
      <c r="A64" s="22" t="s">
        <v>53</v>
      </c>
      <c r="B64" s="22" t="s">
        <v>130</v>
      </c>
      <c r="C64" s="22" t="s">
        <v>131</v>
      </c>
      <c r="D64" s="22" t="s">
        <v>100</v>
      </c>
      <c r="E64" s="22" t="s">
        <v>101</v>
      </c>
      <c r="F64" s="9" t="n">
        <f>63</f>
        <v>63.0</v>
      </c>
      <c r="G64" s="10" t="n">
        <f>19.4</f>
        <v>19.4</v>
      </c>
      <c r="H64" s="10" t="n">
        <f>0.6</f>
        <v>0.6</v>
      </c>
      <c r="I64" s="11" t="n">
        <f>66.39</f>
        <v>66.39</v>
      </c>
      <c r="J64" s="11" t="n">
        <f>2216.03</f>
        <v>2216.03</v>
      </c>
      <c r="K64" s="10" t="n">
        <f>25.2</f>
        <v>25.2</v>
      </c>
      <c r="L64" s="10" t="n">
        <f>1</f>
        <v>1.0</v>
      </c>
      <c r="M64" s="21" t="n">
        <f>32994000000</f>
        <v>3.2994E10</v>
      </c>
      <c r="N64" s="21" t="n">
        <f>817483000000</f>
        <v>8.17483E11</v>
      </c>
    </row>
    <row r="65">
      <c r="A65" s="22" t="s">
        <v>53</v>
      </c>
      <c r="B65" s="22" t="s">
        <v>130</v>
      </c>
      <c r="C65" s="22" t="s">
        <v>131</v>
      </c>
      <c r="D65" s="22" t="s">
        <v>102</v>
      </c>
      <c r="E65" s="22" t="s">
        <v>103</v>
      </c>
      <c r="F65" s="9" t="n">
        <f>5</f>
        <v>5.0</v>
      </c>
      <c r="G65" s="10" t="n">
        <f>11.4</f>
        <v>11.4</v>
      </c>
      <c r="H65" s="10" t="n">
        <f>0.4</f>
        <v>0.4</v>
      </c>
      <c r="I65" s="11" t="n">
        <f>96.37</f>
        <v>96.37</v>
      </c>
      <c r="J65" s="11" t="n">
        <f>3027.3</f>
        <v>3027.3</v>
      </c>
      <c r="K65" s="10" t="n">
        <f>17.1</f>
        <v>17.1</v>
      </c>
      <c r="L65" s="10" t="n">
        <f>0.4</f>
        <v>0.4</v>
      </c>
      <c r="M65" s="21" t="n">
        <f>4596000000</f>
        <v>4.596E9</v>
      </c>
      <c r="N65" s="21" t="n">
        <f>175958000000</f>
        <v>1.75958E11</v>
      </c>
    </row>
    <row r="66">
      <c r="A66" s="22" t="s">
        <v>53</v>
      </c>
      <c r="B66" s="22" t="s">
        <v>130</v>
      </c>
      <c r="C66" s="22" t="s">
        <v>131</v>
      </c>
      <c r="D66" s="22" t="s">
        <v>104</v>
      </c>
      <c r="E66" s="22" t="s">
        <v>105</v>
      </c>
      <c r="F66" s="9" t="n">
        <f>20</f>
        <v>20.0</v>
      </c>
      <c r="G66" s="10" t="n">
        <f>11</f>
        <v>11.0</v>
      </c>
      <c r="H66" s="10" t="n">
        <f>0.6</f>
        <v>0.6</v>
      </c>
      <c r="I66" s="11" t="n">
        <f>202.35</f>
        <v>202.35</v>
      </c>
      <c r="J66" s="11" t="n">
        <f>3624.11</f>
        <v>3624.11</v>
      </c>
      <c r="K66" s="10" t="n">
        <f>10.9</f>
        <v>10.9</v>
      </c>
      <c r="L66" s="10" t="n">
        <f>0.8</f>
        <v>0.8</v>
      </c>
      <c r="M66" s="21" t="n">
        <f>27909000000</f>
        <v>2.7909E10</v>
      </c>
      <c r="N66" s="21" t="n">
        <f>403314000000</f>
        <v>4.03314E11</v>
      </c>
    </row>
    <row r="67">
      <c r="A67" s="22" t="s">
        <v>53</v>
      </c>
      <c r="B67" s="22" t="s">
        <v>130</v>
      </c>
      <c r="C67" s="22" t="s">
        <v>131</v>
      </c>
      <c r="D67" s="22" t="s">
        <v>106</v>
      </c>
      <c r="E67" s="22" t="s">
        <v>107</v>
      </c>
      <c r="F67" s="9" t="n">
        <f>6</f>
        <v>6.0</v>
      </c>
      <c r="G67" s="10" t="n">
        <f>5</f>
        <v>5.0</v>
      </c>
      <c r="H67" s="10" t="n">
        <f>0.7</f>
        <v>0.7</v>
      </c>
      <c r="I67" s="11" t="n">
        <f>385.72</f>
        <v>385.72</v>
      </c>
      <c r="J67" s="11" t="n">
        <f>2929.5</f>
        <v>2929.5</v>
      </c>
      <c r="K67" s="10" t="n">
        <f>6.5</f>
        <v>6.5</v>
      </c>
      <c r="L67" s="10" t="n">
        <f>0.6</f>
        <v>0.6</v>
      </c>
      <c r="M67" s="21" t="n">
        <f>17345000000</f>
        <v>1.7345E10</v>
      </c>
      <c r="N67" s="21" t="n">
        <f>202528000000</f>
        <v>2.02528E11</v>
      </c>
    </row>
    <row r="68">
      <c r="A68" s="22" t="s">
        <v>53</v>
      </c>
      <c r="B68" s="22" t="s">
        <v>130</v>
      </c>
      <c r="C68" s="22" t="s">
        <v>131</v>
      </c>
      <c r="D68" s="22" t="s">
        <v>108</v>
      </c>
      <c r="E68" s="22" t="s">
        <v>109</v>
      </c>
      <c r="F68" s="9" t="n">
        <f>2</f>
        <v>2.0</v>
      </c>
      <c r="G68" s="10" t="n">
        <f>5.7</f>
        <v>5.7</v>
      </c>
      <c r="H68" s="10" t="str">
        <f>"－"</f>
        <v>－</v>
      </c>
      <c r="I68" s="11" t="n">
        <f>305.18</f>
        <v>305.18</v>
      </c>
      <c r="J68" s="11" t="n">
        <f>-64.72</f>
        <v>-64.72</v>
      </c>
      <c r="K68" s="10" t="n">
        <f>8</f>
        <v>8.0</v>
      </c>
      <c r="L68" s="10" t="n">
        <f>1.9</f>
        <v>1.9</v>
      </c>
      <c r="M68" s="21" t="n">
        <f>3825000000</f>
        <v>3.825E9</v>
      </c>
      <c r="N68" s="21" t="n">
        <f>16406000000</f>
        <v>1.6406E10</v>
      </c>
    </row>
    <row r="69">
      <c r="A69" s="22" t="s">
        <v>53</v>
      </c>
      <c r="B69" s="22" t="s">
        <v>130</v>
      </c>
      <c r="C69" s="22" t="s">
        <v>131</v>
      </c>
      <c r="D69" s="22" t="s">
        <v>110</v>
      </c>
      <c r="E69" s="22" t="s">
        <v>111</v>
      </c>
      <c r="F69" s="9" t="n">
        <f>21</f>
        <v>21.0</v>
      </c>
      <c r="G69" s="10" t="n">
        <f>10.3</f>
        <v>10.3</v>
      </c>
      <c r="H69" s="10" t="n">
        <f>0.6</f>
        <v>0.6</v>
      </c>
      <c r="I69" s="11" t="n">
        <f>170.96</f>
        <v>170.96</v>
      </c>
      <c r="J69" s="11" t="n">
        <f>3121.41</f>
        <v>3121.41</v>
      </c>
      <c r="K69" s="10" t="n">
        <f>13</f>
        <v>13.0</v>
      </c>
      <c r="L69" s="10" t="n">
        <f>0.8</f>
        <v>0.8</v>
      </c>
      <c r="M69" s="21" t="n">
        <f>21665000000</f>
        <v>2.1665E10</v>
      </c>
      <c r="N69" s="21" t="n">
        <f>374021000000</f>
        <v>3.74021E11</v>
      </c>
    </row>
    <row r="70">
      <c r="A70" s="22" t="s">
        <v>53</v>
      </c>
      <c r="B70" s="22" t="s">
        <v>130</v>
      </c>
      <c r="C70" s="22" t="s">
        <v>131</v>
      </c>
      <c r="D70" s="22" t="s">
        <v>112</v>
      </c>
      <c r="E70" s="22" t="s">
        <v>113</v>
      </c>
      <c r="F70" s="9" t="n">
        <f>174</f>
        <v>174.0</v>
      </c>
      <c r="G70" s="10" t="n">
        <f>18.3</f>
        <v>18.3</v>
      </c>
      <c r="H70" s="10" t="n">
        <f>1.8</f>
        <v>1.8</v>
      </c>
      <c r="I70" s="11" t="n">
        <f>71.51</f>
        <v>71.51</v>
      </c>
      <c r="J70" s="11" t="n">
        <f>744.7</f>
        <v>744.7</v>
      </c>
      <c r="K70" s="10" t="n">
        <f>24.6</f>
        <v>24.6</v>
      </c>
      <c r="L70" s="10" t="n">
        <f>2.9</f>
        <v>2.9</v>
      </c>
      <c r="M70" s="21" t="n">
        <f>186341000000</f>
        <v>1.86341E11</v>
      </c>
      <c r="N70" s="21" t="n">
        <f>1564226000000</f>
        <v>1.564226E12</v>
      </c>
    </row>
    <row r="71">
      <c r="A71" s="22" t="s">
        <v>53</v>
      </c>
      <c r="B71" s="22" t="s">
        <v>130</v>
      </c>
      <c r="C71" s="22" t="s">
        <v>131</v>
      </c>
      <c r="D71" s="22" t="s">
        <v>114</v>
      </c>
      <c r="E71" s="22" t="s">
        <v>115</v>
      </c>
      <c r="F71" s="9" t="n">
        <f>158</f>
        <v>158.0</v>
      </c>
      <c r="G71" s="10" t="n">
        <f>12.5</f>
        <v>12.5</v>
      </c>
      <c r="H71" s="10" t="n">
        <f>0.8</f>
        <v>0.8</v>
      </c>
      <c r="I71" s="11" t="n">
        <f>133.41</f>
        <v>133.41</v>
      </c>
      <c r="J71" s="11" t="n">
        <f>2098.78</f>
        <v>2098.78</v>
      </c>
      <c r="K71" s="10" t="n">
        <f>15.3</f>
        <v>15.3</v>
      </c>
      <c r="L71" s="10" t="n">
        <f>1.1</f>
        <v>1.1</v>
      </c>
      <c r="M71" s="21" t="n">
        <f>192681000000</f>
        <v>1.92681E11</v>
      </c>
      <c r="N71" s="21" t="n">
        <f>2622275000000</f>
        <v>2.622275E12</v>
      </c>
    </row>
    <row r="72">
      <c r="A72" s="22" t="s">
        <v>53</v>
      </c>
      <c r="B72" s="22" t="s">
        <v>130</v>
      </c>
      <c r="C72" s="22" t="s">
        <v>131</v>
      </c>
      <c r="D72" s="22" t="s">
        <v>116</v>
      </c>
      <c r="E72" s="22" t="s">
        <v>117</v>
      </c>
      <c r="F72" s="9" t="n">
        <f>167</f>
        <v>167.0</v>
      </c>
      <c r="G72" s="10" t="n">
        <f>21.3</f>
        <v>21.3</v>
      </c>
      <c r="H72" s="10" t="n">
        <f>1.3</f>
        <v>1.3</v>
      </c>
      <c r="I72" s="11" t="n">
        <f>55.37</f>
        <v>55.37</v>
      </c>
      <c r="J72" s="11" t="n">
        <f>901.95</f>
        <v>901.95</v>
      </c>
      <c r="K72" s="10" t="n">
        <f>27.2</f>
        <v>27.2</v>
      </c>
      <c r="L72" s="10" t="n">
        <f>1.6</f>
        <v>1.6</v>
      </c>
      <c r="M72" s="21" t="n">
        <f>147204574133</f>
        <v>1.47204574133E11</v>
      </c>
      <c r="N72" s="21" t="n">
        <f>2468903455329</f>
        <v>2.468903455329E12</v>
      </c>
    </row>
    <row r="73">
      <c r="A73" s="22" t="s">
        <v>53</v>
      </c>
      <c r="B73" s="22" t="s">
        <v>130</v>
      </c>
      <c r="C73" s="22" t="s">
        <v>131</v>
      </c>
      <c r="D73" s="22" t="s">
        <v>118</v>
      </c>
      <c r="E73" s="22" t="s">
        <v>119</v>
      </c>
      <c r="F73" s="9" t="n">
        <f>10</f>
        <v>10.0</v>
      </c>
      <c r="G73" s="10" t="n">
        <f>9.5</f>
        <v>9.5</v>
      </c>
      <c r="H73" s="10" t="n">
        <f>0.3</f>
        <v>0.3</v>
      </c>
      <c r="I73" s="11" t="n">
        <f>108.17</f>
        <v>108.17</v>
      </c>
      <c r="J73" s="11" t="n">
        <f>3378.99</f>
        <v>3378.99</v>
      </c>
      <c r="K73" s="10" t="n">
        <f>10.6</f>
        <v>10.6</v>
      </c>
      <c r="L73" s="10" t="n">
        <f>0.3</f>
        <v>0.3</v>
      </c>
      <c r="M73" s="21" t="n">
        <f>10354026122</f>
        <v>1.0354026122E10</v>
      </c>
      <c r="N73" s="21" t="n">
        <f>340828160000</f>
        <v>3.4082816E11</v>
      </c>
    </row>
    <row r="74">
      <c r="A74" s="22" t="s">
        <v>53</v>
      </c>
      <c r="B74" s="22" t="s">
        <v>130</v>
      </c>
      <c r="C74" s="22" t="s">
        <v>131</v>
      </c>
      <c r="D74" s="22" t="s">
        <v>120</v>
      </c>
      <c r="E74" s="22" t="s">
        <v>121</v>
      </c>
      <c r="F74" s="9" t="n">
        <f>15</f>
        <v>15.0</v>
      </c>
      <c r="G74" s="10" t="n">
        <f>10.1</f>
        <v>10.1</v>
      </c>
      <c r="H74" s="10" t="n">
        <f>0.9</f>
        <v>0.9</v>
      </c>
      <c r="I74" s="11" t="n">
        <f>94.44</f>
        <v>94.44</v>
      </c>
      <c r="J74" s="11" t="n">
        <f>1082.97</f>
        <v>1082.97</v>
      </c>
      <c r="K74" s="10" t="n">
        <f>9.8</f>
        <v>9.8</v>
      </c>
      <c r="L74" s="10" t="n">
        <f>1</f>
        <v>1.0</v>
      </c>
      <c r="M74" s="21" t="n">
        <f>30007000000</f>
        <v>3.0007E10</v>
      </c>
      <c r="N74" s="21" t="n">
        <f>282536000000</f>
        <v>2.82536E11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19.2</f>
        <v>19.2</v>
      </c>
      <c r="H76" s="10" t="n">
        <f>1.3</f>
        <v>1.3</v>
      </c>
      <c r="I76" s="11" t="n">
        <f>41.83</f>
        <v>41.83</v>
      </c>
      <c r="J76" s="11" t="n">
        <f>631.11</f>
        <v>631.11</v>
      </c>
      <c r="K76" s="10" t="n">
        <f>19.3</f>
        <v>19.3</v>
      </c>
      <c r="L76" s="10" t="n">
        <f>0.9</f>
        <v>0.9</v>
      </c>
      <c r="M76" s="21" t="n">
        <f>47977000000</f>
        <v>4.7977E10</v>
      </c>
      <c r="N76" s="21" t="n">
        <f>1034283000000</f>
        <v>1.034283E12</v>
      </c>
    </row>
    <row r="77">
      <c r="A77" s="22" t="s">
        <v>53</v>
      </c>
      <c r="B77" s="22" t="s">
        <v>130</v>
      </c>
      <c r="C77" s="22" t="s">
        <v>131</v>
      </c>
      <c r="D77" s="22" t="s">
        <v>126</v>
      </c>
      <c r="E77" s="22" t="s">
        <v>127</v>
      </c>
      <c r="F77" s="9" t="n">
        <f>64</f>
        <v>64.0</v>
      </c>
      <c r="G77" s="10" t="n">
        <f>9.8</f>
        <v>9.8</v>
      </c>
      <c r="H77" s="10" t="n">
        <f>0.9</f>
        <v>0.9</v>
      </c>
      <c r="I77" s="11" t="n">
        <f>114.12</f>
        <v>114.12</v>
      </c>
      <c r="J77" s="11" t="n">
        <f>1182.05</f>
        <v>1182.05</v>
      </c>
      <c r="K77" s="10" t="n">
        <f>12.5</f>
        <v>12.5</v>
      </c>
      <c r="L77" s="10" t="n">
        <f>1</f>
        <v>1.0</v>
      </c>
      <c r="M77" s="21" t="n">
        <f>85716000000</f>
        <v>8.5716E10</v>
      </c>
      <c r="N77" s="21" t="n">
        <f>1031832846500</f>
        <v>1.0318328465E12</v>
      </c>
    </row>
    <row r="78">
      <c r="A78" s="22" t="s">
        <v>53</v>
      </c>
      <c r="B78" s="22" t="s">
        <v>130</v>
      </c>
      <c r="C78" s="22" t="s">
        <v>131</v>
      </c>
      <c r="D78" s="22" t="s">
        <v>128</v>
      </c>
      <c r="E78" s="22" t="s">
        <v>129</v>
      </c>
      <c r="F78" s="9" t="n">
        <f>196</f>
        <v>196.0</v>
      </c>
      <c r="G78" s="10" t="n">
        <f>15.4</f>
        <v>15.4</v>
      </c>
      <c r="H78" s="10" t="n">
        <f>1.3</f>
        <v>1.3</v>
      </c>
      <c r="I78" s="11" t="n">
        <f>81.96</f>
        <v>81.96</v>
      </c>
      <c r="J78" s="11" t="n">
        <f>982.63</f>
        <v>982.63</v>
      </c>
      <c r="K78" s="10" t="n">
        <f>16.1</f>
        <v>16.1</v>
      </c>
      <c r="L78" s="10" t="n">
        <f>1.5</f>
        <v>1.5</v>
      </c>
      <c r="M78" s="21" t="n">
        <f>147655300280</f>
        <v>1.4765530028E11</v>
      </c>
      <c r="N78" s="21" t="n">
        <f>1634983215826</f>
        <v>1.634983215826E12</v>
      </c>
    </row>
    <row r="79">
      <c r="A79" s="22" t="s">
        <v>53</v>
      </c>
      <c r="B79" s="22" t="s">
        <v>132</v>
      </c>
      <c r="C79" s="22" t="s">
        <v>133</v>
      </c>
      <c r="D79" s="22" t="s">
        <v>56</v>
      </c>
      <c r="E79" s="22" t="s">
        <v>57</v>
      </c>
      <c r="F79" s="9" t="n">
        <f>600</f>
        <v>600.0</v>
      </c>
      <c r="G79" s="10" t="n">
        <f>41.3</f>
        <v>41.3</v>
      </c>
      <c r="H79" s="10" t="n">
        <f>3.1</f>
        <v>3.1</v>
      </c>
      <c r="I79" s="11" t="n">
        <f>29.07</f>
        <v>29.07</v>
      </c>
      <c r="J79" s="11" t="n">
        <f>392.82</f>
        <v>392.82</v>
      </c>
      <c r="K79" s="10" t="n">
        <f>165.2</f>
        <v>165.2</v>
      </c>
      <c r="L79" s="10" t="n">
        <f>3.6</f>
        <v>3.6</v>
      </c>
      <c r="M79" s="21" t="n">
        <f>52112507667</f>
        <v>5.2112507667E10</v>
      </c>
      <c r="N79" s="21" t="n">
        <f>2374595322186</f>
        <v>2.374595322186E12</v>
      </c>
    </row>
    <row r="80">
      <c r="A80" s="22" t="s">
        <v>53</v>
      </c>
      <c r="B80" s="22" t="s">
        <v>132</v>
      </c>
      <c r="C80" s="22" t="s">
        <v>133</v>
      </c>
      <c r="D80" s="22" t="s">
        <v>58</v>
      </c>
      <c r="E80" s="22" t="s">
        <v>59</v>
      </c>
      <c r="F80" s="9" t="n">
        <f>590</f>
        <v>590.0</v>
      </c>
      <c r="G80" s="10" t="n">
        <f>43.4</f>
        <v>43.4</v>
      </c>
      <c r="H80" s="10" t="n">
        <f>3.1</f>
        <v>3.1</v>
      </c>
      <c r="I80" s="11" t="n">
        <f>27.54</f>
        <v>27.54</v>
      </c>
      <c r="J80" s="11" t="n">
        <f>384.95</f>
        <v>384.95</v>
      </c>
      <c r="K80" s="10" t="n">
        <f>310</f>
        <v>310.0</v>
      </c>
      <c r="L80" s="10" t="n">
        <f>3.7</f>
        <v>3.7</v>
      </c>
      <c r="M80" s="21" t="n">
        <f>26898507667</f>
        <v>2.6898507667E10</v>
      </c>
      <c r="N80" s="21" t="n">
        <f>2224260322186</f>
        <v>2.224260322186E12</v>
      </c>
    </row>
    <row r="81">
      <c r="A81" s="22" t="s">
        <v>53</v>
      </c>
      <c r="B81" s="22" t="s">
        <v>132</v>
      </c>
      <c r="C81" s="22" t="s">
        <v>133</v>
      </c>
      <c r="D81" s="22" t="s">
        <v>60</v>
      </c>
      <c r="E81" s="22" t="s">
        <v>61</v>
      </c>
      <c r="F81" s="9" t="n">
        <f>80</f>
        <v>80.0</v>
      </c>
      <c r="G81" s="10" t="n">
        <f>423.8</f>
        <v>423.8</v>
      </c>
      <c r="H81" s="10" t="n">
        <f>3.9</f>
        <v>3.9</v>
      </c>
      <c r="I81" s="11" t="n">
        <f>2.64</f>
        <v>2.64</v>
      </c>
      <c r="J81" s="11" t="n">
        <f>288.33</f>
        <v>288.33</v>
      </c>
      <c r="K81" s="10" t="str">
        <f>"－"</f>
        <v>－</v>
      </c>
      <c r="L81" s="10" t="n">
        <f>4.5</f>
        <v>4.5</v>
      </c>
      <c r="M81" s="21" t="n">
        <f>-62226288000</f>
        <v>-6.2226288E10</v>
      </c>
      <c r="N81" s="21" t="n">
        <f>392110430000</f>
        <v>3.9211043E11</v>
      </c>
    </row>
    <row r="82">
      <c r="A82" s="22" t="s">
        <v>53</v>
      </c>
      <c r="B82" s="22" t="s">
        <v>132</v>
      </c>
      <c r="C82" s="22" t="s">
        <v>133</v>
      </c>
      <c r="D82" s="22" t="s">
        <v>62</v>
      </c>
      <c r="E82" s="22" t="s">
        <v>63</v>
      </c>
      <c r="F82" s="9" t="n">
        <f>510</f>
        <v>510.0</v>
      </c>
      <c r="G82" s="10" t="n">
        <f>38.4</f>
        <v>38.4</v>
      </c>
      <c r="H82" s="10" t="n">
        <f>3</f>
        <v>3.0</v>
      </c>
      <c r="I82" s="11" t="n">
        <f>31.44</f>
        <v>31.44</v>
      </c>
      <c r="J82" s="11" t="n">
        <f>400.11</f>
        <v>400.11</v>
      </c>
      <c r="K82" s="10" t="n">
        <f>73.8</f>
        <v>73.8</v>
      </c>
      <c r="L82" s="10" t="n">
        <f>3.6</f>
        <v>3.6</v>
      </c>
      <c r="M82" s="21" t="n">
        <f>89124795667</f>
        <v>8.9124795667E10</v>
      </c>
      <c r="N82" s="21" t="n">
        <f>1832149892186</f>
        <v>1.832149892186E12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8</f>
        <v>8.0</v>
      </c>
      <c r="G85" s="10" t="n">
        <f>25.7</f>
        <v>25.7</v>
      </c>
      <c r="H85" s="10" t="n">
        <f>2.4</f>
        <v>2.4</v>
      </c>
      <c r="I85" s="11" t="n">
        <f>58.04</f>
        <v>58.04</v>
      </c>
      <c r="J85" s="11" t="n">
        <f>626.47</f>
        <v>626.47</v>
      </c>
      <c r="K85" s="10" t="n">
        <f>37</f>
        <v>37.0</v>
      </c>
      <c r="L85" s="10" t="n">
        <f>3.3</f>
        <v>3.3</v>
      </c>
      <c r="M85" s="21" t="n">
        <f>2480000000</f>
        <v>2.48E9</v>
      </c>
      <c r="N85" s="21" t="n">
        <f>27764000000</f>
        <v>2.7764E10</v>
      </c>
    </row>
    <row r="86">
      <c r="A86" s="22" t="s">
        <v>53</v>
      </c>
      <c r="B86" s="22" t="s">
        <v>132</v>
      </c>
      <c r="C86" s="22" t="s">
        <v>133</v>
      </c>
      <c r="D86" s="22" t="s">
        <v>70</v>
      </c>
      <c r="E86" s="22" t="s">
        <v>71</v>
      </c>
      <c r="F86" s="9" t="n">
        <f>4</f>
        <v>4.0</v>
      </c>
      <c r="G86" s="10" t="n">
        <f>70</f>
        <v>70.0</v>
      </c>
      <c r="H86" s="10" t="n">
        <f>4.3</f>
        <v>4.3</v>
      </c>
      <c r="I86" s="11" t="n">
        <f>14.79</f>
        <v>14.79</v>
      </c>
      <c r="J86" s="11" t="n">
        <f>241.5</f>
        <v>241.5</v>
      </c>
      <c r="K86" s="10" t="n">
        <f>81.5</f>
        <v>81.5</v>
      </c>
      <c r="L86" s="10" t="n">
        <f>6.1</f>
        <v>6.1</v>
      </c>
      <c r="M86" s="21" t="n">
        <f>815000000</f>
        <v>8.15E8</v>
      </c>
      <c r="N86" s="21" t="n">
        <f>10966000000</f>
        <v>1.0966E10</v>
      </c>
    </row>
    <row r="87">
      <c r="A87" s="22" t="s">
        <v>53</v>
      </c>
      <c r="B87" s="22" t="s">
        <v>132</v>
      </c>
      <c r="C87" s="22" t="s">
        <v>133</v>
      </c>
      <c r="D87" s="22" t="s">
        <v>72</v>
      </c>
      <c r="E87" s="22" t="s">
        <v>73</v>
      </c>
      <c r="F87" s="9" t="n">
        <f>1</f>
        <v>1.0</v>
      </c>
      <c r="G87" s="10" t="n">
        <f>29.2</f>
        <v>29.2</v>
      </c>
      <c r="H87" s="10" t="n">
        <f>13.5</f>
        <v>13.5</v>
      </c>
      <c r="I87" s="11" t="n">
        <f>138.94</f>
        <v>138.94</v>
      </c>
      <c r="J87" s="11" t="n">
        <f>300.01</f>
        <v>300.01</v>
      </c>
      <c r="K87" s="10" t="n">
        <f>29.2</f>
        <v>29.2</v>
      </c>
      <c r="L87" s="10" t="n">
        <f>13.5</f>
        <v>13.5</v>
      </c>
      <c r="M87" s="21" t="n">
        <f>1061000000</f>
        <v>1.061E9</v>
      </c>
      <c r="N87" s="21" t="n">
        <f>2291000000</f>
        <v>2.291E9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7</f>
        <v>7.0</v>
      </c>
      <c r="G89" s="10" t="n">
        <f>19.4</f>
        <v>19.4</v>
      </c>
      <c r="H89" s="10" t="n">
        <f>2</f>
        <v>2.0</v>
      </c>
      <c r="I89" s="11" t="n">
        <f>59.58</f>
        <v>59.58</v>
      </c>
      <c r="J89" s="11" t="n">
        <f>575.05</f>
        <v>575.05</v>
      </c>
      <c r="K89" s="10" t="n">
        <f>48</f>
        <v>48.0</v>
      </c>
      <c r="L89" s="10" t="n">
        <f>5.5</f>
        <v>5.5</v>
      </c>
      <c r="M89" s="21" t="n">
        <f>3577712000</f>
        <v>3.577712E9</v>
      </c>
      <c r="N89" s="21" t="n">
        <f>31298430000</f>
        <v>3.129843E10</v>
      </c>
    </row>
    <row r="90">
      <c r="A90" s="22" t="s">
        <v>53</v>
      </c>
      <c r="B90" s="22" t="s">
        <v>132</v>
      </c>
      <c r="C90" s="22" t="s">
        <v>133</v>
      </c>
      <c r="D90" s="22" t="s">
        <v>78</v>
      </c>
      <c r="E90" s="22" t="s">
        <v>79</v>
      </c>
      <c r="F90" s="9" t="n">
        <f>38</f>
        <v>38.0</v>
      </c>
      <c r="G90" s="10" t="str">
        <f>"－"</f>
        <v>－</v>
      </c>
      <c r="H90" s="10" t="n">
        <f>5</f>
        <v>5.0</v>
      </c>
      <c r="I90" s="11" t="n">
        <f>-35.24</f>
        <v>-35.24</v>
      </c>
      <c r="J90" s="11" t="n">
        <f>128.47</f>
        <v>128.47</v>
      </c>
      <c r="K90" s="10" t="str">
        <f>"－"</f>
        <v>－</v>
      </c>
      <c r="L90" s="10" t="n">
        <f>5.7</f>
        <v>5.7</v>
      </c>
      <c r="M90" s="21" t="n">
        <f>-68723000000</f>
        <v>-6.8723E10</v>
      </c>
      <c r="N90" s="21" t="n">
        <f>139483000000</f>
        <v>1.39483E11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n">
        <f>13.6</f>
        <v>13.6</v>
      </c>
      <c r="H95" s="10" t="n">
        <f>1.6</f>
        <v>1.6</v>
      </c>
      <c r="I95" s="11" t="n">
        <f>97.85</f>
        <v>97.85</v>
      </c>
      <c r="J95" s="11" t="n">
        <f>840.76</f>
        <v>840.76</v>
      </c>
      <c r="K95" s="10" t="n">
        <f>16</f>
        <v>16.0</v>
      </c>
      <c r="L95" s="10" t="n">
        <f>1.3</f>
        <v>1.3</v>
      </c>
      <c r="M95" s="21" t="n">
        <f>439000000</f>
        <v>4.39E8</v>
      </c>
      <c r="N95" s="21" t="n">
        <f>5324000000</f>
        <v>5.324E9</v>
      </c>
    </row>
    <row r="96">
      <c r="A96" s="22" t="s">
        <v>53</v>
      </c>
      <c r="B96" s="22" t="s">
        <v>132</v>
      </c>
      <c r="C96" s="22" t="s">
        <v>133</v>
      </c>
      <c r="D96" s="22" t="s">
        <v>90</v>
      </c>
      <c r="E96" s="22" t="s">
        <v>91</v>
      </c>
      <c r="F96" s="9" t="n">
        <f>1</f>
        <v>1.0</v>
      </c>
      <c r="G96" s="10" t="n">
        <f>86.3</f>
        <v>86.3</v>
      </c>
      <c r="H96" s="10" t="n">
        <f>19.4</f>
        <v>19.4</v>
      </c>
      <c r="I96" s="11" t="n">
        <f>101.85</f>
        <v>101.85</v>
      </c>
      <c r="J96" s="11" t="n">
        <f>452.41</f>
        <v>452.41</v>
      </c>
      <c r="K96" s="10" t="n">
        <f>86.3</f>
        <v>86.3</v>
      </c>
      <c r="L96" s="10" t="n">
        <f>19.4</f>
        <v>19.4</v>
      </c>
      <c r="M96" s="21" t="n">
        <f>901000000</f>
        <v>9.01E8</v>
      </c>
      <c r="N96" s="21" t="n">
        <f>4002000000</f>
        <v>4.002E9</v>
      </c>
    </row>
    <row r="97">
      <c r="A97" s="22" t="s">
        <v>53</v>
      </c>
      <c r="B97" s="22" t="s">
        <v>132</v>
      </c>
      <c r="C97" s="22" t="s">
        <v>133</v>
      </c>
      <c r="D97" s="22" t="s">
        <v>92</v>
      </c>
      <c r="E97" s="22" t="s">
        <v>93</v>
      </c>
      <c r="F97" s="9" t="n">
        <f>4</f>
        <v>4.0</v>
      </c>
      <c r="G97" s="10" t="n">
        <f>168.8</f>
        <v>168.8</v>
      </c>
      <c r="H97" s="10" t="n">
        <f>3.9</f>
        <v>3.9</v>
      </c>
      <c r="I97" s="11" t="n">
        <f>5.01</f>
        <v>5.01</v>
      </c>
      <c r="J97" s="11" t="n">
        <f>219.65</f>
        <v>219.65</v>
      </c>
      <c r="K97" s="10" t="n">
        <f>155.5</f>
        <v>155.5</v>
      </c>
      <c r="L97" s="10" t="n">
        <f>3.6</f>
        <v>3.6</v>
      </c>
      <c r="M97" s="21" t="n">
        <f>351000000</f>
        <v>3.51E8</v>
      </c>
      <c r="N97" s="21" t="n">
        <f>15311000000</f>
        <v>1.5311E10</v>
      </c>
    </row>
    <row r="98">
      <c r="A98" s="22" t="s">
        <v>53</v>
      </c>
      <c r="B98" s="22" t="s">
        <v>132</v>
      </c>
      <c r="C98" s="22" t="s">
        <v>133</v>
      </c>
      <c r="D98" s="22" t="s">
        <v>94</v>
      </c>
      <c r="E98" s="22" t="s">
        <v>95</v>
      </c>
      <c r="F98" s="9" t="n">
        <f>6</f>
        <v>6.0</v>
      </c>
      <c r="G98" s="10" t="str">
        <f>"－"</f>
        <v>－</v>
      </c>
      <c r="H98" s="10" t="n">
        <f>2.8</f>
        <v>2.8</v>
      </c>
      <c r="I98" s="11" t="n">
        <f>-31.56</f>
        <v>-31.56</v>
      </c>
      <c r="J98" s="11" t="n">
        <f>330.34</f>
        <v>330.34</v>
      </c>
      <c r="K98" s="10" t="str">
        <f>"－"</f>
        <v>－</v>
      </c>
      <c r="L98" s="10" t="n">
        <f>2.8</f>
        <v>2.8</v>
      </c>
      <c r="M98" s="21" t="n">
        <f>-3045000000</f>
        <v>-3.045E9</v>
      </c>
      <c r="N98" s="21" t="n">
        <f>19535000000</f>
        <v>1.9535E10</v>
      </c>
    </row>
    <row r="99">
      <c r="A99" s="22" t="s">
        <v>53</v>
      </c>
      <c r="B99" s="22" t="s">
        <v>132</v>
      </c>
      <c r="C99" s="22" t="s">
        <v>133</v>
      </c>
      <c r="D99" s="22" t="s">
        <v>96</v>
      </c>
      <c r="E99" s="22" t="s">
        <v>97</v>
      </c>
      <c r="F99" s="9" t="n">
        <f>4</f>
        <v>4.0</v>
      </c>
      <c r="G99" s="10" t="n">
        <f>19.6</f>
        <v>19.6</v>
      </c>
      <c r="H99" s="10" t="n">
        <f>4.3</f>
        <v>4.3</v>
      </c>
      <c r="I99" s="11" t="n">
        <f>167.06</f>
        <v>167.06</v>
      </c>
      <c r="J99" s="11" t="n">
        <f>766.1</f>
        <v>766.1</v>
      </c>
      <c r="K99" s="10" t="n">
        <f>44.5</f>
        <v>44.5</v>
      </c>
      <c r="L99" s="10" t="n">
        <f>4.9</f>
        <v>4.9</v>
      </c>
      <c r="M99" s="21" t="n">
        <f>2432000000</f>
        <v>2.432E9</v>
      </c>
      <c r="N99" s="21" t="n">
        <f>21981000000</f>
        <v>2.1981E10</v>
      </c>
    </row>
    <row r="100">
      <c r="A100" s="22" t="s">
        <v>53</v>
      </c>
      <c r="B100" s="22" t="s">
        <v>132</v>
      </c>
      <c r="C100" s="22" t="s">
        <v>133</v>
      </c>
      <c r="D100" s="22" t="s">
        <v>98</v>
      </c>
      <c r="E100" s="22" t="s">
        <v>99</v>
      </c>
      <c r="F100" s="9" t="n">
        <f>7</f>
        <v>7.0</v>
      </c>
      <c r="G100" s="10" t="str">
        <f>"－"</f>
        <v>－</v>
      </c>
      <c r="H100" s="10" t="n">
        <f>4.9</f>
        <v>4.9</v>
      </c>
      <c r="I100" s="11" t="n">
        <f>-15.72</f>
        <v>-15.72</v>
      </c>
      <c r="J100" s="11" t="n">
        <f>189.81</f>
        <v>189.81</v>
      </c>
      <c r="K100" s="10" t="str">
        <f>"－"</f>
        <v>－</v>
      </c>
      <c r="L100" s="10" t="n">
        <f>2.9</f>
        <v>2.9</v>
      </c>
      <c r="M100" s="21" t="n">
        <f>-4873000000</f>
        <v>-4.873E9</v>
      </c>
      <c r="N100" s="21" t="n">
        <f>61633000000</f>
        <v>6.1633E10</v>
      </c>
    </row>
    <row r="101">
      <c r="A101" s="22" t="s">
        <v>53</v>
      </c>
      <c r="B101" s="22" t="s">
        <v>132</v>
      </c>
      <c r="C101" s="22" t="s">
        <v>133</v>
      </c>
      <c r="D101" s="22" t="s">
        <v>100</v>
      </c>
      <c r="E101" s="22" t="s">
        <v>101</v>
      </c>
      <c r="F101" s="9" t="n">
        <f>6</f>
        <v>6.0</v>
      </c>
      <c r="G101" s="10" t="n">
        <f>36.2</f>
        <v>36.2</v>
      </c>
      <c r="H101" s="10" t="n">
        <f>2.6</f>
        <v>2.6</v>
      </c>
      <c r="I101" s="11" t="n">
        <f>41.48</f>
        <v>41.48</v>
      </c>
      <c r="J101" s="11" t="n">
        <f>584.27</f>
        <v>584.27</v>
      </c>
      <c r="K101" s="10" t="n">
        <f>45</f>
        <v>45.0</v>
      </c>
      <c r="L101" s="10" t="n">
        <f>2.7</f>
        <v>2.7</v>
      </c>
      <c r="M101" s="21" t="n">
        <f>4838000000</f>
        <v>4.838E9</v>
      </c>
      <c r="N101" s="21" t="n">
        <f>80286000000</f>
        <v>8.0286E10</v>
      </c>
    </row>
    <row r="102">
      <c r="A102" s="22" t="s">
        <v>53</v>
      </c>
      <c r="B102" s="22" t="s">
        <v>132</v>
      </c>
      <c r="C102" s="22" t="s">
        <v>133</v>
      </c>
      <c r="D102" s="22" t="s">
        <v>102</v>
      </c>
      <c r="E102" s="22" t="s">
        <v>103</v>
      </c>
      <c r="F102" s="9" t="n">
        <f>2</f>
        <v>2.0</v>
      </c>
      <c r="G102" s="10" t="n">
        <f>21.7</f>
        <v>21.7</v>
      </c>
      <c r="H102" s="10" t="n">
        <f>4.8</f>
        <v>4.8</v>
      </c>
      <c r="I102" s="11" t="n">
        <f>81.82</f>
        <v>81.82</v>
      </c>
      <c r="J102" s="11" t="n">
        <f>369.9</f>
        <v>369.9</v>
      </c>
      <c r="K102" s="10" t="n">
        <f>20.7</f>
        <v>20.7</v>
      </c>
      <c r="L102" s="10" t="n">
        <f>4.6</f>
        <v>4.6</v>
      </c>
      <c r="M102" s="21" t="n">
        <f>4104000000</f>
        <v>4.104E9</v>
      </c>
      <c r="N102" s="21" t="n">
        <f>18466000000</f>
        <v>1.8466E10</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12.6</f>
        <v>12.6</v>
      </c>
      <c r="H105" s="10" t="n">
        <f>1</f>
        <v>1.0</v>
      </c>
      <c r="I105" s="11" t="n">
        <f>35.57</f>
        <v>35.57</v>
      </c>
      <c r="J105" s="11" t="n">
        <f>449.52</f>
        <v>449.52</v>
      </c>
      <c r="K105" s="10" t="n">
        <f>12.6</f>
        <v>12.6</v>
      </c>
      <c r="L105" s="10" t="n">
        <f>1</f>
        <v>1.0</v>
      </c>
      <c r="M105" s="21" t="n">
        <f>2146000000</f>
        <v>2.146E9</v>
      </c>
      <c r="N105" s="21" t="n">
        <f>27119000000</f>
        <v>2.7119E10</v>
      </c>
    </row>
    <row r="106">
      <c r="A106" s="22" t="s">
        <v>53</v>
      </c>
      <c r="B106" s="22" t="s">
        <v>132</v>
      </c>
      <c r="C106" s="22" t="s">
        <v>133</v>
      </c>
      <c r="D106" s="22" t="s">
        <v>110</v>
      </c>
      <c r="E106" s="22" t="s">
        <v>111</v>
      </c>
      <c r="F106" s="9" t="n">
        <f>1</f>
        <v>1.0</v>
      </c>
      <c r="G106" s="10" t="str">
        <f>"－"</f>
        <v>－</v>
      </c>
      <c r="H106" s="10" t="n">
        <f>2.3</f>
        <v>2.3</v>
      </c>
      <c r="I106" s="11" t="n">
        <f>-82.27</f>
        <v>-82.27</v>
      </c>
      <c r="J106" s="11" t="n">
        <f>202.85</f>
        <v>202.85</v>
      </c>
      <c r="K106" s="10" t="str">
        <f>"－"</f>
        <v>－</v>
      </c>
      <c r="L106" s="10" t="n">
        <f>2.3</f>
        <v>2.3</v>
      </c>
      <c r="M106" s="21" t="n">
        <f>-848000000</f>
        <v>-8.48E8</v>
      </c>
      <c r="N106" s="21" t="n">
        <f>2091000000</f>
        <v>2.091E9</v>
      </c>
    </row>
    <row r="107">
      <c r="A107" s="22" t="s">
        <v>53</v>
      </c>
      <c r="B107" s="22" t="s">
        <v>132</v>
      </c>
      <c r="C107" s="22" t="s">
        <v>133</v>
      </c>
      <c r="D107" s="22" t="s">
        <v>112</v>
      </c>
      <c r="E107" s="22" t="s">
        <v>113</v>
      </c>
      <c r="F107" s="9" t="n">
        <f>246</f>
        <v>246.0</v>
      </c>
      <c r="G107" s="10" t="n">
        <f>58.1</f>
        <v>58.1</v>
      </c>
      <c r="H107" s="10" t="n">
        <f>3.6</f>
        <v>3.6</v>
      </c>
      <c r="I107" s="11" t="n">
        <f>21.03</f>
        <v>21.03</v>
      </c>
      <c r="J107" s="11" t="n">
        <f>335.98</f>
        <v>335.98</v>
      </c>
      <c r="K107" s="10" t="n">
        <f>153.6</f>
        <v>153.6</v>
      </c>
      <c r="L107" s="10" t="n">
        <f>4.4</f>
        <v>4.4</v>
      </c>
      <c r="M107" s="21" t="n">
        <f>20319872667</f>
        <v>2.0319872667E10</v>
      </c>
      <c r="N107" s="21" t="n">
        <f>708884415000</f>
        <v>7.08884415E11</v>
      </c>
    </row>
    <row r="108">
      <c r="A108" s="22" t="s">
        <v>53</v>
      </c>
      <c r="B108" s="22" t="s">
        <v>132</v>
      </c>
      <c r="C108" s="22" t="s">
        <v>133</v>
      </c>
      <c r="D108" s="22" t="s">
        <v>114</v>
      </c>
      <c r="E108" s="22" t="s">
        <v>115</v>
      </c>
      <c r="F108" s="9" t="n">
        <f>10</f>
        <v>10.0</v>
      </c>
      <c r="G108" s="10" t="str">
        <f>"－"</f>
        <v>－</v>
      </c>
      <c r="H108" s="10" t="n">
        <f>3.2</f>
        <v>3.2</v>
      </c>
      <c r="I108" s="11" t="n">
        <f>-0.88</f>
        <v>-0.88</v>
      </c>
      <c r="J108" s="11" t="n">
        <f>294.46</f>
        <v>294.46</v>
      </c>
      <c r="K108" s="10" t="n">
        <f>159.1</f>
        <v>159.1</v>
      </c>
      <c r="L108" s="10" t="n">
        <f>4.8</f>
        <v>4.8</v>
      </c>
      <c r="M108" s="21" t="n">
        <f>1059000000</f>
        <v>1.059E9</v>
      </c>
      <c r="N108" s="21" t="n">
        <f>35459000000</f>
        <v>3.5459E10</v>
      </c>
    </row>
    <row r="109">
      <c r="A109" s="22" t="s">
        <v>53</v>
      </c>
      <c r="B109" s="22" t="s">
        <v>132</v>
      </c>
      <c r="C109" s="22" t="s">
        <v>133</v>
      </c>
      <c r="D109" s="22" t="s">
        <v>116</v>
      </c>
      <c r="E109" s="22" t="s">
        <v>117</v>
      </c>
      <c r="F109" s="9" t="n">
        <f>32</f>
        <v>32.0</v>
      </c>
      <c r="G109" s="10" t="n">
        <f>32.6</f>
        <v>32.6</v>
      </c>
      <c r="H109" s="10" t="n">
        <f>2.8</f>
        <v>2.8</v>
      </c>
      <c r="I109" s="11" t="n">
        <f>38.36</f>
        <v>38.36</v>
      </c>
      <c r="J109" s="11" t="n">
        <f>443</f>
        <v>443.0</v>
      </c>
      <c r="K109" s="10" t="n">
        <f>33</f>
        <v>33.0</v>
      </c>
      <c r="L109" s="10" t="n">
        <f>2.5</f>
        <v>2.5</v>
      </c>
      <c r="M109" s="21" t="n">
        <f>15575936000</f>
        <v>1.5575936E10</v>
      </c>
      <c r="N109" s="21" t="n">
        <f>206002343186</f>
        <v>2.06002343186E11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8</f>
        <v>8.0</v>
      </c>
      <c r="H111" s="10" t="n">
        <f>1.8</f>
        <v>1.8</v>
      </c>
      <c r="I111" s="11" t="n">
        <f>362</f>
        <v>362.0</v>
      </c>
      <c r="J111" s="11" t="n">
        <f>1631.19</f>
        <v>1631.19</v>
      </c>
      <c r="K111" s="10" t="n">
        <f>7.6</f>
        <v>7.6</v>
      </c>
      <c r="L111" s="10" t="n">
        <f>2</f>
        <v>2.0</v>
      </c>
      <c r="M111" s="21" t="n">
        <f>23979000000</f>
        <v>2.3979E10</v>
      </c>
      <c r="N111" s="21" t="n">
        <f>89815000000</f>
        <v>8.9815E10</v>
      </c>
    </row>
    <row r="112">
      <c r="A112" s="22" t="s">
        <v>53</v>
      </c>
      <c r="B112" s="22" t="s">
        <v>132</v>
      </c>
      <c r="C112" s="22" t="s">
        <v>133</v>
      </c>
      <c r="D112" s="22" t="s">
        <v>122</v>
      </c>
      <c r="E112" s="22" t="s">
        <v>123</v>
      </c>
      <c r="F112" s="9" t="n">
        <f>3</f>
        <v>3.0</v>
      </c>
      <c r="G112" s="10" t="n">
        <f>21.8</f>
        <v>21.8</v>
      </c>
      <c r="H112" s="10" t="n">
        <f>1.3</f>
        <v>1.3</v>
      </c>
      <c r="I112" s="11" t="n">
        <f>56.39</f>
        <v>56.39</v>
      </c>
      <c r="J112" s="11" t="n">
        <f>945.37</f>
        <v>945.37</v>
      </c>
      <c r="K112" s="10" t="n">
        <f>20.3</f>
        <v>20.3</v>
      </c>
      <c r="L112" s="10" t="n">
        <f>1.1</f>
        <v>1.1</v>
      </c>
      <c r="M112" s="21" t="n">
        <f>2654000000</f>
        <v>2.654E9</v>
      </c>
      <c r="N112" s="21" t="n">
        <f>50422000000</f>
        <v>5.0422E10</v>
      </c>
    </row>
    <row r="113">
      <c r="A113" s="22" t="s">
        <v>53</v>
      </c>
      <c r="B113" s="22" t="s">
        <v>132</v>
      </c>
      <c r="C113" s="22" t="s">
        <v>133</v>
      </c>
      <c r="D113" s="22" t="s">
        <v>124</v>
      </c>
      <c r="E113" s="22" t="s">
        <v>125</v>
      </c>
      <c r="F113" s="9" t="n">
        <f>4</f>
        <v>4.0</v>
      </c>
      <c r="G113" s="10" t="str">
        <f>"－"</f>
        <v>－</v>
      </c>
      <c r="H113" s="10" t="n">
        <f>3.7</f>
        <v>3.7</v>
      </c>
      <c r="I113" s="11" t="n">
        <f>-14.91</f>
        <v>-14.91</v>
      </c>
      <c r="J113" s="11" t="n">
        <f>210.56</f>
        <v>210.56</v>
      </c>
      <c r="K113" s="10" t="str">
        <f>"－"</f>
        <v>－</v>
      </c>
      <c r="L113" s="10" t="n">
        <f>3.3</f>
        <v>3.3</v>
      </c>
      <c r="M113" s="21" t="n">
        <f>-1419000000</f>
        <v>-1.419E9</v>
      </c>
      <c r="N113" s="21" t="n">
        <f>10098000000</f>
        <v>1.0098E10</v>
      </c>
    </row>
    <row r="114">
      <c r="A114" s="22" t="s">
        <v>53</v>
      </c>
      <c r="B114" s="22" t="s">
        <v>132</v>
      </c>
      <c r="C114" s="22" t="s">
        <v>133</v>
      </c>
      <c r="D114" s="22" t="s">
        <v>126</v>
      </c>
      <c r="E114" s="22" t="s">
        <v>127</v>
      </c>
      <c r="F114" s="9" t="n">
        <f>18</f>
        <v>18.0</v>
      </c>
      <c r="G114" s="10" t="n">
        <f>15.9</f>
        <v>15.9</v>
      </c>
      <c r="H114" s="10" t="n">
        <f>2.5</f>
        <v>2.5</v>
      </c>
      <c r="I114" s="11" t="n">
        <f>114.36</f>
        <v>114.36</v>
      </c>
      <c r="J114" s="11" t="n">
        <f>723.11</f>
        <v>723.11</v>
      </c>
      <c r="K114" s="10" t="n">
        <f>19.4</f>
        <v>19.4</v>
      </c>
      <c r="L114" s="10" t="n">
        <f>2.4</f>
        <v>2.4</v>
      </c>
      <c r="M114" s="21" t="n">
        <f>20692000000</f>
        <v>2.0692E10</v>
      </c>
      <c r="N114" s="21" t="n">
        <f>166697000000</f>
        <v>1.66697E11</v>
      </c>
    </row>
    <row r="115">
      <c r="A115" s="22" t="s">
        <v>53</v>
      </c>
      <c r="B115" s="22" t="s">
        <v>132</v>
      </c>
      <c r="C115" s="22" t="s">
        <v>133</v>
      </c>
      <c r="D115" s="22" t="s">
        <v>128</v>
      </c>
      <c r="E115" s="22" t="s">
        <v>129</v>
      </c>
      <c r="F115" s="9" t="n">
        <f>192</f>
        <v>192.0</v>
      </c>
      <c r="G115" s="10" t="n">
        <f>30.9</f>
        <v>30.9</v>
      </c>
      <c r="H115" s="10" t="n">
        <f>2.6</f>
        <v>2.6</v>
      </c>
      <c r="I115" s="11" t="n">
        <f>36.48</f>
        <v>36.48</v>
      </c>
      <c r="J115" s="11" t="n">
        <f>442</f>
        <v>442.0</v>
      </c>
      <c r="K115" s="10" t="n">
        <f>91.8</f>
        <v>91.8</v>
      </c>
      <c r="L115" s="10" t="n">
        <f>3.4</f>
        <v>3.4</v>
      </c>
      <c r="M115" s="21" t="n">
        <f>23595987000</f>
        <v>2.3595987E10</v>
      </c>
      <c r="N115" s="21" t="n">
        <f>639667134000</f>
        <v>6.39667134E11</v>
      </c>
    </row>
    <row r="116">
      <c r="A116" s="22" t="s">
        <v>53</v>
      </c>
      <c r="B116" s="22" t="s">
        <v>134</v>
      </c>
      <c r="C116" s="22" t="s">
        <v>134</v>
      </c>
      <c r="D116" s="22" t="s">
        <v>135</v>
      </c>
      <c r="E116" s="22" t="s">
        <v>136</v>
      </c>
      <c r="F116" s="9" t="n">
        <f>101</f>
        <v>101.0</v>
      </c>
      <c r="G116" s="10" t="n">
        <f>23</f>
        <v>23.0</v>
      </c>
      <c r="H116" s="10" t="n">
        <f>2.4</f>
        <v>2.4</v>
      </c>
      <c r="I116" s="11" t="n">
        <f>319.38</f>
        <v>319.38</v>
      </c>
      <c r="J116" s="11" t="n">
        <f>3004.93</f>
        <v>3004.93</v>
      </c>
      <c r="K116" s="10" t="n">
        <f>18.8</f>
        <v>18.8</v>
      </c>
      <c r="L116" s="10" t="n">
        <f>1.8</f>
        <v>1.8</v>
      </c>
      <c r="M116" s="21" t="n">
        <f>39414228000000</f>
        <v>3.9414228E13</v>
      </c>
      <c r="N116" s="21" t="n">
        <f>410606901000000</f>
        <v>4.10606901E14</v>
      </c>
    </row>
    <row r="117">
      <c r="A117" s="22" t="s">
        <v>53</v>
      </c>
      <c r="B117" s="22" t="s">
        <v>134</v>
      </c>
      <c r="C117" s="22" t="s">
        <v>134</v>
      </c>
      <c r="D117" s="22" t="s">
        <v>137</v>
      </c>
      <c r="E117" s="22" t="s">
        <v>138</v>
      </c>
      <c r="F117" s="9" t="n">
        <f>399</f>
        <v>399.0</v>
      </c>
      <c r="G117" s="10" t="n">
        <f>18.7</f>
        <v>18.7</v>
      </c>
      <c r="H117" s="10" t="n">
        <f>1.6</f>
        <v>1.6</v>
      </c>
      <c r="I117" s="11" t="n">
        <f>201.83</f>
        <v>201.83</v>
      </c>
      <c r="J117" s="11" t="n">
        <f>2416.42</f>
        <v>2416.42</v>
      </c>
      <c r="K117" s="10" t="n">
        <f>18.7</f>
        <v>18.7</v>
      </c>
      <c r="L117" s="10" t="n">
        <f>1.4</f>
        <v>1.4</v>
      </c>
      <c r="M117" s="21" t="n">
        <f>16096122769534</f>
        <v>1.6096122769534E13</v>
      </c>
      <c r="N117" s="21" t="n">
        <f>218623969397278</f>
        <v>2.18623969397278E14</v>
      </c>
    </row>
    <row r="118">
      <c r="A118" s="22" t="s">
        <v>53</v>
      </c>
      <c r="B118" s="22" t="s">
        <v>134</v>
      </c>
      <c r="C118" s="22" t="s">
        <v>134</v>
      </c>
      <c r="D118" s="22" t="s">
        <v>139</v>
      </c>
      <c r="E118" s="22" t="s">
        <v>140</v>
      </c>
      <c r="F118" s="9" t="n">
        <f>1172</f>
        <v>1172.0</v>
      </c>
      <c r="G118" s="10" t="n">
        <f>15.7</f>
        <v>15.7</v>
      </c>
      <c r="H118" s="10" t="n">
        <f>1.1</f>
        <v>1.1</v>
      </c>
      <c r="I118" s="11" t="n">
        <f>143.91</f>
        <v>143.91</v>
      </c>
      <c r="J118" s="11" t="n">
        <f>1977.58</f>
        <v>1977.58</v>
      </c>
      <c r="K118" s="10" t="n">
        <f>16.7</f>
        <v>16.7</v>
      </c>
      <c r="L118" s="10" t="n">
        <f>1.2</f>
        <v>1.2</v>
      </c>
      <c r="M118" s="21" t="n">
        <f>5950561607317</f>
        <v>5.950561607317E12</v>
      </c>
      <c r="N118" s="21" t="n">
        <f>86186512483839</f>
        <v>8.6186512483839E13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1325</f>
        <v>1325.0</v>
      </c>
      <c r="E6" s="23" t="n">
        <f>21.3</f>
        <v>21.3</v>
      </c>
      <c r="F6" s="23" t="n">
        <f>2</f>
        <v>2.0</v>
      </c>
      <c r="G6" s="11" t="n">
        <f>142.7</f>
        <v>142.7</v>
      </c>
      <c r="H6" s="11" t="n">
        <f>1533.47</f>
        <v>1533.47</v>
      </c>
      <c r="I6" s="23" t="n">
        <f>23.3</f>
        <v>23.3</v>
      </c>
      <c r="J6" s="23" t="n">
        <f>3</f>
        <v>3.0</v>
      </c>
      <c r="K6" s="24" t="n">
        <f>38252840348279</f>
        <v>3.8252840348279E13</v>
      </c>
      <c r="L6" s="24" t="n">
        <f>296295837655806</f>
        <v>2.96295837655806E14</v>
      </c>
    </row>
    <row r="7">
      <c r="A7" s="22" t="s">
        <v>53</v>
      </c>
      <c r="B7" s="22" t="s">
        <v>130</v>
      </c>
      <c r="C7" s="22" t="s">
        <v>131</v>
      </c>
      <c r="D7" s="9" t="n">
        <f>1328</f>
        <v>1328.0</v>
      </c>
      <c r="E7" s="23" t="n">
        <f>16.7</f>
        <v>16.7</v>
      </c>
      <c r="F7" s="23" t="n">
        <f>1.1</f>
        <v>1.1</v>
      </c>
      <c r="G7" s="11" t="n">
        <f>96.53</f>
        <v>96.53</v>
      </c>
      <c r="H7" s="11" t="n">
        <f>1501.52</f>
        <v>1501.52</v>
      </c>
      <c r="I7" s="23" t="n">
        <f>21</f>
        <v>21.0</v>
      </c>
      <c r="J7" s="23" t="n">
        <f>1.5</f>
        <v>1.5</v>
      </c>
      <c r="K7" s="24" t="n">
        <f>1269491610678</f>
        <v>1.269491610678E12</v>
      </c>
      <c r="L7" s="24" t="n">
        <f>18187671390216</f>
        <v>1.8187671390216E13</v>
      </c>
    </row>
    <row r="8">
      <c r="A8" s="22" t="s">
        <v>53</v>
      </c>
      <c r="B8" s="22" t="s">
        <v>132</v>
      </c>
      <c r="C8" s="22" t="s">
        <v>133</v>
      </c>
      <c r="D8" s="9" t="n">
        <f>515</f>
        <v>515.0</v>
      </c>
      <c r="E8" s="23" t="n">
        <f>47</f>
        <v>47.0</v>
      </c>
      <c r="F8" s="23" t="n">
        <f>3.3</f>
        <v>3.3</v>
      </c>
      <c r="G8" s="11" t="n">
        <f>24.24</f>
        <v>24.24</v>
      </c>
      <c r="H8" s="11" t="n">
        <f>346.72</f>
        <v>346.72</v>
      </c>
      <c r="I8" s="23" t="str">
        <f>"＊"</f>
        <v>＊</v>
      </c>
      <c r="J8" s="23" t="n">
        <f>4.2</f>
        <v>4.2</v>
      </c>
      <c r="K8" s="24" t="n">
        <f>4488071000</f>
        <v>4.488071E9</v>
      </c>
      <c r="L8" s="24" t="n">
        <f>1604143314355</f>
        <v>1.604143314355E12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