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defaultThemeVersion="124226"/>
  <mc:AlternateContent>
    <mc:Choice Requires="x15">
      <x15ac:absPath xmlns:x15ac="http://schemas.microsoft.com/office/spreadsheetml/2010/11/ac" url="C:\ローカル\01_BO-X\svn\dev004_MarketChange\src\03_online-batch\04_xlsx\"/>
    </mc:Choice>
  </mc:AlternateContent>
  <xr:revisionPtr revIDLastSave="0" documentId="13_ncr:1_{406BDEAC-89FD-40ED-995F-56EF8468CFEB}" xr6:coauthVersionLast="47" xr6:coauthVersionMax="47" xr10:uidLastSave="{00000000-0000-0000-0000-000000000000}"/>
  <bookViews>
    <workbookView xWindow="-120" yWindow="-120" windowWidth="29040" windowHeight="15840" xr2:uid="{00000000-000D-0000-FFFF-FFFF00000000}"/>
  </bookViews>
  <sheets>
    <sheet name="規模別・業種別（連結）" sheetId="1" r:id="rId1"/>
    <sheet name="市場別（単体）" sheetId="2" r:id="rId2"/>
  </sheets>
  <definedNames>
    <definedName name="_xlnm.Print_Titles" localSheetId="0">'規模別・業種別（連結）'!$1:$4</definedName>
    <definedName name="_xlnm.Print_Titles" localSheetId="1">'市場別（単体）'!$1:$5</definedName>
  </definedNames>
  <calcPr calcId="191029"/>
</workbook>
</file>

<file path=xl/sharedStrings.xml><?xml version="1.0" encoding="utf-8"?>
<sst xmlns="http://schemas.openxmlformats.org/spreadsheetml/2006/main" count="638" uniqueCount="141">
  <si>
    <t>規模別・業種別　PER・PBR（連結）</t>
    <rPh sb="0" eb="3">
      <t>キボベツ</t>
    </rPh>
    <rPh sb="4" eb="6">
      <t>ギョウシュ</t>
    </rPh>
    <rPh sb="6" eb="7">
      <t>ベツ</t>
    </rPh>
    <rPh sb="16" eb="18">
      <t>レンケツ</t>
    </rPh>
    <phoneticPr fontId="3"/>
  </si>
  <si>
    <t>(注)1.集計対象は、連結財務諸表を作成している会社は連結、作成していない会社は単体の数値。
    2.「－」は該当数値なし、または、PER・PBRがマイナス値の場合。PER1000倍以上の場合は「＊」を表示</t>
    <phoneticPr fontId="6"/>
  </si>
  <si>
    <t>Notice 1.Figures for companies that produce consolidated financial statements are from those statements, and figures for
         companies that do not produce consolidated financial statements are from non-consolidated financial statements.
       2.""－"" represents no figure or PER・PBR&lt;0. ""＊"" represents PER&gt;1000.</t>
    <phoneticPr fontId="6"/>
  </si>
  <si>
    <t>Average PER and PBR by Size and Types of Industry（Consolidated）</t>
  </si>
  <si>
    <t>年月</t>
    <rPh sb="0" eb="2">
      <t>ネンゲツ</t>
    </rPh>
    <phoneticPr fontId="3"/>
  </si>
  <si>
    <t>市場区分名</t>
  </si>
  <si>
    <t>Section</t>
    <phoneticPr fontId="6"/>
  </si>
  <si>
    <t>種別</t>
    <rPh sb="0" eb="2">
      <t>シュベツ</t>
    </rPh>
    <phoneticPr fontId="3"/>
  </si>
  <si>
    <t>Industry</t>
    <phoneticPr fontId="2"/>
  </si>
  <si>
    <t>会社数</t>
    <rPh sb="0" eb="2">
      <t>カイシャ</t>
    </rPh>
    <rPh sb="2" eb="3">
      <t>スウ</t>
    </rPh>
    <phoneticPr fontId="3"/>
  </si>
  <si>
    <t>単純＿PER（倍）</t>
    <rPh sb="0" eb="2">
      <t>タンジュン</t>
    </rPh>
    <rPh sb="7" eb="8">
      <t>バイ</t>
    </rPh>
    <phoneticPr fontId="3"/>
  </si>
  <si>
    <t>単純＿PBR（倍）</t>
    <rPh sb="0" eb="2">
      <t>タンジュン</t>
    </rPh>
    <rPh sb="7" eb="8">
      <t>バイ</t>
    </rPh>
    <phoneticPr fontId="3"/>
  </si>
  <si>
    <t>単純＿1株当たり
当期純利益（円）</t>
    <rPh sb="0" eb="2">
      <t>タンジュン</t>
    </rPh>
    <rPh sb="4" eb="5">
      <t>カブ</t>
    </rPh>
    <rPh sb="5" eb="6">
      <t>ア</t>
    </rPh>
    <rPh sb="9" eb="11">
      <t>トウキ</t>
    </rPh>
    <rPh sb="11" eb="14">
      <t>ジュンリエキ</t>
    </rPh>
    <rPh sb="15" eb="16">
      <t>エン</t>
    </rPh>
    <phoneticPr fontId="3"/>
  </si>
  <si>
    <t>単純＿1株当たり
純資産（円）</t>
    <rPh sb="0" eb="2">
      <t>タンジュン</t>
    </rPh>
    <rPh sb="4" eb="5">
      <t>カブ</t>
    </rPh>
    <rPh sb="5" eb="6">
      <t>ア</t>
    </rPh>
    <rPh sb="9" eb="12">
      <t>ジュンシサン</t>
    </rPh>
    <rPh sb="13" eb="14">
      <t>エン</t>
    </rPh>
    <phoneticPr fontId="3"/>
  </si>
  <si>
    <t>加重＿PER（倍）</t>
    <rPh sb="0" eb="2">
      <t>カジュウ</t>
    </rPh>
    <rPh sb="7" eb="8">
      <t>バイ</t>
    </rPh>
    <phoneticPr fontId="3"/>
  </si>
  <si>
    <t>加重＿PBR（倍）</t>
    <rPh sb="0" eb="2">
      <t>カジュウ</t>
    </rPh>
    <rPh sb="7" eb="8">
      <t>バイ</t>
    </rPh>
    <phoneticPr fontId="3"/>
  </si>
  <si>
    <t>加重＿親会社株主に帰属する
当期純利益合計（円）</t>
    <rPh sb="0" eb="2">
      <t>カジュウ</t>
    </rPh>
    <rPh sb="3" eb="6">
      <t>オヤガイシャ</t>
    </rPh>
    <rPh sb="6" eb="8">
      <t>カブヌシ</t>
    </rPh>
    <rPh sb="9" eb="11">
      <t>キゾク</t>
    </rPh>
    <rPh sb="14" eb="16">
      <t>トウキ</t>
    </rPh>
    <rPh sb="16" eb="19">
      <t>ジュンリエキ</t>
    </rPh>
    <rPh sb="19" eb="21">
      <t>ゴウケイ</t>
    </rPh>
    <rPh sb="22" eb="23">
      <t>エン</t>
    </rPh>
    <phoneticPr fontId="3"/>
  </si>
  <si>
    <t>加重＿純資産合計（円）</t>
    <rPh sb="0" eb="2">
      <t>カジュウ</t>
    </rPh>
    <rPh sb="3" eb="6">
      <t>ジュンシサン</t>
    </rPh>
    <rPh sb="6" eb="8">
      <t>ゴウケイ</t>
    </rPh>
    <rPh sb="9" eb="10">
      <t>エン</t>
    </rPh>
    <phoneticPr fontId="3"/>
  </si>
  <si>
    <t>Year/Month</t>
  </si>
  <si>
    <t>No. of cos.</t>
  </si>
  <si>
    <t>Average_PER(times)</t>
  </si>
  <si>
    <t>Average_PBR(times)</t>
  </si>
  <si>
    <t>Average_Earnings
Per Share(Yen)</t>
    <phoneticPr fontId="2"/>
  </si>
  <si>
    <t>Average_Net Assets
Per Share(Yen)</t>
    <phoneticPr fontId="2"/>
  </si>
  <si>
    <t>Weighted average_
PER(times)</t>
    <phoneticPr fontId="2"/>
  </si>
  <si>
    <t>Weighted average_
PBR(times)</t>
    <phoneticPr fontId="2"/>
  </si>
  <si>
    <t>Weighted average_
Earnings(￥)</t>
    <phoneticPr fontId="2"/>
  </si>
  <si>
    <t>Weighted average_
Net Assets(￥)</t>
    <phoneticPr fontId="2"/>
  </si>
  <si>
    <t>市場別　PER・PBR（単体）</t>
    <rPh sb="0" eb="2">
      <t>シジョウ</t>
    </rPh>
    <rPh sb="2" eb="3">
      <t>ベツ</t>
    </rPh>
    <rPh sb="12" eb="14">
      <t>タンタイ</t>
    </rPh>
    <phoneticPr fontId="3"/>
  </si>
  <si>
    <t>(注)1.「－」は該当数値なし、または、PER・PBRがマイナス値の場合。PER1000倍以上の場合は「＊」を表示</t>
    <phoneticPr fontId="6"/>
  </si>
  <si>
    <t>Notice 1."－" represents no figure or PER・PBR&lt;0. "＊" represents PER&gt;1000.</t>
    <phoneticPr fontId="6"/>
  </si>
  <si>
    <t>Average PER and PBR by Section（Non-Consolidated）</t>
    <phoneticPr fontId="6"/>
  </si>
  <si>
    <t xml:space="preserve">       2.Figures of Net Income and Net Assets are based on the fixed figures during</t>
    <phoneticPr fontId="6"/>
  </si>
  <si>
    <t>Section</t>
    <phoneticPr fontId="6"/>
  </si>
  <si>
    <t>会社数</t>
  </si>
  <si>
    <t>単純＿PER（倍）</t>
  </si>
  <si>
    <t>単純＿PBR（倍）</t>
    <phoneticPr fontId="6"/>
  </si>
  <si>
    <t>単純＿1株当たり
当期純利益（円）</t>
    <phoneticPr fontId="2"/>
  </si>
  <si>
    <t>単純＿1株当たり
純資産（円）</t>
    <phoneticPr fontId="2"/>
  </si>
  <si>
    <t>加重＿PER（倍）</t>
  </si>
  <si>
    <t>加重＿PBR（倍）</t>
  </si>
  <si>
    <t>加重＿当期純利益（円）</t>
    <phoneticPr fontId="2"/>
  </si>
  <si>
    <t>加重＿純資産（円）</t>
    <phoneticPr fontId="2"/>
  </si>
  <si>
    <t>Average_Earnings
Per Share(Yen)</t>
    <phoneticPr fontId="2"/>
  </si>
  <si>
    <t>Average_Net Assets
Per Share(Yen)</t>
    <phoneticPr fontId="2"/>
  </si>
  <si>
    <t>Weighted average_
PER(times)</t>
    <phoneticPr fontId="2"/>
  </si>
  <si>
    <t>Weighted average_
PBR(times)</t>
    <phoneticPr fontId="2"/>
  </si>
  <si>
    <t>Weighted average_
Earnings(￥)</t>
    <phoneticPr fontId="2"/>
  </si>
  <si>
    <t>Weighted average_
Net Assets(￥)</t>
    <phoneticPr fontId="2"/>
  </si>
  <si>
    <t xml:space="preserve">    3.本表の作成に当たって使用した親会社株主に帰属する当期純利益及び純資産は、2025年6月期～2026年5月期の確定数値である。</t>
  </si>
  <si>
    <t xml:space="preserve">       3.Figures of Net Income and Net Assets are based on the fixed figures during the term from June of 2025 to May of 2026.</t>
  </si>
  <si>
    <t xml:space="preserve">    2.本表の作成に当たって使用した当期純利益及び純資産は、2025年6月期～2026年5月期の確定数値である。</t>
  </si>
  <si>
    <t xml:space="preserve">         the term from June of 2025 to May of 2026.</t>
  </si>
  <si>
    <t>2026/08</t>
  </si>
  <si>
    <t>プライム市場</t>
  </si>
  <si>
    <t>Prime</t>
  </si>
  <si>
    <t>総合</t>
  </si>
  <si>
    <t>Composite</t>
  </si>
  <si>
    <t>総合（金融業を除く）</t>
  </si>
  <si>
    <t>Non-Financial</t>
  </si>
  <si>
    <t xml:space="preserve">　　　　　 製造業</t>
  </si>
  <si>
    <t xml:space="preserve">　　　　 Manufacturing </t>
  </si>
  <si>
    <t xml:space="preserve">　　　　 非製造業</t>
  </si>
  <si>
    <t xml:space="preserve">　　　　 Non-Manufacturing </t>
  </si>
  <si>
    <t>1 水産・農林業</t>
  </si>
  <si>
    <t>1 Fishery,Agriculture &amp; Forestry</t>
  </si>
  <si>
    <t>2 鉱業</t>
  </si>
  <si>
    <t>2 Mining</t>
  </si>
  <si>
    <t>3 建設業</t>
  </si>
  <si>
    <t>3 Construction</t>
  </si>
  <si>
    <t>4 食料品</t>
  </si>
  <si>
    <t>4 Foods</t>
  </si>
  <si>
    <t>5 繊維製品</t>
  </si>
  <si>
    <t>5 Textiles &amp; Apparels</t>
  </si>
  <si>
    <t>6 パルプ・紙</t>
  </si>
  <si>
    <t>6 Pulp &amp; Paper</t>
  </si>
  <si>
    <t>7 化学</t>
  </si>
  <si>
    <t>7 Chemicals</t>
  </si>
  <si>
    <t>8 医薬品</t>
  </si>
  <si>
    <t>8 Pharmaceutical</t>
  </si>
  <si>
    <t>9 石油・石炭製品</t>
  </si>
  <si>
    <t>9 Oil &amp; Coal Products</t>
  </si>
  <si>
    <t>10 ゴム製品</t>
  </si>
  <si>
    <t>10 Rubber Products</t>
  </si>
  <si>
    <t>11 ガラス・土石製品</t>
  </si>
  <si>
    <t>11 Glass &amp; Ceramics Products</t>
  </si>
  <si>
    <t>12 鉄鋼</t>
  </si>
  <si>
    <t>12 Iron &amp; Steel</t>
  </si>
  <si>
    <t>13 非鉄金属</t>
  </si>
  <si>
    <t>13 Nonferrous Metals</t>
  </si>
  <si>
    <t>14 金属製品</t>
  </si>
  <si>
    <t>14 Metal Products</t>
  </si>
  <si>
    <t>15 機械</t>
  </si>
  <si>
    <t>15 Machinery</t>
  </si>
  <si>
    <t>16 電気機器</t>
  </si>
  <si>
    <t>16 Electric Appliances</t>
  </si>
  <si>
    <t>17 輸送用機器</t>
  </si>
  <si>
    <t>17 Transportation Equipment</t>
  </si>
  <si>
    <t>18 精密機器</t>
  </si>
  <si>
    <t>18 Precision Instruments</t>
  </si>
  <si>
    <t>19 その他製品</t>
  </si>
  <si>
    <t>19 Other Products</t>
  </si>
  <si>
    <t>20 電気・ガス業</t>
  </si>
  <si>
    <t>20 Electric Power &amp; Gas</t>
  </si>
  <si>
    <t>21 陸運業</t>
  </si>
  <si>
    <t>21 Land Transportation</t>
  </si>
  <si>
    <t>22 海運業</t>
  </si>
  <si>
    <t>22 Marine Transportation</t>
  </si>
  <si>
    <t>23 空運業</t>
  </si>
  <si>
    <t>23 Air Transportation</t>
  </si>
  <si>
    <t>24 倉庫・運輸関連業</t>
  </si>
  <si>
    <t>24 Warehousing &amp; Harbor Transportation Services</t>
  </si>
  <si>
    <t>25 情報・通信業</t>
  </si>
  <si>
    <t>25 Information &amp; Communication</t>
  </si>
  <si>
    <t>26 卸売業</t>
  </si>
  <si>
    <t>26 Wholesale Trade</t>
  </si>
  <si>
    <t>27 小売業</t>
  </si>
  <si>
    <t>27 Retail Trade</t>
  </si>
  <si>
    <t>28 銀行業</t>
  </si>
  <si>
    <t>28 Banks</t>
  </si>
  <si>
    <t>29 証券、商品先物取引業</t>
  </si>
  <si>
    <t>29 Securities &amp; Commodity Futures</t>
  </si>
  <si>
    <t>30 保険業</t>
  </si>
  <si>
    <t>30 Insurance</t>
  </si>
  <si>
    <t>31 その他金融業</t>
  </si>
  <si>
    <t>31 Other Financing Business</t>
  </si>
  <si>
    <t>32 不動産業</t>
  </si>
  <si>
    <t>32 Real Estate</t>
  </si>
  <si>
    <t>33 サービス業</t>
  </si>
  <si>
    <t>33 Services</t>
  </si>
  <si>
    <t>スタンダード市場</t>
  </si>
  <si>
    <t>Standard</t>
  </si>
  <si>
    <t>グロース市場</t>
  </si>
  <si>
    <t>Growth</t>
  </si>
  <si>
    <t>－</t>
  </si>
  <si>
    <t>大型株</t>
  </si>
  <si>
    <t xml:space="preserve">Large </t>
  </si>
  <si>
    <t>中型株</t>
  </si>
  <si>
    <t xml:space="preserve">Medium </t>
  </si>
  <si>
    <t>小型株</t>
  </si>
  <si>
    <t xml:space="preserve">Small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</si>
</sst>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_ ;[Red]\-#,##0\ "/>
  </numFmts>
  <fonts count="10" x14ac:knownFonts="1">
    <font>
      <sz val="11"/>
      <color theme="1"/>
      <name val="ＭＳ Ｐゴシック"/>
      <family val="2"/>
      <charset val="128"/>
      <scheme val="minor"/>
    </font>
    <font>
      <sz val="12"/>
      <name val="ＭＳ ゴシック"/>
      <family val="3"/>
      <charset val="128"/>
    </font>
    <font>
      <sz val="6"/>
      <name val="ＭＳ Ｐゴシック"/>
      <family val="2"/>
      <charset val="128"/>
      <scheme val="minor"/>
    </font>
    <font>
      <sz val="6"/>
      <name val="ＭＳ Ｐゴシック"/>
      <family val="3"/>
      <charset val="128"/>
      <scheme val="minor"/>
    </font>
    <font>
      <sz val="10"/>
      <name val="ＭＳ ゴシック"/>
      <family val="3"/>
      <charset val="128"/>
    </font>
    <font>
      <sz val="8"/>
      <name val="ＭＳ ゴシック"/>
      <family val="3"/>
      <charset val="128"/>
    </font>
    <font>
      <sz val="6"/>
      <name val="ＭＳ Ｐゴシック"/>
      <family val="3"/>
      <charset val="128"/>
    </font>
    <font>
      <sz val="11"/>
      <name val="ＭＳ Ｐゴシック"/>
      <family val="2"/>
      <scheme val="minor"/>
    </font>
    <font>
      <sz val="11"/>
      <name val="ＭＳ Ｐゴシック"/>
      <family val="2"/>
      <charset val="128"/>
      <scheme val="minor"/>
    </font>
    <font>
      <sz val="9"/>
      <name val="ＭＳ ゴシック"/>
      <family val="3"/>
      <charset val="128"/>
    </font>
  </fonts>
  <fills count="2">
    <fill>
      <patternFill patternType="none"/>
    </fill>
    <fill>
      <patternFill patternType="gray125"/>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34">
    <xf numFmtId="0" fontId="0" fillId="0" borderId="0" xfId="0">
      <alignment vertical="center"/>
    </xf>
    <xf numFmtId="49" fontId="1" fillId="0" borderId="0" xfId="0" applyNumberFormat="1" applyFont="1" applyFill="1" applyBorder="1" applyAlignment="1">
      <alignment vertical="center"/>
    </xf>
    <xf numFmtId="0" fontId="4" fillId="0" borderId="0" xfId="0" applyFont="1" applyFill="1" applyBorder="1">
      <alignment vertical="center"/>
    </xf>
    <xf numFmtId="0" fontId="7" fillId="0" borderId="0" xfId="0" applyFont="1">
      <alignment vertical="center"/>
    </xf>
    <xf numFmtId="49" fontId="7" fillId="0" borderId="0" xfId="0" applyNumberFormat="1" applyFont="1">
      <alignment vertical="center"/>
    </xf>
    <xf numFmtId="0" fontId="8" fillId="0" borderId="0" xfId="0" applyFont="1">
      <alignment vertical="center"/>
    </xf>
    <xf numFmtId="49" fontId="4" fillId="0" borderId="1" xfId="0" applyNumberFormat="1" applyFont="1" applyFill="1" applyBorder="1" applyAlignment="1">
      <alignment vertical="center"/>
    </xf>
    <xf numFmtId="49" fontId="4" fillId="0" borderId="2" xfId="0" applyNumberFormat="1" applyFont="1" applyFill="1" applyBorder="1" applyAlignment="1">
      <alignment horizontal="center"/>
    </xf>
    <xf numFmtId="49" fontId="4" fillId="0" borderId="2" xfId="0" applyNumberFormat="1" applyFont="1" applyFill="1" applyBorder="1" applyAlignment="1">
      <alignment horizontal="center" wrapText="1"/>
    </xf>
    <xf numFmtId="3" fontId="4" fillId="0" borderId="2" xfId="0" applyNumberFormat="1" applyFont="1" applyBorder="1" applyAlignment="1">
      <alignment horizontal="right"/>
    </xf>
    <xf numFmtId="176" fontId="4" fillId="0" borderId="2" xfId="0" applyNumberFormat="1" applyFont="1" applyFill="1" applyBorder="1" applyAlignment="1">
      <alignment horizontal="right"/>
    </xf>
    <xf numFmtId="40" fontId="4" fillId="0" borderId="2" xfId="0" applyNumberFormat="1" applyFont="1" applyFill="1" applyBorder="1" applyAlignment="1">
      <alignment horizontal="right"/>
    </xf>
    <xf numFmtId="20" fontId="1" fillId="0" borderId="0" xfId="0" applyNumberFormat="1" applyFont="1" applyFill="1" applyBorder="1" applyAlignment="1">
      <alignment horizontal="left" vertical="center"/>
    </xf>
    <xf numFmtId="0" fontId="5" fillId="0" borderId="0" xfId="0" applyFont="1" applyFill="1" applyBorder="1" applyAlignment="1">
      <alignment wrapText="1"/>
    </xf>
    <xf numFmtId="49" fontId="4" fillId="0" borderId="0" xfId="0" applyNumberFormat="1" applyFont="1" applyFill="1" applyBorder="1">
      <alignment vertical="center"/>
    </xf>
    <xf numFmtId="0" fontId="5" fillId="0" borderId="0" xfId="0" applyFont="1" applyFill="1" applyBorder="1" applyAlignment="1">
      <alignment vertical="top" wrapText="1"/>
    </xf>
    <xf numFmtId="49" fontId="4" fillId="0" borderId="1" xfId="0" applyNumberFormat="1" applyFont="1" applyFill="1" applyBorder="1">
      <alignment vertical="center"/>
    </xf>
    <xf numFmtId="0" fontId="5" fillId="0" borderId="1" xfId="0" applyFont="1" applyFill="1" applyBorder="1" applyAlignment="1">
      <alignment vertical="top" wrapText="1"/>
    </xf>
    <xf numFmtId="0" fontId="7" fillId="0" borderId="0" xfId="0" applyFont="1" applyFill="1">
      <alignment vertical="center"/>
    </xf>
    <xf numFmtId="49" fontId="7" fillId="0" borderId="0" xfId="0" applyNumberFormat="1" applyFont="1" applyFill="1">
      <alignment vertical="center"/>
    </xf>
    <xf numFmtId="0" fontId="8" fillId="0" borderId="0" xfId="0" applyFont="1" applyFill="1">
      <alignment vertical="center"/>
    </xf>
    <xf numFmtId="177" fontId="4" fillId="0" borderId="2" xfId="0" applyNumberFormat="1" applyFont="1" applyBorder="1" applyAlignment="1">
      <alignment horizontal="right"/>
    </xf>
    <xf numFmtId="49" fontId="4" fillId="0" borderId="2" xfId="0" applyNumberFormat="1" applyFont="1" applyBorder="1" applyAlignment="1"/>
    <xf numFmtId="176" fontId="4" fillId="0" borderId="2" xfId="0" applyNumberFormat="1" applyFont="1" applyBorder="1" applyAlignment="1">
      <alignment horizontal="right"/>
    </xf>
    <xf numFmtId="38" fontId="4" fillId="0" borderId="2" xfId="0" applyNumberFormat="1" applyFont="1" applyBorder="1" applyAlignment="1">
      <alignment horizontal="right"/>
    </xf>
    <xf numFmtId="0" fontId="5" fillId="0" borderId="0" xfId="0" applyFont="1" applyFill="1" applyBorder="1" applyAlignment="1">
      <alignment horizontal="left" wrapText="1"/>
    </xf>
    <xf numFmtId="0" fontId="5" fillId="0" borderId="0" xfId="0" applyFont="1" applyFill="1" applyBorder="1" applyAlignment="1">
      <alignment horizontal="left" vertical="top" wrapText="1"/>
    </xf>
    <xf numFmtId="49" fontId="5" fillId="0" borderId="1" xfId="0" applyNumberFormat="1" applyFont="1" applyFill="1" applyBorder="1" applyAlignment="1">
      <alignment vertical="top" wrapText="1"/>
    </xf>
    <xf numFmtId="49" fontId="5" fillId="0" borderId="1" xfId="0" applyNumberFormat="1" applyFont="1" applyFill="1" applyBorder="1" applyAlignment="1">
      <alignment vertical="top"/>
    </xf>
    <xf numFmtId="49" fontId="9" fillId="0" borderId="3" xfId="0" applyNumberFormat="1" applyFont="1" applyFill="1" applyBorder="1" applyAlignment="1">
      <alignment horizontal="center" vertical="center"/>
    </xf>
    <xf numFmtId="49" fontId="9" fillId="0" borderId="4" xfId="0" applyNumberFormat="1" applyFont="1" applyFill="1" applyBorder="1" applyAlignment="1">
      <alignment horizontal="center" vertical="center"/>
    </xf>
    <xf numFmtId="49" fontId="4" fillId="0" borderId="3" xfId="0" applyNumberFormat="1" applyFont="1" applyFill="1" applyBorder="1" applyAlignment="1">
      <alignment horizontal="center" vertical="center"/>
    </xf>
    <xf numFmtId="49" fontId="4" fillId="0" borderId="4" xfId="0" applyNumberFormat="1" applyFont="1" applyFill="1" applyBorder="1" applyAlignment="1">
      <alignment horizontal="center" vertical="center"/>
    </xf>
    <xf numFmtId="49" fontId="5" fillId="0" borderId="0" xfId="0" applyNumberFormat="1" applyFont="1" applyFill="1" applyBorder="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B118"/>
  <sheetViews>
    <sheetView showGridLines="0" tabSelected="1" zoomScaleNormal="100" zoomScaleSheetLayoutView="55" workbookViewId="0">
      <pane ySplit="4" topLeftCell="A5" activePane="bottomLeft" state="frozen"/>
      <selection pane="bottomLeft" activeCell="A5" sqref="A5"/>
    </sheetView>
  </sheetViews>
  <sheetFormatPr defaultRowHeight="13.5" x14ac:dyDescent="0.15"/>
  <cols>
    <col min="1" max="1" customWidth="true" style="5" width="12.75" collapsed="true"/>
    <col min="2" max="2" customWidth="true" style="5" width="16.625" collapsed="true"/>
    <col min="3" max="3" bestFit="true" customWidth="true" style="5" width="11.75" collapsed="true"/>
    <col min="4" max="4" customWidth="true" style="5" width="22.875" collapsed="true"/>
    <col min="5" max="5" bestFit="true" customWidth="true" style="5" width="47.125" collapsed="true"/>
    <col min="6" max="6" customWidth="true" style="5" width="12.625" collapsed="true"/>
    <col min="7" max="10" customWidth="true" style="5" width="20.625" collapsed="true"/>
    <col min="11" max="14" customWidth="true" style="5" width="26.125" collapsed="true"/>
    <col min="15" max="17" style="5" width="9.0" collapsed="true"/>
    <col min="18" max="18" customWidth="true" style="5" width="9.0" collapsed="true"/>
    <col min="19" max="19" style="5" width="9.0" collapsed="true"/>
    <col min="20" max="21" customWidth="true" style="5" width="9.0" collapsed="true"/>
    <col min="22" max="16384" style="5" width="9.0" collapsed="true"/>
  </cols>
  <sheetData>
    <row r="1" spans="1:28" ht="33.75" customHeight="1" x14ac:dyDescent="0.15">
      <c r="A1" s="1" t="s">
        <v>0</v>
      </c>
      <c r="B1" s="2"/>
      <c r="C1" s="2"/>
      <c r="D1" s="2"/>
      <c r="E1" s="2"/>
      <c r="F1" s="25" t="s">
        <v>1</v>
      </c>
      <c r="G1" s="25"/>
      <c r="H1" s="25"/>
      <c r="I1" s="25"/>
      <c r="J1" s="25"/>
      <c r="K1" s="26" t="s">
        <v>2</v>
      </c>
      <c r="L1" s="26"/>
      <c r="M1" s="26"/>
      <c r="N1" s="26"/>
      <c r="O1" s="3"/>
      <c r="P1" s="3"/>
      <c r="Q1" s="3"/>
      <c r="R1" s="4"/>
      <c r="S1" s="3"/>
      <c r="T1" s="3"/>
      <c r="U1" s="3"/>
      <c r="V1" s="3"/>
      <c r="W1" s="3"/>
      <c r="X1" s="3"/>
      <c r="Y1" s="3"/>
      <c r="Z1" s="3"/>
      <c r="AA1" s="3"/>
      <c r="AB1" s="3"/>
    </row>
    <row r="2" spans="1:28" ht="27" customHeight="1" x14ac:dyDescent="0.15">
      <c r="A2" s="6" t="s">
        <v>3</v>
      </c>
      <c r="B2" s="2"/>
      <c r="C2" s="2"/>
      <c r="D2" s="2"/>
      <c r="E2" s="2"/>
      <c r="F2" s="27" t="s">
        <v>49</v>
      </c>
      <c r="G2" s="28"/>
      <c r="H2" s="28"/>
      <c r="I2" s="28"/>
      <c r="J2" s="28"/>
      <c r="K2" s="27" t="s">
        <v>50</v>
      </c>
      <c r="L2" s="27"/>
      <c r="M2" s="27"/>
      <c r="N2" s="27"/>
      <c r="O2" s="3"/>
      <c r="P2" s="3"/>
      <c r="Q2" s="3"/>
      <c r="R2" s="4"/>
      <c r="S2" s="3"/>
      <c r="T2" s="3"/>
      <c r="U2" s="3"/>
      <c r="V2" s="3"/>
      <c r="W2" s="3"/>
      <c r="X2" s="3"/>
      <c r="Y2" s="3"/>
      <c r="Z2" s="3"/>
      <c r="AA2" s="3"/>
      <c r="AB2" s="3"/>
    </row>
    <row r="3" spans="1:28" ht="24" x14ac:dyDescent="0.15">
      <c r="A3" s="7" t="s">
        <v>4</v>
      </c>
      <c r="B3" s="29" t="s">
        <v>5</v>
      </c>
      <c r="C3" s="31" t="s">
        <v>6</v>
      </c>
      <c r="D3" s="31" t="s">
        <v>7</v>
      </c>
      <c r="E3" s="31" t="s">
        <v>8</v>
      </c>
      <c r="F3" s="7" t="s">
        <v>9</v>
      </c>
      <c r="G3" s="7" t="s">
        <v>10</v>
      </c>
      <c r="H3" s="7" t="s">
        <v>11</v>
      </c>
      <c r="I3" s="8" t="s">
        <v>12</v>
      </c>
      <c r="J3" s="8" t="s">
        <v>13</v>
      </c>
      <c r="K3" s="7" t="s">
        <v>14</v>
      </c>
      <c r="L3" s="7" t="s">
        <v>15</v>
      </c>
      <c r="M3" s="8" t="s">
        <v>16</v>
      </c>
      <c r="N3" s="7" t="s">
        <v>17</v>
      </c>
      <c r="O3" s="3"/>
      <c r="P3" s="3"/>
      <c r="Q3" s="3"/>
      <c r="R3" s="4"/>
      <c r="S3" s="4"/>
      <c r="T3" s="4"/>
      <c r="U3" s="4"/>
      <c r="V3" s="4"/>
      <c r="W3" s="4"/>
      <c r="X3" s="4"/>
      <c r="Y3" s="4"/>
      <c r="Z3" s="4"/>
      <c r="AA3" s="4"/>
      <c r="AB3" s="4"/>
    </row>
    <row r="4" spans="1:28" ht="24" x14ac:dyDescent="0.15">
      <c r="A4" s="7" t="s">
        <v>18</v>
      </c>
      <c r="B4" s="30"/>
      <c r="C4" s="32"/>
      <c r="D4" s="32"/>
      <c r="E4" s="32"/>
      <c r="F4" s="7" t="s">
        <v>19</v>
      </c>
      <c r="G4" s="7" t="s">
        <v>20</v>
      </c>
      <c r="H4" s="7" t="s">
        <v>21</v>
      </c>
      <c r="I4" s="8" t="s">
        <v>22</v>
      </c>
      <c r="J4" s="8" t="s">
        <v>23</v>
      </c>
      <c r="K4" s="8" t="s">
        <v>24</v>
      </c>
      <c r="L4" s="8" t="s">
        <v>25</v>
      </c>
      <c r="M4" s="8" t="s">
        <v>26</v>
      </c>
      <c r="N4" s="8" t="s">
        <v>27</v>
      </c>
      <c r="O4" s="3"/>
      <c r="P4" s="3"/>
      <c r="Q4" s="3"/>
      <c r="R4" s="4"/>
      <c r="S4" s="4"/>
      <c r="T4" s="4"/>
      <c r="U4" s="4"/>
      <c r="V4" s="4"/>
      <c r="W4" s="4"/>
      <c r="X4" s="4"/>
      <c r="Y4" s="4"/>
      <c r="Z4" s="4"/>
      <c r="AA4" s="4"/>
      <c r="AB4" s="4"/>
    </row>
    <row r="5" spans="1:28" x14ac:dyDescent="0.15">
      <c r="A5" s="22" t="s">
        <v>53</v>
      </c>
      <c r="B5" s="22" t="s">
        <v>54</v>
      </c>
      <c r="C5" s="22" t="s">
        <v>55</v>
      </c>
      <c r="D5" s="22" t="s">
        <v>56</v>
      </c>
      <c r="E5" s="22" t="s">
        <v>57</v>
      </c>
      <c r="F5" s="9" t="n">
        <f>1538</f>
        <v>1538.0</v>
      </c>
      <c r="G5" s="10" t="n">
        <f>19.3</f>
        <v>19.3</v>
      </c>
      <c r="H5" s="10" t="n">
        <f>1.6</f>
        <v>1.6</v>
      </c>
      <c r="I5" s="11" t="n">
        <f>177.21</f>
        <v>177.21</v>
      </c>
      <c r="J5" s="11" t="n">
        <f>2179.3</f>
        <v>2179.3</v>
      </c>
      <c r="K5" s="10" t="n">
        <f>20.8</f>
        <v>20.8</v>
      </c>
      <c r="L5" s="10" t="n">
        <f>1.8</f>
        <v>1.8</v>
      </c>
      <c r="M5" s="21" t="n">
        <f>66026999178614</f>
        <v>6.6026999178614E13</v>
      </c>
      <c r="N5" s="21" t="n">
        <f>762952619265843</f>
        <v>7.62952619265843E14</v>
      </c>
      <c r="O5" s="3"/>
      <c r="P5" s="3"/>
      <c r="Q5" s="4"/>
      <c r="R5" s="4"/>
      <c r="S5" s="4"/>
      <c r="T5" s="4"/>
      <c r="U5" s="4"/>
      <c r="V5" s="4"/>
      <c r="W5" s="4"/>
      <c r="X5" s="4"/>
      <c r="Y5" s="4"/>
      <c r="Z5" s="4"/>
      <c r="AA5" s="4"/>
    </row>
    <row r="6">
      <c r="A6" s="22" t="s">
        <v>53</v>
      </c>
      <c r="B6" s="22" t="s">
        <v>54</v>
      </c>
      <c r="C6" s="22" t="s">
        <v>55</v>
      </c>
      <c r="D6" s="22" t="s">
        <v>58</v>
      </c>
      <c r="E6" s="22" t="s">
        <v>59</v>
      </c>
      <c r="F6" s="9" t="n">
        <f>1419</f>
        <v>1419.0</v>
      </c>
      <c r="G6" s="10" t="n">
        <f>19.5</f>
        <v>19.5</v>
      </c>
      <c r="H6" s="10" t="n">
        <f>1.6</f>
        <v>1.6</v>
      </c>
      <c r="I6" s="11" t="n">
        <f>176.05</f>
        <v>176.05</v>
      </c>
      <c r="J6" s="11" t="n">
        <f>2127.84</f>
        <v>2127.84</v>
      </c>
      <c r="K6" s="10" t="n">
        <f>22.1</f>
        <v>22.1</v>
      </c>
      <c r="L6" s="10" t="n">
        <f>1.9</f>
        <v>1.9</v>
      </c>
      <c r="M6" s="21" t="n">
        <f>52358418697614</f>
        <v>5.2358418697614E13</v>
      </c>
      <c r="N6" s="21" t="n">
        <f>620045436017843</f>
        <v>6.20045436017843E14</v>
      </c>
    </row>
    <row r="7">
      <c r="A7" s="22" t="s">
        <v>53</v>
      </c>
      <c r="B7" s="22" t="s">
        <v>54</v>
      </c>
      <c r="C7" s="22" t="s">
        <v>55</v>
      </c>
      <c r="D7" s="22" t="s">
        <v>60</v>
      </c>
      <c r="E7" s="22" t="s">
        <v>61</v>
      </c>
      <c r="F7" s="9" t="n">
        <f>673</f>
        <v>673.0</v>
      </c>
      <c r="G7" s="10" t="n">
        <f>22.1</f>
        <v>22.1</v>
      </c>
      <c r="H7" s="10" t="n">
        <f>1.6</f>
        <v>1.6</v>
      </c>
      <c r="I7" s="11" t="n">
        <f>189.16</f>
        <v>189.16</v>
      </c>
      <c r="J7" s="11" t="n">
        <f>2573.05</f>
        <v>2573.05</v>
      </c>
      <c r="K7" s="10" t="n">
        <f>27.7</f>
        <v>27.7</v>
      </c>
      <c r="L7" s="10" t="n">
        <f>2</f>
        <v>2.0</v>
      </c>
      <c r="M7" s="21" t="n">
        <f>25577911600000</f>
        <v>2.55779116E13</v>
      </c>
      <c r="N7" s="21" t="n">
        <f>353397678603569</f>
        <v>3.53397678603569E14</v>
      </c>
    </row>
    <row r="8">
      <c r="A8" s="22" t="s">
        <v>53</v>
      </c>
      <c r="B8" s="22" t="s">
        <v>54</v>
      </c>
      <c r="C8" s="22" t="s">
        <v>55</v>
      </c>
      <c r="D8" s="22" t="s">
        <v>62</v>
      </c>
      <c r="E8" s="22" t="s">
        <v>63</v>
      </c>
      <c r="F8" s="9" t="n">
        <f>746</f>
        <v>746.0</v>
      </c>
      <c r="G8" s="10" t="n">
        <f>16.9</f>
        <v>16.9</v>
      </c>
      <c r="H8" s="10" t="n">
        <f>1.6</f>
        <v>1.6</v>
      </c>
      <c r="I8" s="11" t="n">
        <f>164.23</f>
        <v>164.23</v>
      </c>
      <c r="J8" s="11" t="n">
        <f>1726.19</f>
        <v>1726.19</v>
      </c>
      <c r="K8" s="10" t="n">
        <f>16.7</f>
        <v>16.7</v>
      </c>
      <c r="L8" s="10" t="n">
        <f>1.7</f>
        <v>1.7</v>
      </c>
      <c r="M8" s="21" t="n">
        <f>26780507097614</f>
        <v>2.6780507097614E13</v>
      </c>
      <c r="N8" s="21" t="n">
        <f>266647757414274</f>
        <v>2.66647757414274E14</v>
      </c>
    </row>
    <row r="9">
      <c r="A9" s="22" t="s">
        <v>53</v>
      </c>
      <c r="B9" s="22" t="s">
        <v>54</v>
      </c>
      <c r="C9" s="22" t="s">
        <v>55</v>
      </c>
      <c r="D9" s="22" t="s">
        <v>64</v>
      </c>
      <c r="E9" s="22" t="s">
        <v>65</v>
      </c>
      <c r="F9" s="9" t="n">
        <f>6</f>
        <v>6.0</v>
      </c>
      <c r="G9" s="10" t="n">
        <f>11.1</f>
        <v>11.1</v>
      </c>
      <c r="H9" s="10" t="n">
        <f>1</f>
        <v>1.0</v>
      </c>
      <c r="I9" s="11" t="n">
        <f>225.78</f>
        <v>225.78</v>
      </c>
      <c r="J9" s="11" t="n">
        <f>2620.63</f>
        <v>2620.63</v>
      </c>
      <c r="K9" s="10" t="n">
        <f>12.2</f>
        <v>12.2</v>
      </c>
      <c r="L9" s="10" t="n">
        <f>1</f>
        <v>1.0</v>
      </c>
      <c r="M9" s="21" t="n">
        <f>78667000000</f>
        <v>7.8667E10</v>
      </c>
      <c r="N9" s="21" t="n">
        <f>938975000000</f>
        <v>9.38975E11</v>
      </c>
    </row>
    <row r="10">
      <c r="A10" s="22" t="s">
        <v>53</v>
      </c>
      <c r="B10" s="22" t="s">
        <v>54</v>
      </c>
      <c r="C10" s="22" t="s">
        <v>55</v>
      </c>
      <c r="D10" s="22" t="s">
        <v>66</v>
      </c>
      <c r="E10" s="22" t="s">
        <v>67</v>
      </c>
      <c r="F10" s="9" t="n">
        <f>4</f>
        <v>4.0</v>
      </c>
      <c r="G10" s="10" t="n">
        <f>13.9</f>
        <v>13.9</v>
      </c>
      <c r="H10" s="10" t="n">
        <f>1.1</f>
        <v>1.1</v>
      </c>
      <c r="I10" s="11" t="n">
        <f>210.98</f>
        <v>210.98</v>
      </c>
      <c r="J10" s="11" t="n">
        <f>2642.41</f>
        <v>2642.41</v>
      </c>
      <c r="K10" s="10" t="n">
        <f>12.6</f>
        <v>12.6</v>
      </c>
      <c r="L10" s="10" t="n">
        <f>1</f>
        <v>1.0</v>
      </c>
      <c r="M10" s="21" t="n">
        <f>469675000000</f>
        <v>4.69675E11</v>
      </c>
      <c r="N10" s="21" t="n">
        <f>5958310000000</f>
        <v>5.95831E12</v>
      </c>
    </row>
    <row r="11">
      <c r="A11" s="22" t="s">
        <v>53</v>
      </c>
      <c r="B11" s="22" t="s">
        <v>54</v>
      </c>
      <c r="C11" s="22" t="s">
        <v>55</v>
      </c>
      <c r="D11" s="22" t="s">
        <v>68</v>
      </c>
      <c r="E11" s="22" t="s">
        <v>69</v>
      </c>
      <c r="F11" s="9" t="n">
        <f>70</f>
        <v>70.0</v>
      </c>
      <c r="G11" s="10" t="n">
        <f>13.1</f>
        <v>13.1</v>
      </c>
      <c r="H11" s="10" t="n">
        <f>1.4</f>
        <v>1.4</v>
      </c>
      <c r="I11" s="11" t="n">
        <f>242.82</f>
        <v>242.82</v>
      </c>
      <c r="J11" s="11" t="n">
        <f>2283.59</f>
        <v>2283.59</v>
      </c>
      <c r="K11" s="10" t="n">
        <f>12.4</f>
        <v>12.4</v>
      </c>
      <c r="L11" s="10" t="n">
        <f>1.4</f>
        <v>1.4</v>
      </c>
      <c r="M11" s="21" t="n">
        <f>2368928000000</f>
        <v>2.368928E12</v>
      </c>
      <c r="N11" s="21" t="n">
        <f>20642916143068</f>
        <v>2.0642916143068E13</v>
      </c>
    </row>
    <row r="12">
      <c r="A12" s="22" t="s">
        <v>53</v>
      </c>
      <c r="B12" s="22" t="s">
        <v>54</v>
      </c>
      <c r="C12" s="22" t="s">
        <v>55</v>
      </c>
      <c r="D12" s="22" t="s">
        <v>70</v>
      </c>
      <c r="E12" s="22" t="s">
        <v>71</v>
      </c>
      <c r="F12" s="9" t="n">
        <f>67</f>
        <v>67.0</v>
      </c>
      <c r="G12" s="10" t="n">
        <f>20.7</f>
        <v>20.7</v>
      </c>
      <c r="H12" s="10" t="n">
        <f>1.3</f>
        <v>1.3</v>
      </c>
      <c r="I12" s="11" t="n">
        <f>139.45</f>
        <v>139.45</v>
      </c>
      <c r="J12" s="11" t="n">
        <f>2277.44</f>
        <v>2277.44</v>
      </c>
      <c r="K12" s="10" t="n">
        <f>24.7</f>
        <v>24.7</v>
      </c>
      <c r="L12" s="10" t="n">
        <f>1.9</f>
        <v>1.9</v>
      </c>
      <c r="M12" s="21" t="n">
        <f>1731471000000</f>
        <v>1.731471E12</v>
      </c>
      <c r="N12" s="21" t="n">
        <f>22324011884032</f>
        <v>2.2324011884032E13</v>
      </c>
    </row>
    <row r="13">
      <c r="A13" s="22" t="s">
        <v>53</v>
      </c>
      <c r="B13" s="22" t="s">
        <v>54</v>
      </c>
      <c r="C13" s="22" t="s">
        <v>55</v>
      </c>
      <c r="D13" s="22" t="s">
        <v>72</v>
      </c>
      <c r="E13" s="22" t="s">
        <v>73</v>
      </c>
      <c r="F13" s="9" t="n">
        <f>17</f>
        <v>17.0</v>
      </c>
      <c r="G13" s="10" t="n">
        <f>23</f>
        <v>23.0</v>
      </c>
      <c r="H13" s="10" t="n">
        <f>1.2</f>
        <v>1.2</v>
      </c>
      <c r="I13" s="11" t="n">
        <f>116.27</f>
        <v>116.27</v>
      </c>
      <c r="J13" s="11" t="n">
        <f>2308.36</f>
        <v>2308.36</v>
      </c>
      <c r="K13" s="10" t="n">
        <f>38.3</f>
        <v>38.3</v>
      </c>
      <c r="L13" s="10" t="n">
        <f>1.1</f>
        <v>1.1</v>
      </c>
      <c r="M13" s="21" t="n">
        <f>108287000000</f>
        <v>1.08287E11</v>
      </c>
      <c r="N13" s="21" t="n">
        <f>3750898000000</f>
        <v>3.750898E12</v>
      </c>
    </row>
    <row r="14">
      <c r="A14" s="22" t="s">
        <v>53</v>
      </c>
      <c r="B14" s="22" t="s">
        <v>54</v>
      </c>
      <c r="C14" s="22" t="s">
        <v>55</v>
      </c>
      <c r="D14" s="22" t="s">
        <v>74</v>
      </c>
      <c r="E14" s="22" t="s">
        <v>75</v>
      </c>
      <c r="F14" s="9" t="n">
        <f>10</f>
        <v>10.0</v>
      </c>
      <c r="G14" s="10" t="n">
        <f>15.1</f>
        <v>15.1</v>
      </c>
      <c r="H14" s="10" t="n">
        <f>0.7</f>
        <v>0.7</v>
      </c>
      <c r="I14" s="11" t="n">
        <f>115.53</f>
        <v>115.53</v>
      </c>
      <c r="J14" s="11" t="n">
        <f>2654.81</f>
        <v>2654.81</v>
      </c>
      <c r="K14" s="10" t="n">
        <f>16.4</f>
        <v>16.4</v>
      </c>
      <c r="L14" s="10" t="n">
        <f>0.7</f>
        <v>0.7</v>
      </c>
      <c r="M14" s="21" t="n">
        <f>126608000000</f>
        <v>1.26608E11</v>
      </c>
      <c r="N14" s="21" t="n">
        <f>3134649000000</f>
        <v>3.134649E12</v>
      </c>
    </row>
    <row r="15">
      <c r="A15" s="22" t="s">
        <v>53</v>
      </c>
      <c r="B15" s="22" t="s">
        <v>54</v>
      </c>
      <c r="C15" s="22" t="s">
        <v>55</v>
      </c>
      <c r="D15" s="22" t="s">
        <v>76</v>
      </c>
      <c r="E15" s="22" t="s">
        <v>77</v>
      </c>
      <c r="F15" s="9" t="n">
        <f>114</f>
        <v>114.0</v>
      </c>
      <c r="G15" s="10" t="n">
        <f>20.8</f>
        <v>20.8</v>
      </c>
      <c r="H15" s="10" t="n">
        <f>1.4</f>
        <v>1.4</v>
      </c>
      <c r="I15" s="11" t="n">
        <f>163.16</f>
        <v>163.16</v>
      </c>
      <c r="J15" s="11" t="n">
        <f>2486.12</f>
        <v>2486.12</v>
      </c>
      <c r="K15" s="10" t="n">
        <f>23.5</f>
        <v>23.5</v>
      </c>
      <c r="L15" s="10" t="n">
        <f>1.6</f>
        <v>1.6</v>
      </c>
      <c r="M15" s="21" t="n">
        <f>2654239000000</f>
        <v>2.654239E12</v>
      </c>
      <c r="N15" s="21" t="n">
        <f>39849000000000</f>
        <v>3.9849E13</v>
      </c>
    </row>
    <row r="16">
      <c r="A16" s="22" t="s">
        <v>53</v>
      </c>
      <c r="B16" s="22" t="s">
        <v>54</v>
      </c>
      <c r="C16" s="22" t="s">
        <v>55</v>
      </c>
      <c r="D16" s="22" t="s">
        <v>78</v>
      </c>
      <c r="E16" s="22" t="s">
        <v>79</v>
      </c>
      <c r="F16" s="9" t="n">
        <f>31</f>
        <v>31.0</v>
      </c>
      <c r="G16" s="10" t="n">
        <f>19.3</f>
        <v>19.3</v>
      </c>
      <c r="H16" s="10" t="n">
        <f>1.3</f>
        <v>1.3</v>
      </c>
      <c r="I16" s="11" t="n">
        <f>150.65</f>
        <v>150.65</v>
      </c>
      <c r="J16" s="11" t="n">
        <f>2250.46</f>
        <v>2250.46</v>
      </c>
      <c r="K16" s="10" t="n">
        <f>25.3</f>
        <v>25.3</v>
      </c>
      <c r="L16" s="10" t="n">
        <f>2</f>
        <v>2.0</v>
      </c>
      <c r="M16" s="21" t="n">
        <f>1889893000000</f>
        <v>1.889893E12</v>
      </c>
      <c r="N16" s="21" t="n">
        <f>23631121000000</f>
        <v>2.3631121E13</v>
      </c>
    </row>
    <row r="17">
      <c r="A17" s="22" t="s">
        <v>53</v>
      </c>
      <c r="B17" s="22" t="s">
        <v>54</v>
      </c>
      <c r="C17" s="22" t="s">
        <v>55</v>
      </c>
      <c r="D17" s="22" t="s">
        <v>80</v>
      </c>
      <c r="E17" s="22" t="s">
        <v>81</v>
      </c>
      <c r="F17" s="9" t="n">
        <f>5</f>
        <v>5.0</v>
      </c>
      <c r="G17" s="10" t="n">
        <f>11.8</f>
        <v>11.8</v>
      </c>
      <c r="H17" s="10" t="n">
        <f>0.9</f>
        <v>0.9</v>
      </c>
      <c r="I17" s="11" t="n">
        <f>158.95</f>
        <v>158.95</v>
      </c>
      <c r="J17" s="11" t="n">
        <f>2014.22</f>
        <v>2014.22</v>
      </c>
      <c r="K17" s="10" t="n">
        <f>12.3</f>
        <v>12.3</v>
      </c>
      <c r="L17" s="10" t="n">
        <f>0.9</f>
        <v>0.9</v>
      </c>
      <c r="M17" s="21" t="n">
        <f>501278000000</f>
        <v>5.01278E11</v>
      </c>
      <c r="N17" s="21" t="n">
        <f>6559532000000</f>
        <v>6.559532E12</v>
      </c>
    </row>
    <row r="18">
      <c r="A18" s="22" t="s">
        <v>53</v>
      </c>
      <c r="B18" s="22" t="s">
        <v>54</v>
      </c>
      <c r="C18" s="22" t="s">
        <v>55</v>
      </c>
      <c r="D18" s="22" t="s">
        <v>82</v>
      </c>
      <c r="E18" s="22" t="s">
        <v>83</v>
      </c>
      <c r="F18" s="9" t="n">
        <f>10</f>
        <v>10.0</v>
      </c>
      <c r="G18" s="10" t="n">
        <f>14.3</f>
        <v>14.3</v>
      </c>
      <c r="H18" s="10" t="n">
        <f>1.1</f>
        <v>1.1</v>
      </c>
      <c r="I18" s="11" t="n">
        <f>296.67</f>
        <v>296.67</v>
      </c>
      <c r="J18" s="11" t="n">
        <f>3718.32</f>
        <v>3718.32</v>
      </c>
      <c r="K18" s="10" t="n">
        <f>14.6</f>
        <v>14.6</v>
      </c>
      <c r="L18" s="10" t="n">
        <f>1.3</f>
        <v>1.3</v>
      </c>
      <c r="M18" s="21" t="n">
        <f>588130000000</f>
        <v>5.8813E11</v>
      </c>
      <c r="N18" s="21" t="n">
        <f>6572244000000</f>
        <v>6.572244E12</v>
      </c>
    </row>
    <row r="19">
      <c r="A19" s="22" t="s">
        <v>53</v>
      </c>
      <c r="B19" s="22" t="s">
        <v>54</v>
      </c>
      <c r="C19" s="22" t="s">
        <v>55</v>
      </c>
      <c r="D19" s="22" t="s">
        <v>84</v>
      </c>
      <c r="E19" s="22" t="s">
        <v>85</v>
      </c>
      <c r="F19" s="9" t="n">
        <f>22</f>
        <v>22.0</v>
      </c>
      <c r="G19" s="10" t="n">
        <f>21.1</f>
        <v>21.1</v>
      </c>
      <c r="H19" s="10" t="n">
        <f>1.7</f>
        <v>1.7</v>
      </c>
      <c r="I19" s="11" t="n">
        <f>284.58</f>
        <v>284.58</v>
      </c>
      <c r="J19" s="11" t="n">
        <f>3528.25</f>
        <v>3528.25</v>
      </c>
      <c r="K19" s="10" t="n">
        <f>18.7</f>
        <v>18.7</v>
      </c>
      <c r="L19" s="10" t="n">
        <f>1.4</f>
        <v>1.4</v>
      </c>
      <c r="M19" s="21" t="n">
        <f>540759000000</f>
        <v>5.40759E11</v>
      </c>
      <c r="N19" s="21" t="n">
        <f>7208284000000</f>
        <v>7.208284E12</v>
      </c>
    </row>
    <row r="20">
      <c r="A20" s="22" t="s">
        <v>53</v>
      </c>
      <c r="B20" s="22" t="s">
        <v>54</v>
      </c>
      <c r="C20" s="22" t="s">
        <v>55</v>
      </c>
      <c r="D20" s="22" t="s">
        <v>86</v>
      </c>
      <c r="E20" s="22" t="s">
        <v>87</v>
      </c>
      <c r="F20" s="9" t="n">
        <f>20</f>
        <v>20.0</v>
      </c>
      <c r="G20" s="10" t="n">
        <f>12.7</f>
        <v>12.7</v>
      </c>
      <c r="H20" s="10" t="n">
        <f>0.8</f>
        <v>0.8</v>
      </c>
      <c r="I20" s="11" t="n">
        <f>203.59</f>
        <v>203.59</v>
      </c>
      <c r="J20" s="11" t="n">
        <f>3307.04</f>
        <v>3307.04</v>
      </c>
      <c r="K20" s="10" t="n">
        <f>21.8</f>
        <v>21.8</v>
      </c>
      <c r="L20" s="10" t="n">
        <f>0.7</f>
        <v>0.7</v>
      </c>
      <c r="M20" s="21" t="n">
        <f>395792000000</f>
        <v>3.95792E11</v>
      </c>
      <c r="N20" s="21" t="n">
        <f>13229024000000</f>
        <v>1.3229024E13</v>
      </c>
    </row>
    <row r="21">
      <c r="A21" s="22" t="s">
        <v>53</v>
      </c>
      <c r="B21" s="22" t="s">
        <v>54</v>
      </c>
      <c r="C21" s="22" t="s">
        <v>55</v>
      </c>
      <c r="D21" s="22" t="s">
        <v>88</v>
      </c>
      <c r="E21" s="22" t="s">
        <v>89</v>
      </c>
      <c r="F21" s="9" t="n">
        <f>20</f>
        <v>20.0</v>
      </c>
      <c r="G21" s="10" t="n">
        <f>17</f>
        <v>17.0</v>
      </c>
      <c r="H21" s="10" t="n">
        <f>1.7</f>
        <v>1.7</v>
      </c>
      <c r="I21" s="11" t="n">
        <f>347.67</f>
        <v>347.67</v>
      </c>
      <c r="J21" s="11" t="n">
        <f>3469.43</f>
        <v>3469.43</v>
      </c>
      <c r="K21" s="10" t="n">
        <f>25.9</f>
        <v>25.9</v>
      </c>
      <c r="L21" s="10" t="n">
        <f>3.1</f>
        <v>3.1</v>
      </c>
      <c r="M21" s="21" t="n">
        <f>1215981000000</f>
        <v>1.215981E12</v>
      </c>
      <c r="N21" s="21" t="n">
        <f>10265647000000</f>
        <v>1.0265647E13</v>
      </c>
    </row>
    <row r="22">
      <c r="A22" s="22" t="s">
        <v>53</v>
      </c>
      <c r="B22" s="22" t="s">
        <v>54</v>
      </c>
      <c r="C22" s="22" t="s">
        <v>55</v>
      </c>
      <c r="D22" s="22" t="s">
        <v>90</v>
      </c>
      <c r="E22" s="22" t="s">
        <v>91</v>
      </c>
      <c r="F22" s="9" t="n">
        <f>26</f>
        <v>26.0</v>
      </c>
      <c r="G22" s="10" t="n">
        <f>16.6</f>
        <v>16.6</v>
      </c>
      <c r="H22" s="10" t="n">
        <f>0.9</f>
        <v>0.9</v>
      </c>
      <c r="I22" s="11" t="n">
        <f>145.39</f>
        <v>145.39</v>
      </c>
      <c r="J22" s="11" t="n">
        <f>2772.01</f>
        <v>2772.01</v>
      </c>
      <c r="K22" s="10" t="n">
        <f>21.6</f>
        <v>21.6</v>
      </c>
      <c r="L22" s="10" t="n">
        <f>1.1</f>
        <v>1.1</v>
      </c>
      <c r="M22" s="21" t="n">
        <f>281417000000</f>
        <v>2.81417E11</v>
      </c>
      <c r="N22" s="21" t="n">
        <f>5350508000000</f>
        <v>5.350508E12</v>
      </c>
    </row>
    <row r="23">
      <c r="A23" s="22" t="s">
        <v>53</v>
      </c>
      <c r="B23" s="22" t="s">
        <v>54</v>
      </c>
      <c r="C23" s="22" t="s">
        <v>55</v>
      </c>
      <c r="D23" s="22" t="s">
        <v>92</v>
      </c>
      <c r="E23" s="22" t="s">
        <v>93</v>
      </c>
      <c r="F23" s="9" t="n">
        <f>109</f>
        <v>109.0</v>
      </c>
      <c r="G23" s="10" t="n">
        <f>23</f>
        <v>23.0</v>
      </c>
      <c r="H23" s="10" t="n">
        <f>1.8</f>
        <v>1.8</v>
      </c>
      <c r="I23" s="11" t="n">
        <f>212.76</f>
        <v>212.76</v>
      </c>
      <c r="J23" s="11" t="n">
        <f>2702.06</f>
        <v>2702.06</v>
      </c>
      <c r="K23" s="10" t="n">
        <f>25.5</f>
        <v>25.5</v>
      </c>
      <c r="L23" s="10" t="n">
        <f>2.2</f>
        <v>2.2</v>
      </c>
      <c r="M23" s="21" t="n">
        <f>2831671000000</f>
        <v>2.831671E12</v>
      </c>
      <c r="N23" s="21" t="n">
        <f>33370857000000</f>
        <v>3.3370857E13</v>
      </c>
    </row>
    <row r="24">
      <c r="A24" s="22" t="s">
        <v>53</v>
      </c>
      <c r="B24" s="22" t="s">
        <v>54</v>
      </c>
      <c r="C24" s="22" t="s">
        <v>55</v>
      </c>
      <c r="D24" s="22" t="s">
        <v>94</v>
      </c>
      <c r="E24" s="22" t="s">
        <v>95</v>
      </c>
      <c r="F24" s="9" t="n">
        <f>121</f>
        <v>121.0</v>
      </c>
      <c r="G24" s="10" t="n">
        <f>29.8</f>
        <v>29.8</v>
      </c>
      <c r="H24" s="10" t="n">
        <f>2.6</f>
        <v>2.6</v>
      </c>
      <c r="I24" s="11" t="n">
        <f>219.76</f>
        <v>219.76</v>
      </c>
      <c r="J24" s="11" t="n">
        <f>2533.44</f>
        <v>2533.44</v>
      </c>
      <c r="K24" s="10" t="n">
        <f>44.2</f>
        <v>44.2</v>
      </c>
      <c r="L24" s="10" t="n">
        <f>3.7</f>
        <v>3.7</v>
      </c>
      <c r="M24" s="21" t="n">
        <f>6246951100000</f>
        <v>6.2469511E12</v>
      </c>
      <c r="N24" s="21" t="n">
        <f>75127416181757</f>
        <v>7.5127416181757E13</v>
      </c>
    </row>
    <row r="25">
      <c r="A25" s="22" t="s">
        <v>53</v>
      </c>
      <c r="B25" s="22" t="s">
        <v>54</v>
      </c>
      <c r="C25" s="22" t="s">
        <v>55</v>
      </c>
      <c r="D25" s="22" t="s">
        <v>96</v>
      </c>
      <c r="E25" s="22" t="s">
        <v>97</v>
      </c>
      <c r="F25" s="9" t="n">
        <f>37</f>
        <v>37.0</v>
      </c>
      <c r="G25" s="10" t="n">
        <f>15.1</f>
        <v>15.1</v>
      </c>
      <c r="H25" s="10" t="n">
        <f>0.9</f>
        <v>0.9</v>
      </c>
      <c r="I25" s="11" t="n">
        <f>184.83</f>
        <v>184.83</v>
      </c>
      <c r="J25" s="11" t="n">
        <f>2952.58</f>
        <v>2952.58</v>
      </c>
      <c r="K25" s="10" t="n">
        <f>17.3</f>
        <v>17.3</v>
      </c>
      <c r="L25" s="10" t="n">
        <f>0.9</f>
        <v>0.9</v>
      </c>
      <c r="M25" s="21" t="n">
        <f>4708482500000</f>
        <v>4.7084825E12</v>
      </c>
      <c r="N25" s="21" t="n">
        <f>85986336537780</f>
        <v>8.598633653778E13</v>
      </c>
    </row>
    <row r="26">
      <c r="A26" s="22" t="s">
        <v>53</v>
      </c>
      <c r="B26" s="22" t="s">
        <v>54</v>
      </c>
      <c r="C26" s="22" t="s">
        <v>55</v>
      </c>
      <c r="D26" s="22" t="s">
        <v>98</v>
      </c>
      <c r="E26" s="22" t="s">
        <v>99</v>
      </c>
      <c r="F26" s="9" t="n">
        <f>27</f>
        <v>27.0</v>
      </c>
      <c r="G26" s="10" t="n">
        <f>26.6</f>
        <v>26.6</v>
      </c>
      <c r="H26" s="10" t="n">
        <f>2.5</f>
        <v>2.5</v>
      </c>
      <c r="I26" s="11" t="n">
        <f>170.01</f>
        <v>170.01</v>
      </c>
      <c r="J26" s="11" t="n">
        <f>1845.02</f>
        <v>1845.02</v>
      </c>
      <c r="K26" s="10" t="n">
        <f>34.3</f>
        <v>34.3</v>
      </c>
      <c r="L26" s="10" t="n">
        <f>3.2</f>
        <v>3.2</v>
      </c>
      <c r="M26" s="21" t="n">
        <f>642924000000</f>
        <v>6.42924E11</v>
      </c>
      <c r="N26" s="21" t="n">
        <f>6913786000000</f>
        <v>6.913786E12</v>
      </c>
    </row>
    <row r="27">
      <c r="A27" s="22" t="s">
        <v>53</v>
      </c>
      <c r="B27" s="22" t="s">
        <v>54</v>
      </c>
      <c r="C27" s="22" t="s">
        <v>55</v>
      </c>
      <c r="D27" s="22" t="s">
        <v>100</v>
      </c>
      <c r="E27" s="22" t="s">
        <v>101</v>
      </c>
      <c r="F27" s="9" t="n">
        <f>37</f>
        <v>37.0</v>
      </c>
      <c r="G27" s="10" t="n">
        <f>19.9</f>
        <v>19.9</v>
      </c>
      <c r="H27" s="10" t="n">
        <f>1.6</f>
        <v>1.6</v>
      </c>
      <c r="I27" s="11" t="n">
        <f>149.2</f>
        <v>149.2</v>
      </c>
      <c r="J27" s="11" t="n">
        <f>1824.18</f>
        <v>1824.18</v>
      </c>
      <c r="K27" s="10" t="n">
        <f>24.1</f>
        <v>24.1</v>
      </c>
      <c r="L27" s="10" t="n">
        <f>2.7</f>
        <v>2.7</v>
      </c>
      <c r="M27" s="21" t="n">
        <f>1114028000000</f>
        <v>1.114028E12</v>
      </c>
      <c r="N27" s="21" t="n">
        <f>10124364000000</f>
        <v>1.0124364E13</v>
      </c>
    </row>
    <row r="28">
      <c r="A28" s="22" t="s">
        <v>53</v>
      </c>
      <c r="B28" s="22" t="s">
        <v>54</v>
      </c>
      <c r="C28" s="22" t="s">
        <v>55</v>
      </c>
      <c r="D28" s="22" t="s">
        <v>102</v>
      </c>
      <c r="E28" s="22" t="s">
        <v>103</v>
      </c>
      <c r="F28" s="9" t="n">
        <f>22</f>
        <v>22.0</v>
      </c>
      <c r="G28" s="10" t="n">
        <f>10.6</f>
        <v>10.6</v>
      </c>
      <c r="H28" s="10" t="n">
        <f>0.8</f>
        <v>0.8</v>
      </c>
      <c r="I28" s="11" t="n">
        <f>196.54</f>
        <v>196.54</v>
      </c>
      <c r="J28" s="11" t="n">
        <f>2617.87</f>
        <v>2617.87</v>
      </c>
      <c r="K28" s="10" t="n">
        <f>13.4</f>
        <v>13.4</v>
      </c>
      <c r="L28" s="10" t="n">
        <f>0.8</f>
        <v>0.8</v>
      </c>
      <c r="M28" s="21" t="n">
        <f>1133020000000</f>
        <v>1.13302E12</v>
      </c>
      <c r="N28" s="21" t="n">
        <f>20031927962932</f>
        <v>2.0031927962932E13</v>
      </c>
    </row>
    <row r="29">
      <c r="A29" s="22" t="s">
        <v>53</v>
      </c>
      <c r="B29" s="22" t="s">
        <v>54</v>
      </c>
      <c r="C29" s="22" t="s">
        <v>55</v>
      </c>
      <c r="D29" s="22" t="s">
        <v>104</v>
      </c>
      <c r="E29" s="22" t="s">
        <v>105</v>
      </c>
      <c r="F29" s="9" t="n">
        <f>36</f>
        <v>36.0</v>
      </c>
      <c r="G29" s="10" t="n">
        <f>14.7</f>
        <v>14.7</v>
      </c>
      <c r="H29" s="10" t="n">
        <f>1.1</f>
        <v>1.1</v>
      </c>
      <c r="I29" s="11" t="n">
        <f>218.71</f>
        <v>218.71</v>
      </c>
      <c r="J29" s="11" t="n">
        <f>2811.52</f>
        <v>2811.52</v>
      </c>
      <c r="K29" s="10" t="n">
        <f>13.5</f>
        <v>13.5</v>
      </c>
      <c r="L29" s="10" t="n">
        <f>1.1</f>
        <v>1.1</v>
      </c>
      <c r="M29" s="21" t="n">
        <f>1901132000000</f>
        <v>1.901132E12</v>
      </c>
      <c r="N29" s="21" t="n">
        <f>22884458000000</f>
        <v>2.2884458E13</v>
      </c>
    </row>
    <row r="30">
      <c r="A30" s="22" t="s">
        <v>53</v>
      </c>
      <c r="B30" s="22" t="s">
        <v>54</v>
      </c>
      <c r="C30" s="22" t="s">
        <v>55</v>
      </c>
      <c r="D30" s="22" t="s">
        <v>106</v>
      </c>
      <c r="E30" s="22" t="s">
        <v>107</v>
      </c>
      <c r="F30" s="9" t="n">
        <f>5</f>
        <v>5.0</v>
      </c>
      <c r="G30" s="10" t="n">
        <f>12</f>
        <v>12.0</v>
      </c>
      <c r="H30" s="10" t="n">
        <f>1.1</f>
        <v>1.1</v>
      </c>
      <c r="I30" s="11" t="n">
        <f>492.89</f>
        <v>492.89</v>
      </c>
      <c r="J30" s="11" t="n">
        <f>5593.75</f>
        <v>5593.75</v>
      </c>
      <c r="K30" s="10" t="n">
        <f>13.3</f>
        <v>13.3</v>
      </c>
      <c r="L30" s="10" t="n">
        <f>1</f>
        <v>1.0</v>
      </c>
      <c r="M30" s="21" t="n">
        <f>597482000000</f>
        <v>5.97482E11</v>
      </c>
      <c r="N30" s="21" t="n">
        <f>8259988000000</f>
        <v>8.259988E12</v>
      </c>
    </row>
    <row r="31">
      <c r="A31" s="22" t="s">
        <v>53</v>
      </c>
      <c r="B31" s="22" t="s">
        <v>54</v>
      </c>
      <c r="C31" s="22" t="s">
        <v>55</v>
      </c>
      <c r="D31" s="22" t="s">
        <v>108</v>
      </c>
      <c r="E31" s="22" t="s">
        <v>109</v>
      </c>
      <c r="F31" s="9" t="n">
        <f>2</f>
        <v>2.0</v>
      </c>
      <c r="G31" s="10" t="n">
        <f>9.2</f>
        <v>9.2</v>
      </c>
      <c r="H31" s="10" t="n">
        <f>1.1</f>
        <v>1.1</v>
      </c>
      <c r="I31" s="11" t="n">
        <f>329.77</f>
        <v>329.77</v>
      </c>
      <c r="J31" s="11" t="n">
        <f>2874.56</f>
        <v>2874.56</v>
      </c>
      <c r="K31" s="10" t="n">
        <f>9.2</f>
        <v>9.2</v>
      </c>
      <c r="L31" s="10" t="n">
        <f>1.1</f>
        <v>1.1</v>
      </c>
      <c r="M31" s="21" t="n">
        <f>304569800000</f>
        <v>3.045698E11</v>
      </c>
      <c r="N31" s="21" t="n">
        <f>2640289000000</f>
        <v>2.640289E12</v>
      </c>
    </row>
    <row r="32">
      <c r="A32" s="22" t="s">
        <v>53</v>
      </c>
      <c r="B32" s="22" t="s">
        <v>54</v>
      </c>
      <c r="C32" s="22" t="s">
        <v>55</v>
      </c>
      <c r="D32" s="22" t="s">
        <v>110</v>
      </c>
      <c r="E32" s="22" t="s">
        <v>111</v>
      </c>
      <c r="F32" s="9" t="n">
        <f>9</f>
        <v>9.0</v>
      </c>
      <c r="G32" s="10" t="n">
        <f>16.3</f>
        <v>16.3</v>
      </c>
      <c r="H32" s="10" t="n">
        <f>1.2</f>
        <v>1.2</v>
      </c>
      <c r="I32" s="11" t="n">
        <f>164.93</f>
        <v>164.93</v>
      </c>
      <c r="J32" s="11" t="n">
        <f>2310.02</f>
        <v>2310.02</v>
      </c>
      <c r="K32" s="10" t="n">
        <f>14.7</f>
        <v>14.7</v>
      </c>
      <c r="L32" s="10" t="n">
        <f>1.3</f>
        <v>1.3</v>
      </c>
      <c r="M32" s="21" t="n">
        <f>139753000000</f>
        <v>1.39753E11</v>
      </c>
      <c r="N32" s="21" t="n">
        <f>1617315000000</f>
        <v>1.617315E12</v>
      </c>
    </row>
    <row r="33">
      <c r="A33" s="22" t="s">
        <v>53</v>
      </c>
      <c r="B33" s="22" t="s">
        <v>54</v>
      </c>
      <c r="C33" s="22" t="s">
        <v>55</v>
      </c>
      <c r="D33" s="22" t="s">
        <v>112</v>
      </c>
      <c r="E33" s="22" t="s">
        <v>113</v>
      </c>
      <c r="F33" s="9" t="n">
        <f>159</f>
        <v>159.0</v>
      </c>
      <c r="G33" s="10" t="n">
        <f>19.3</f>
        <v>19.3</v>
      </c>
      <c r="H33" s="10" t="n">
        <f>2.2</f>
        <v>2.2</v>
      </c>
      <c r="I33" s="11" t="n">
        <f>142.17</f>
        <v>142.17</v>
      </c>
      <c r="J33" s="11" t="n">
        <f>1263.04</f>
        <v>1263.04</v>
      </c>
      <c r="K33" s="10" t="n">
        <f>12.5</f>
        <v>12.5</v>
      </c>
      <c r="L33" s="10" t="n">
        <f>1.9</f>
        <v>1.9</v>
      </c>
      <c r="M33" s="21" t="n">
        <f>9116284666667</f>
        <v>9.116284666667E12</v>
      </c>
      <c r="N33" s="21" t="n">
        <f>60152482462040</f>
        <v>6.015248246204E13</v>
      </c>
    </row>
    <row r="34">
      <c r="A34" s="22" t="s">
        <v>53</v>
      </c>
      <c r="B34" s="22" t="s">
        <v>54</v>
      </c>
      <c r="C34" s="22" t="s">
        <v>55</v>
      </c>
      <c r="D34" s="22" t="s">
        <v>114</v>
      </c>
      <c r="E34" s="22" t="s">
        <v>115</v>
      </c>
      <c r="F34" s="9" t="n">
        <f>118</f>
        <v>118.0</v>
      </c>
      <c r="G34" s="10" t="n">
        <f>15.1</f>
        <v>15.1</v>
      </c>
      <c r="H34" s="10" t="n">
        <f>1.4</f>
        <v>1.4</v>
      </c>
      <c r="I34" s="11" t="n">
        <f>211.16</f>
        <v>211.16</v>
      </c>
      <c r="J34" s="11" t="n">
        <f>2332.41</f>
        <v>2332.41</v>
      </c>
      <c r="K34" s="10" t="n">
        <f>17.3</f>
        <v>17.3</v>
      </c>
      <c r="L34" s="10" t="n">
        <f>1.8</f>
        <v>1.8</v>
      </c>
      <c r="M34" s="21" t="n">
        <f>5343710000000</f>
        <v>5.34371E12</v>
      </c>
      <c r="N34" s="21" t="n">
        <f>52789873000000</f>
        <v>5.2789873E13</v>
      </c>
    </row>
    <row r="35">
      <c r="A35" s="22" t="s">
        <v>53</v>
      </c>
      <c r="B35" s="22" t="s">
        <v>54</v>
      </c>
      <c r="C35" s="22" t="s">
        <v>55</v>
      </c>
      <c r="D35" s="22" t="s">
        <v>116</v>
      </c>
      <c r="E35" s="22" t="s">
        <v>117</v>
      </c>
      <c r="F35" s="9" t="n">
        <f>126</f>
        <v>126.0</v>
      </c>
      <c r="G35" s="10" t="n">
        <f>23.5</f>
        <v>23.5</v>
      </c>
      <c r="H35" s="10" t="n">
        <f>2</f>
        <v>2.0</v>
      </c>
      <c r="I35" s="11" t="n">
        <f>130.15</f>
        <v>130.15</v>
      </c>
      <c r="J35" s="11" t="n">
        <f>1554.09</f>
        <v>1554.09</v>
      </c>
      <c r="K35" s="10" t="n">
        <f>29.2</f>
        <v>29.2</v>
      </c>
      <c r="L35" s="10" t="n">
        <f>2.6</f>
        <v>2.6</v>
      </c>
      <c r="M35" s="21" t="n">
        <f>2276661963800</f>
        <v>2.2766619638E12</v>
      </c>
      <c r="N35" s="21" t="n">
        <f>25063318828782</f>
        <v>2.5063318828782E13</v>
      </c>
    </row>
    <row r="36">
      <c r="A36" s="22" t="s">
        <v>53</v>
      </c>
      <c r="B36" s="22" t="s">
        <v>54</v>
      </c>
      <c r="C36" s="22" t="s">
        <v>55</v>
      </c>
      <c r="D36" s="22" t="s">
        <v>118</v>
      </c>
      <c r="E36" s="22" t="s">
        <v>119</v>
      </c>
      <c r="F36" s="9" t="n">
        <f>69</f>
        <v>69.0</v>
      </c>
      <c r="G36" s="10" t="n">
        <f>18.9</f>
        <v>18.9</v>
      </c>
      <c r="H36" s="10" t="n">
        <f>1.1</f>
        <v>1.1</v>
      </c>
      <c r="I36" s="11" t="n">
        <f>197.14</f>
        <v>197.14</v>
      </c>
      <c r="J36" s="11" t="n">
        <f>3377.18</f>
        <v>3377.18</v>
      </c>
      <c r="K36" s="10" t="n">
        <f>18.2</f>
        <v>18.2</v>
      </c>
      <c r="L36" s="10" t="n">
        <f>1.6</f>
        <v>1.6</v>
      </c>
      <c r="M36" s="21" t="n">
        <f>8275459481000</f>
        <v>8.275459481E12</v>
      </c>
      <c r="N36" s="21" t="n">
        <f>94816856253000</f>
        <v>9.4816856253E13</v>
      </c>
    </row>
    <row r="37">
      <c r="A37" s="22" t="s">
        <v>53</v>
      </c>
      <c r="B37" s="22" t="s">
        <v>54</v>
      </c>
      <c r="C37" s="22" t="s">
        <v>55</v>
      </c>
      <c r="D37" s="22" t="s">
        <v>120</v>
      </c>
      <c r="E37" s="22" t="s">
        <v>121</v>
      </c>
      <c r="F37" s="9" t="n">
        <f>19</f>
        <v>19.0</v>
      </c>
      <c r="G37" s="10" t="n">
        <f>12.1</f>
        <v>12.1</v>
      </c>
      <c r="H37" s="10" t="n">
        <f>1.4</f>
        <v>1.4</v>
      </c>
      <c r="I37" s="11" t="n">
        <f>147.27</f>
        <v>147.27</v>
      </c>
      <c r="J37" s="11" t="n">
        <f>1243.21</f>
        <v>1243.21</v>
      </c>
      <c r="K37" s="10" t="n">
        <f>11</f>
        <v>11.0</v>
      </c>
      <c r="L37" s="10" t="n">
        <f>1.3</f>
        <v>1.3</v>
      </c>
      <c r="M37" s="21" t="n">
        <f>1107072000000</f>
        <v>1.107072E12</v>
      </c>
      <c r="N37" s="21" t="n">
        <f>9630232000000</f>
        <v>9.630232E12</v>
      </c>
    </row>
    <row r="38">
      <c r="A38" s="22" t="s">
        <v>53</v>
      </c>
      <c r="B38" s="22" t="s">
        <v>54</v>
      </c>
      <c r="C38" s="22" t="s">
        <v>55</v>
      </c>
      <c r="D38" s="22" t="s">
        <v>122</v>
      </c>
      <c r="E38" s="22" t="s">
        <v>123</v>
      </c>
      <c r="F38" s="9" t="n">
        <f>11</f>
        <v>11.0</v>
      </c>
      <c r="G38" s="10" t="n">
        <f>13.5</f>
        <v>13.5</v>
      </c>
      <c r="H38" s="10" t="n">
        <f>1.5</f>
        <v>1.5</v>
      </c>
      <c r="I38" s="11" t="n">
        <f>224.94</f>
        <v>224.94</v>
      </c>
      <c r="J38" s="11" t="n">
        <f>2006.92</f>
        <v>2006.92</v>
      </c>
      <c r="K38" s="10" t="n">
        <f>12.8</f>
        <v>12.8</v>
      </c>
      <c r="L38" s="10" t="n">
        <f>1.6</f>
        <v>1.6</v>
      </c>
      <c r="M38" s="21" t="n">
        <f>3218818000000</f>
        <v>3.218818E12</v>
      </c>
      <c r="N38" s="21" t="n">
        <f>26359724995000</f>
        <v>2.6359724995E13</v>
      </c>
    </row>
    <row r="39">
      <c r="A39" s="22" t="s">
        <v>53</v>
      </c>
      <c r="B39" s="22" t="s">
        <v>54</v>
      </c>
      <c r="C39" s="22" t="s">
        <v>55</v>
      </c>
      <c r="D39" s="22" t="s">
        <v>124</v>
      </c>
      <c r="E39" s="22" t="s">
        <v>125</v>
      </c>
      <c r="F39" s="9" t="n">
        <f>20</f>
        <v>20.0</v>
      </c>
      <c r="G39" s="10" t="n">
        <f>14.1</f>
        <v>14.1</v>
      </c>
      <c r="H39" s="10" t="n">
        <f>1</f>
        <v>1.0</v>
      </c>
      <c r="I39" s="11" t="n">
        <f>192.84</f>
        <v>192.84</v>
      </c>
      <c r="J39" s="11" t="n">
        <f>2681.91</f>
        <v>2681.91</v>
      </c>
      <c r="K39" s="10" t="n">
        <f>15.3</f>
        <v>15.3</v>
      </c>
      <c r="L39" s="10" t="n">
        <f>1.3</f>
        <v>1.3</v>
      </c>
      <c r="M39" s="21" t="n">
        <f>1067231000000</f>
        <v>1.067231E12</v>
      </c>
      <c r="N39" s="21" t="n">
        <f>12100370000000</f>
        <v>1.210037E13</v>
      </c>
    </row>
    <row r="40">
      <c r="A40" s="22" t="s">
        <v>53</v>
      </c>
      <c r="B40" s="22" t="s">
        <v>54</v>
      </c>
      <c r="C40" s="22" t="s">
        <v>55</v>
      </c>
      <c r="D40" s="22" t="s">
        <v>126</v>
      </c>
      <c r="E40" s="22" t="s">
        <v>127</v>
      </c>
      <c r="F40" s="9" t="n">
        <f>47</f>
        <v>47.0</v>
      </c>
      <c r="G40" s="10" t="n">
        <f>12</f>
        <v>12.0</v>
      </c>
      <c r="H40" s="10" t="n">
        <f>1.6</f>
        <v>1.6</v>
      </c>
      <c r="I40" s="11" t="n">
        <f>189.66</f>
        <v>189.66</v>
      </c>
      <c r="J40" s="11" t="n">
        <f>1457.75</f>
        <v>1457.75</v>
      </c>
      <c r="K40" s="10" t="n">
        <f>13.8</f>
        <v>13.8</v>
      </c>
      <c r="L40" s="10" t="n">
        <f>1.4</f>
        <v>1.4</v>
      </c>
      <c r="M40" s="21" t="n">
        <f>1630740000000</f>
        <v>1.63074E12</v>
      </c>
      <c r="N40" s="21" t="n">
        <f>16324417000000</f>
        <v>1.6324417E13</v>
      </c>
    </row>
    <row r="41">
      <c r="A41" s="22" t="s">
        <v>53</v>
      </c>
      <c r="B41" s="22" t="s">
        <v>54</v>
      </c>
      <c r="C41" s="22" t="s">
        <v>55</v>
      </c>
      <c r="D41" s="22" t="s">
        <v>128</v>
      </c>
      <c r="E41" s="22" t="s">
        <v>129</v>
      </c>
      <c r="F41" s="9" t="n">
        <f>142</f>
        <v>142.0</v>
      </c>
      <c r="G41" s="10" t="n">
        <f>21.2</f>
        <v>21.2</v>
      </c>
      <c r="H41" s="10" t="n">
        <f>2</f>
        <v>2.0</v>
      </c>
      <c r="I41" s="11" t="n">
        <f>96.33</f>
        <v>96.33</v>
      </c>
      <c r="J41" s="11" t="n">
        <f>1041.57</f>
        <v>1041.57</v>
      </c>
      <c r="K41" s="10" t="n">
        <f>43.8</f>
        <v>43.8</v>
      </c>
      <c r="L41" s="10" t="n">
        <f>2.1</f>
        <v>2.1</v>
      </c>
      <c r="M41" s="21" t="n">
        <f>1419883667147</f>
        <v>1.419883667147E12</v>
      </c>
      <c r="N41" s="21" t="n">
        <f>29343487017452</f>
        <v>2.9343487017452E13</v>
      </c>
    </row>
    <row r="42">
      <c r="A42" s="22" t="s">
        <v>53</v>
      </c>
      <c r="B42" s="22" t="s">
        <v>130</v>
      </c>
      <c r="C42" s="22" t="s">
        <v>131</v>
      </c>
      <c r="D42" s="22" t="s">
        <v>56</v>
      </c>
      <c r="E42" s="22" t="s">
        <v>57</v>
      </c>
      <c r="F42" s="9" t="n">
        <f>1540</f>
        <v>1540.0</v>
      </c>
      <c r="G42" s="10" t="n">
        <f>14.5</f>
        <v>14.5</v>
      </c>
      <c r="H42" s="10" t="n">
        <f>0.9</f>
        <v>0.9</v>
      </c>
      <c r="I42" s="11" t="n">
        <f>116.22</f>
        <v>116.22</v>
      </c>
      <c r="J42" s="11" t="n">
        <f>1790.63</f>
        <v>1790.63</v>
      </c>
      <c r="K42" s="10" t="n">
        <f>19.2</f>
        <v>19.2</v>
      </c>
      <c r="L42" s="10" t="n">
        <f>1.2</f>
        <v>1.2</v>
      </c>
      <c r="M42" s="21" t="n">
        <f>1798888028892</f>
        <v>1.798888028892E12</v>
      </c>
      <c r="N42" s="21" t="n">
        <f>28409961441697</f>
        <v>2.8409961441697E13</v>
      </c>
    </row>
    <row r="43">
      <c r="A43" s="22" t="s">
        <v>53</v>
      </c>
      <c r="B43" s="22" t="s">
        <v>130</v>
      </c>
      <c r="C43" s="22" t="s">
        <v>131</v>
      </c>
      <c r="D43" s="22" t="s">
        <v>58</v>
      </c>
      <c r="E43" s="22" t="s">
        <v>59</v>
      </c>
      <c r="F43" s="9" t="n">
        <f>1501</f>
        <v>1501.0</v>
      </c>
      <c r="G43" s="10" t="n">
        <f>14.5</f>
        <v>14.5</v>
      </c>
      <c r="H43" s="10" t="n">
        <f>0.9</f>
        <v>0.9</v>
      </c>
      <c r="I43" s="11" t="n">
        <f>116.69</f>
        <v>116.69</v>
      </c>
      <c r="J43" s="11" t="n">
        <f>1795.95</f>
        <v>1795.95</v>
      </c>
      <c r="K43" s="10" t="n">
        <f>20.1</f>
        <v>20.1</v>
      </c>
      <c r="L43" s="10" t="n">
        <f>1.2</f>
        <v>1.2</v>
      </c>
      <c r="M43" s="21" t="n">
        <f>1641671257447</f>
        <v>1.641671257447E12</v>
      </c>
      <c r="N43" s="21" t="n">
        <f>26618726281697</f>
        <v>2.6618726281697E13</v>
      </c>
    </row>
    <row r="44">
      <c r="A44" s="22" t="s">
        <v>53</v>
      </c>
      <c r="B44" s="22" t="s">
        <v>130</v>
      </c>
      <c r="C44" s="22" t="s">
        <v>131</v>
      </c>
      <c r="D44" s="22" t="s">
        <v>60</v>
      </c>
      <c r="E44" s="22" t="s">
        <v>61</v>
      </c>
      <c r="F44" s="9" t="n">
        <f>605</f>
        <v>605.0</v>
      </c>
      <c r="G44" s="10" t="n">
        <f>16.3</f>
        <v>16.3</v>
      </c>
      <c r="H44" s="10" t="n">
        <f>0.9</f>
        <v>0.9</v>
      </c>
      <c r="I44" s="11" t="n">
        <f>124.48</f>
        <v>124.48</v>
      </c>
      <c r="J44" s="11" t="n">
        <f>2366.96</f>
        <v>2366.96</v>
      </c>
      <c r="K44" s="10" t="n">
        <f>24.3</f>
        <v>24.3</v>
      </c>
      <c r="L44" s="10" t="n">
        <f>1.1</f>
        <v>1.1</v>
      </c>
      <c r="M44" s="21" t="n">
        <f>590149664194</f>
        <v>5.90149664194E11</v>
      </c>
      <c r="N44" s="21" t="n">
        <f>13233426913437</f>
        <v>1.3233426913437E13</v>
      </c>
    </row>
    <row r="45">
      <c r="A45" s="22" t="s">
        <v>53</v>
      </c>
      <c r="B45" s="22" t="s">
        <v>130</v>
      </c>
      <c r="C45" s="22" t="s">
        <v>131</v>
      </c>
      <c r="D45" s="22" t="s">
        <v>62</v>
      </c>
      <c r="E45" s="22" t="s">
        <v>63</v>
      </c>
      <c r="F45" s="9" t="n">
        <f>896</f>
        <v>896.0</v>
      </c>
      <c r="G45" s="10" t="n">
        <f>13.2</f>
        <v>13.2</v>
      </c>
      <c r="H45" s="10" t="n">
        <f>1</f>
        <v>1.0</v>
      </c>
      <c r="I45" s="11" t="n">
        <f>111.43</f>
        <v>111.43</v>
      </c>
      <c r="J45" s="11" t="n">
        <f>1410.38</f>
        <v>1410.38</v>
      </c>
      <c r="K45" s="10" t="n">
        <f>17.7</f>
        <v>17.7</v>
      </c>
      <c r="L45" s="10" t="n">
        <f>1.4</f>
        <v>1.4</v>
      </c>
      <c r="M45" s="21" t="n">
        <f>1051521593253</f>
        <v>1.051521593253E12</v>
      </c>
      <c r="N45" s="21" t="n">
        <f>13385299368260</f>
        <v>1.338529936826E13</v>
      </c>
    </row>
    <row r="46">
      <c r="A46" s="22" t="s">
        <v>53</v>
      </c>
      <c r="B46" s="22" t="s">
        <v>130</v>
      </c>
      <c r="C46" s="22" t="s">
        <v>131</v>
      </c>
      <c r="D46" s="22" t="s">
        <v>64</v>
      </c>
      <c r="E46" s="22" t="s">
        <v>65</v>
      </c>
      <c r="F46" s="9" t="n">
        <f>5</f>
        <v>5.0</v>
      </c>
      <c r="G46" s="10" t="n">
        <f>12.6</f>
        <v>12.6</v>
      </c>
      <c r="H46" s="10" t="n">
        <f>1.1</f>
        <v>1.1</v>
      </c>
      <c r="I46" s="11" t="n">
        <f>182.02</f>
        <v>182.02</v>
      </c>
      <c r="J46" s="11" t="n">
        <f>2011.45</f>
        <v>2011.45</v>
      </c>
      <c r="K46" s="10" t="n">
        <f>9.6</f>
        <v>9.6</v>
      </c>
      <c r="L46" s="10" t="n">
        <f>1</f>
        <v>1.0</v>
      </c>
      <c r="M46" s="21" t="n">
        <f>6976000000</f>
        <v>6.976E9</v>
      </c>
      <c r="N46" s="21" t="n">
        <f>70219000000</f>
        <v>7.0219E10</v>
      </c>
    </row>
    <row r="47">
      <c r="A47" s="22" t="s">
        <v>53</v>
      </c>
      <c r="B47" s="22" t="s">
        <v>130</v>
      </c>
      <c r="C47" s="22" t="s">
        <v>131</v>
      </c>
      <c r="D47" s="22" t="s">
        <v>66</v>
      </c>
      <c r="E47" s="22" t="s">
        <v>67</v>
      </c>
      <c r="F47" s="9" t="n">
        <f>1</f>
        <v>1.0</v>
      </c>
      <c r="G47" s="10" t="n">
        <f>16.9</f>
        <v>16.9</v>
      </c>
      <c r="H47" s="10" t="n">
        <f>1.5</f>
        <v>1.5</v>
      </c>
      <c r="I47" s="11" t="n">
        <f>39.24</f>
        <v>39.24</v>
      </c>
      <c r="J47" s="11" t="n">
        <f>433.63</f>
        <v>433.63</v>
      </c>
      <c r="K47" s="10" t="n">
        <f>16.9</f>
        <v>16.9</v>
      </c>
      <c r="L47" s="10" t="n">
        <f>1.5</f>
        <v>1.5</v>
      </c>
      <c r="M47" s="21" t="n">
        <f>2638000000</f>
        <v>2.638E9</v>
      </c>
      <c r="N47" s="21" t="n">
        <f>29150000000</f>
        <v>2.915E10</v>
      </c>
    </row>
    <row r="48">
      <c r="A48" s="22" t="s">
        <v>53</v>
      </c>
      <c r="B48" s="22" t="s">
        <v>130</v>
      </c>
      <c r="C48" s="22" t="s">
        <v>131</v>
      </c>
      <c r="D48" s="22" t="s">
        <v>68</v>
      </c>
      <c r="E48" s="22" t="s">
        <v>69</v>
      </c>
      <c r="F48" s="9" t="n">
        <f>62</f>
        <v>62.0</v>
      </c>
      <c r="G48" s="10" t="n">
        <f>10.5</f>
        <v>10.5</v>
      </c>
      <c r="H48" s="10" t="n">
        <f>0.9</f>
        <v>0.9</v>
      </c>
      <c r="I48" s="11" t="n">
        <f>204.12</f>
        <v>204.12</v>
      </c>
      <c r="J48" s="11" t="n">
        <f>2476.66</f>
        <v>2476.66</v>
      </c>
      <c r="K48" s="10" t="n">
        <f>8.4</f>
        <v>8.4</v>
      </c>
      <c r="L48" s="10" t="n">
        <f>1.2</f>
        <v>1.2</v>
      </c>
      <c r="M48" s="21" t="n">
        <f>209932639000</f>
        <v>2.09932639E11</v>
      </c>
      <c r="N48" s="21" t="n">
        <f>1502290907000</f>
        <v>1.502290907E12</v>
      </c>
    </row>
    <row r="49">
      <c r="A49" s="22" t="s">
        <v>53</v>
      </c>
      <c r="B49" s="22" t="s">
        <v>130</v>
      </c>
      <c r="C49" s="22" t="s">
        <v>131</v>
      </c>
      <c r="D49" s="22" t="s">
        <v>70</v>
      </c>
      <c r="E49" s="22" t="s">
        <v>71</v>
      </c>
      <c r="F49" s="9" t="n">
        <f>52</f>
        <v>52.0</v>
      </c>
      <c r="G49" s="10" t="n">
        <f>16.7</f>
        <v>16.7</v>
      </c>
      <c r="H49" s="10" t="n">
        <f>1.2</f>
        <v>1.2</v>
      </c>
      <c r="I49" s="11" t="n">
        <f>128.72</f>
        <v>128.72</v>
      </c>
      <c r="J49" s="11" t="n">
        <f>1837.79</f>
        <v>1837.79</v>
      </c>
      <c r="K49" s="10" t="n">
        <f>15.9</f>
        <v>15.9</v>
      </c>
      <c r="L49" s="10" t="n">
        <f>1.3</f>
        <v>1.3</v>
      </c>
      <c r="M49" s="21" t="n">
        <f>90097496000</f>
        <v>9.0097496E10</v>
      </c>
      <c r="N49" s="21" t="n">
        <f>1090551868000</f>
        <v>1.090551868E12</v>
      </c>
    </row>
    <row r="50">
      <c r="A50" s="22" t="s">
        <v>53</v>
      </c>
      <c r="B50" s="22" t="s">
        <v>130</v>
      </c>
      <c r="C50" s="22" t="s">
        <v>131</v>
      </c>
      <c r="D50" s="22" t="s">
        <v>72</v>
      </c>
      <c r="E50" s="22" t="s">
        <v>73</v>
      </c>
      <c r="F50" s="9" t="n">
        <f>29</f>
        <v>29.0</v>
      </c>
      <c r="G50" s="10" t="n">
        <f>15.8</f>
        <v>15.8</v>
      </c>
      <c r="H50" s="10" t="n">
        <f>0.6</f>
        <v>0.6</v>
      </c>
      <c r="I50" s="11" t="n">
        <f>85.35</f>
        <v>85.35</v>
      </c>
      <c r="J50" s="11" t="n">
        <f>2214.89</f>
        <v>2214.89</v>
      </c>
      <c r="K50" s="10" t="n">
        <f>12.7</f>
        <v>12.7</v>
      </c>
      <c r="L50" s="10" t="n">
        <f>0.9</f>
        <v>0.9</v>
      </c>
      <c r="M50" s="21" t="n">
        <f>38136804558</f>
        <v>3.8136804558E10</v>
      </c>
      <c r="N50" s="21" t="n">
        <f>541142223464</f>
        <v>5.41142223464E11</v>
      </c>
    </row>
    <row r="51">
      <c r="A51" s="22" t="s">
        <v>53</v>
      </c>
      <c r="B51" s="22" t="s">
        <v>130</v>
      </c>
      <c r="C51" s="22" t="s">
        <v>131</v>
      </c>
      <c r="D51" s="22" t="s">
        <v>74</v>
      </c>
      <c r="E51" s="22" t="s">
        <v>75</v>
      </c>
      <c r="F51" s="9" t="n">
        <f>14</f>
        <v>14.0</v>
      </c>
      <c r="G51" s="10" t="n">
        <f>11.8</f>
        <v>11.8</v>
      </c>
      <c r="H51" s="10" t="n">
        <f>0.7</f>
        <v>0.7</v>
      </c>
      <c r="I51" s="11" t="n">
        <f>156.38</f>
        <v>156.38</v>
      </c>
      <c r="J51" s="11" t="n">
        <f>2643.09</f>
        <v>2643.09</v>
      </c>
      <c r="K51" s="10" t="n">
        <f>13.4</f>
        <v>13.4</v>
      </c>
      <c r="L51" s="10" t="n">
        <f>0.8</f>
        <v>0.8</v>
      </c>
      <c r="M51" s="21" t="n">
        <f>14371000000</f>
        <v>1.4371E10</v>
      </c>
      <c r="N51" s="21" t="n">
        <f>246926000000</f>
        <v>2.46926E11</v>
      </c>
    </row>
    <row r="52">
      <c r="A52" s="22" t="s">
        <v>53</v>
      </c>
      <c r="B52" s="22" t="s">
        <v>130</v>
      </c>
      <c r="C52" s="22" t="s">
        <v>131</v>
      </c>
      <c r="D52" s="22" t="s">
        <v>76</v>
      </c>
      <c r="E52" s="22" t="s">
        <v>77</v>
      </c>
      <c r="F52" s="9" t="n">
        <f>80</f>
        <v>80.0</v>
      </c>
      <c r="G52" s="10" t="n">
        <f>12.7</f>
        <v>12.7</v>
      </c>
      <c r="H52" s="10" t="n">
        <f>0.9</f>
        <v>0.9</v>
      </c>
      <c r="I52" s="11" t="n">
        <f>174.68</f>
        <v>174.68</v>
      </c>
      <c r="J52" s="11" t="n">
        <f>2563.43</f>
        <v>2563.43</v>
      </c>
      <c r="K52" s="10" t="n">
        <f>14.2</f>
        <v>14.2</v>
      </c>
      <c r="L52" s="10" t="n">
        <f>1.1</f>
        <v>1.1</v>
      </c>
      <c r="M52" s="21" t="n">
        <f>143084000000</f>
        <v>1.43084E11</v>
      </c>
      <c r="N52" s="21" t="n">
        <f>1868562821973</f>
        <v>1.868562821973E12</v>
      </c>
    </row>
    <row r="53">
      <c r="A53" s="22" t="s">
        <v>53</v>
      </c>
      <c r="B53" s="22" t="s">
        <v>130</v>
      </c>
      <c r="C53" s="22" t="s">
        <v>131</v>
      </c>
      <c r="D53" s="22" t="s">
        <v>78</v>
      </c>
      <c r="E53" s="22" t="s">
        <v>79</v>
      </c>
      <c r="F53" s="9" t="n">
        <f>8</f>
        <v>8.0</v>
      </c>
      <c r="G53" s="10" t="n">
        <f>16</f>
        <v>16.0</v>
      </c>
      <c r="H53" s="10" t="n">
        <f>0.8</f>
        <v>0.8</v>
      </c>
      <c r="I53" s="11" t="n">
        <f>61.34</f>
        <v>61.34</v>
      </c>
      <c r="J53" s="11" t="n">
        <f>1293.38</f>
        <v>1293.38</v>
      </c>
      <c r="K53" s="10" t="n">
        <f>11.5</f>
        <v>11.5</v>
      </c>
      <c r="L53" s="10" t="n">
        <f>1.4</f>
        <v>1.4</v>
      </c>
      <c r="M53" s="21" t="n">
        <f>11049000000</f>
        <v>1.1049E10</v>
      </c>
      <c r="N53" s="21" t="n">
        <f>91766000000</f>
        <v>9.1766E10</v>
      </c>
    </row>
    <row r="54">
      <c r="A54" s="22" t="s">
        <v>53</v>
      </c>
      <c r="B54" s="22" t="s">
        <v>130</v>
      </c>
      <c r="C54" s="22" t="s">
        <v>131</v>
      </c>
      <c r="D54" s="22" t="s">
        <v>80</v>
      </c>
      <c r="E54" s="22" t="s">
        <v>81</v>
      </c>
      <c r="F54" s="9" t="n">
        <f>4</f>
        <v>4.0</v>
      </c>
      <c r="G54" s="10" t="n">
        <f>11.6</f>
        <v>11.6</v>
      </c>
      <c r="H54" s="10" t="n">
        <f>1</f>
        <v>1.0</v>
      </c>
      <c r="I54" s="11" t="n">
        <f>144.66</f>
        <v>144.66</v>
      </c>
      <c r="J54" s="11" t="n">
        <f>1735.55</f>
        <v>1735.55</v>
      </c>
      <c r="K54" s="10" t="n">
        <f>11.7</f>
        <v>11.7</v>
      </c>
      <c r="L54" s="10" t="n">
        <f>1</f>
        <v>1.0</v>
      </c>
      <c r="M54" s="21" t="n">
        <f>8061000000</f>
        <v>8.061E9</v>
      </c>
      <c r="N54" s="21" t="n">
        <f>91243000000</f>
        <v>9.1243E10</v>
      </c>
    </row>
    <row r="55">
      <c r="A55" s="22" t="s">
        <v>53</v>
      </c>
      <c r="B55" s="22" t="s">
        <v>130</v>
      </c>
      <c r="C55" s="22" t="s">
        <v>131</v>
      </c>
      <c r="D55" s="22" t="s">
        <v>82</v>
      </c>
      <c r="E55" s="22" t="s">
        <v>83</v>
      </c>
      <c r="F55" s="9" t="n">
        <f>6</f>
        <v>6.0</v>
      </c>
      <c r="G55" s="10" t="n">
        <f>13.3</f>
        <v>13.3</v>
      </c>
      <c r="H55" s="10" t="n">
        <f>0.8</f>
        <v>0.8</v>
      </c>
      <c r="I55" s="11" t="n">
        <f>186.34</f>
        <v>186.34</v>
      </c>
      <c r="J55" s="11" t="n">
        <f>2916.87</f>
        <v>2916.87</v>
      </c>
      <c r="K55" s="10" t="n">
        <f>12.4</f>
        <v>12.4</v>
      </c>
      <c r="L55" s="10" t="n">
        <f>1.1</f>
        <v>1.1</v>
      </c>
      <c r="M55" s="21" t="n">
        <f>17644000000</f>
        <v>1.7644E10</v>
      </c>
      <c r="N55" s="21" t="n">
        <f>191417000000</f>
        <v>1.91417E11</v>
      </c>
    </row>
    <row r="56">
      <c r="A56" s="22" t="s">
        <v>53</v>
      </c>
      <c r="B56" s="22" t="s">
        <v>130</v>
      </c>
      <c r="C56" s="22" t="s">
        <v>131</v>
      </c>
      <c r="D56" s="22" t="s">
        <v>84</v>
      </c>
      <c r="E56" s="22" t="s">
        <v>85</v>
      </c>
      <c r="F56" s="9" t="n">
        <f>27</f>
        <v>27.0</v>
      </c>
      <c r="G56" s="10" t="n">
        <f>11.8</f>
        <v>11.8</v>
      </c>
      <c r="H56" s="10" t="n">
        <f>0.7</f>
        <v>0.7</v>
      </c>
      <c r="I56" s="11" t="n">
        <f>116.78</f>
        <v>116.78</v>
      </c>
      <c r="J56" s="11" t="n">
        <f>1935.09</f>
        <v>1935.09</v>
      </c>
      <c r="K56" s="10" t="n">
        <f>13</f>
        <v>13.0</v>
      </c>
      <c r="L56" s="10" t="n">
        <f>1</f>
        <v>1.0</v>
      </c>
      <c r="M56" s="21" t="n">
        <f>49661000000</f>
        <v>4.9661E10</v>
      </c>
      <c r="N56" s="21" t="n">
        <f>656547000000</f>
        <v>6.56547E11</v>
      </c>
    </row>
    <row r="57">
      <c r="A57" s="22" t="s">
        <v>53</v>
      </c>
      <c r="B57" s="22" t="s">
        <v>130</v>
      </c>
      <c r="C57" s="22" t="s">
        <v>131</v>
      </c>
      <c r="D57" s="22" t="s">
        <v>86</v>
      </c>
      <c r="E57" s="22" t="s">
        <v>87</v>
      </c>
      <c r="F57" s="9" t="n">
        <f>17</f>
        <v>17.0</v>
      </c>
      <c r="G57" s="10" t="n">
        <f>21.5</f>
        <v>21.5</v>
      </c>
      <c r="H57" s="10" t="n">
        <f>0.6</f>
        <v>0.6</v>
      </c>
      <c r="I57" s="11" t="n">
        <f>91.33</f>
        <v>91.33</v>
      </c>
      <c r="J57" s="11" t="n">
        <f>3097.39</f>
        <v>3097.39</v>
      </c>
      <c r="K57" s="10" t="str">
        <f>"－"</f>
        <v>－</v>
      </c>
      <c r="L57" s="10" t="n">
        <f>0.7</f>
        <v>0.7</v>
      </c>
      <c r="M57" s="21" t="n">
        <f>-6931000000</f>
        <v>-6.931E9</v>
      </c>
      <c r="N57" s="21" t="n">
        <f>468473000000</f>
        <v>4.68473E11</v>
      </c>
    </row>
    <row r="58">
      <c r="A58" s="22" t="s">
        <v>53</v>
      </c>
      <c r="B58" s="22" t="s">
        <v>130</v>
      </c>
      <c r="C58" s="22" t="s">
        <v>131</v>
      </c>
      <c r="D58" s="22" t="s">
        <v>88</v>
      </c>
      <c r="E58" s="22" t="s">
        <v>89</v>
      </c>
      <c r="F58" s="9" t="n">
        <f>11</f>
        <v>11.0</v>
      </c>
      <c r="G58" s="10" t="n">
        <f>14</f>
        <v>14.0</v>
      </c>
      <c r="H58" s="10" t="n">
        <f>0.9</f>
        <v>0.9</v>
      </c>
      <c r="I58" s="11" t="n">
        <f>96.36</f>
        <v>96.36</v>
      </c>
      <c r="J58" s="11" t="n">
        <f>1539.07</f>
        <v>1539.07</v>
      </c>
      <c r="K58" s="10" t="n">
        <f>17.4</f>
        <v>17.4</v>
      </c>
      <c r="L58" s="10" t="n">
        <f>1</f>
        <v>1.0</v>
      </c>
      <c r="M58" s="21" t="n">
        <f>6361000000</f>
        <v>6.361E9</v>
      </c>
      <c r="N58" s="21" t="n">
        <f>112422000000</f>
        <v>1.12422E11</v>
      </c>
    </row>
    <row r="59">
      <c r="A59" s="22" t="s">
        <v>53</v>
      </c>
      <c r="B59" s="22" t="s">
        <v>130</v>
      </c>
      <c r="C59" s="22" t="s">
        <v>131</v>
      </c>
      <c r="D59" s="22" t="s">
        <v>90</v>
      </c>
      <c r="E59" s="22" t="s">
        <v>91</v>
      </c>
      <c r="F59" s="9" t="n">
        <f>57</f>
        <v>57.0</v>
      </c>
      <c r="G59" s="10" t="n">
        <f>15</f>
        <v>15.0</v>
      </c>
      <c r="H59" s="10" t="n">
        <f>0.6</f>
        <v>0.6</v>
      </c>
      <c r="I59" s="11" t="n">
        <f>157.81</f>
        <v>157.81</v>
      </c>
      <c r="J59" s="11" t="n">
        <f>3639.72</f>
        <v>3639.72</v>
      </c>
      <c r="K59" s="10" t="n">
        <f>14.6</f>
        <v>14.6</v>
      </c>
      <c r="L59" s="10" t="n">
        <f>0.8</f>
        <v>0.8</v>
      </c>
      <c r="M59" s="21" t="n">
        <f>60959000000</f>
        <v>6.0959E10</v>
      </c>
      <c r="N59" s="21" t="n">
        <f>1157089000000</f>
        <v>1.157089E12</v>
      </c>
    </row>
    <row r="60">
      <c r="A60" s="22" t="s">
        <v>53</v>
      </c>
      <c r="B60" s="22" t="s">
        <v>130</v>
      </c>
      <c r="C60" s="22" t="s">
        <v>131</v>
      </c>
      <c r="D60" s="22" t="s">
        <v>92</v>
      </c>
      <c r="E60" s="22" t="s">
        <v>93</v>
      </c>
      <c r="F60" s="9" t="n">
        <f>92</f>
        <v>92.0</v>
      </c>
      <c r="G60" s="10" t="n">
        <f>18.6</f>
        <v>18.6</v>
      </c>
      <c r="H60" s="10" t="n">
        <f>0.9</f>
        <v>0.9</v>
      </c>
      <c r="I60" s="11" t="n">
        <f>120.35</f>
        <v>120.35</v>
      </c>
      <c r="J60" s="11" t="n">
        <f>2506.01</f>
        <v>2506.01</v>
      </c>
      <c r="K60" s="10" t="str">
        <f>"－"</f>
        <v>－</v>
      </c>
      <c r="L60" s="10" t="n">
        <f>0.9</f>
        <v>0.9</v>
      </c>
      <c r="M60" s="21" t="n">
        <f>-145660000000</f>
        <v>-1.4566E11</v>
      </c>
      <c r="N60" s="21" t="n">
        <f>1739895000000</f>
        <v>1.739895E12</v>
      </c>
    </row>
    <row r="61">
      <c r="A61" s="22" t="s">
        <v>53</v>
      </c>
      <c r="B61" s="22" t="s">
        <v>130</v>
      </c>
      <c r="C61" s="22" t="s">
        <v>131</v>
      </c>
      <c r="D61" s="22" t="s">
        <v>94</v>
      </c>
      <c r="E61" s="22" t="s">
        <v>95</v>
      </c>
      <c r="F61" s="9" t="n">
        <f>93</f>
        <v>93.0</v>
      </c>
      <c r="G61" s="10" t="n">
        <f>19.8</f>
        <v>19.8</v>
      </c>
      <c r="H61" s="10" t="n">
        <f>1.2</f>
        <v>1.2</v>
      </c>
      <c r="I61" s="11" t="n">
        <f>121.38</f>
        <v>121.38</v>
      </c>
      <c r="J61" s="11" t="n">
        <f>2023.45</f>
        <v>2023.45</v>
      </c>
      <c r="K61" s="10" t="n">
        <f>22.7</f>
        <v>22.7</v>
      </c>
      <c r="L61" s="10" t="n">
        <f>1.6</f>
        <v>1.6</v>
      </c>
      <c r="M61" s="21" t="n">
        <f>152145000000</f>
        <v>1.52145E11</v>
      </c>
      <c r="N61" s="21" t="n">
        <f>2134556000000</f>
        <v>2.134556E12</v>
      </c>
    </row>
    <row r="62">
      <c r="A62" s="22" t="s">
        <v>53</v>
      </c>
      <c r="B62" s="22" t="s">
        <v>130</v>
      </c>
      <c r="C62" s="22" t="s">
        <v>131</v>
      </c>
      <c r="D62" s="22" t="s">
        <v>96</v>
      </c>
      <c r="E62" s="22" t="s">
        <v>97</v>
      </c>
      <c r="F62" s="9" t="n">
        <f>39</f>
        <v>39.0</v>
      </c>
      <c r="G62" s="10" t="n">
        <f>13.9</f>
        <v>13.9</v>
      </c>
      <c r="H62" s="10" t="n">
        <f>0.8</f>
        <v>0.8</v>
      </c>
      <c r="I62" s="11" t="n">
        <f>166.05</f>
        <v>166.05</v>
      </c>
      <c r="J62" s="11" t="n">
        <f>2881.57</f>
        <v>2881.57</v>
      </c>
      <c r="K62" s="10" t="n">
        <f>13.7</f>
        <v>13.7</v>
      </c>
      <c r="L62" s="10" t="n">
        <f>0.8</f>
        <v>0.8</v>
      </c>
      <c r="M62" s="21" t="n">
        <f>99452000000</f>
        <v>9.9452E10</v>
      </c>
      <c r="N62" s="21" t="n">
        <f>1643870000000</f>
        <v>1.64387E12</v>
      </c>
    </row>
    <row r="63">
      <c r="A63" s="22" t="s">
        <v>53</v>
      </c>
      <c r="B63" s="22" t="s">
        <v>130</v>
      </c>
      <c r="C63" s="22" t="s">
        <v>131</v>
      </c>
      <c r="D63" s="22" t="s">
        <v>98</v>
      </c>
      <c r="E63" s="22" t="s">
        <v>99</v>
      </c>
      <c r="F63" s="9" t="n">
        <f>17</f>
        <v>17.0</v>
      </c>
      <c r="G63" s="10" t="n">
        <f>21.7</f>
        <v>21.7</v>
      </c>
      <c r="H63" s="10" t="n">
        <f>1.5</f>
        <v>1.5</v>
      </c>
      <c r="I63" s="11" t="n">
        <f>77.29</f>
        <v>77.29</v>
      </c>
      <c r="J63" s="11" t="n">
        <f>1113.37</f>
        <v>1113.37</v>
      </c>
      <c r="K63" s="10" t="n">
        <f>39.8</f>
        <v>39.8</v>
      </c>
      <c r="L63" s="10" t="n">
        <f>1.7</f>
        <v>1.7</v>
      </c>
      <c r="M63" s="21" t="n">
        <f>15865000000</f>
        <v>1.5865E10</v>
      </c>
      <c r="N63" s="21" t="n">
        <f>374948000000</f>
        <v>3.74948E11</v>
      </c>
    </row>
    <row r="64">
      <c r="A64" s="22" t="s">
        <v>53</v>
      </c>
      <c r="B64" s="22" t="s">
        <v>130</v>
      </c>
      <c r="C64" s="22" t="s">
        <v>131</v>
      </c>
      <c r="D64" s="22" t="s">
        <v>100</v>
      </c>
      <c r="E64" s="22" t="s">
        <v>101</v>
      </c>
      <c r="F64" s="9" t="n">
        <f>59</f>
        <v>59.0</v>
      </c>
      <c r="G64" s="10" t="n">
        <f>25.3</f>
        <v>25.3</v>
      </c>
      <c r="H64" s="10" t="n">
        <f>0.6</f>
        <v>0.6</v>
      </c>
      <c r="I64" s="11" t="n">
        <f>48.84</f>
        <v>48.84</v>
      </c>
      <c r="J64" s="11" t="n">
        <f>1966.25</f>
        <v>1966.25</v>
      </c>
      <c r="K64" s="10" t="n">
        <f>20.2</f>
        <v>20.2</v>
      </c>
      <c r="L64" s="10" t="n">
        <f>0.9</f>
        <v>0.9</v>
      </c>
      <c r="M64" s="21" t="n">
        <f>35854363636</f>
        <v>3.5854363636E10</v>
      </c>
      <c r="N64" s="21" t="n">
        <f>824018000000</f>
        <v>8.24018E11</v>
      </c>
    </row>
    <row r="65">
      <c r="A65" s="22" t="s">
        <v>53</v>
      </c>
      <c r="B65" s="22" t="s">
        <v>130</v>
      </c>
      <c r="C65" s="22" t="s">
        <v>131</v>
      </c>
      <c r="D65" s="22" t="s">
        <v>102</v>
      </c>
      <c r="E65" s="22" t="s">
        <v>103</v>
      </c>
      <c r="F65" s="9" t="n">
        <f>5</f>
        <v>5.0</v>
      </c>
      <c r="G65" s="10" t="n">
        <f>6.7</f>
        <v>6.7</v>
      </c>
      <c r="H65" s="10" t="n">
        <f>0.4</f>
        <v>0.4</v>
      </c>
      <c r="I65" s="11" t="n">
        <f>189.16</f>
        <v>189.16</v>
      </c>
      <c r="J65" s="11" t="n">
        <f>3304.54</f>
        <v>3304.54</v>
      </c>
      <c r="K65" s="10" t="n">
        <f>8.9</f>
        <v>8.9</v>
      </c>
      <c r="L65" s="10" t="n">
        <f>0.4</f>
        <v>0.4</v>
      </c>
      <c r="M65" s="21" t="n">
        <f>9513000000</f>
        <v>9.513E9</v>
      </c>
      <c r="N65" s="21" t="n">
        <f>189278000000</f>
        <v>1.89278E11</v>
      </c>
    </row>
    <row r="66">
      <c r="A66" s="22" t="s">
        <v>53</v>
      </c>
      <c r="B66" s="22" t="s">
        <v>130</v>
      </c>
      <c r="C66" s="22" t="s">
        <v>131</v>
      </c>
      <c r="D66" s="22" t="s">
        <v>104</v>
      </c>
      <c r="E66" s="22" t="s">
        <v>105</v>
      </c>
      <c r="F66" s="9" t="n">
        <f>20</f>
        <v>20.0</v>
      </c>
      <c r="G66" s="10" t="n">
        <f>8.8</f>
        <v>8.8</v>
      </c>
      <c r="H66" s="10" t="n">
        <f>0.6</f>
        <v>0.6</v>
      </c>
      <c r="I66" s="11" t="n">
        <f>279.61</f>
        <v>279.61</v>
      </c>
      <c r="J66" s="11" t="n">
        <f>4083.18</f>
        <v>4083.18</v>
      </c>
      <c r="K66" s="10" t="n">
        <f>9.8</f>
        <v>9.8</v>
      </c>
      <c r="L66" s="10" t="n">
        <f>0.7</f>
        <v>0.7</v>
      </c>
      <c r="M66" s="21" t="n">
        <f>32321000000</f>
        <v>3.2321E10</v>
      </c>
      <c r="N66" s="21" t="n">
        <f>432464000000</f>
        <v>4.32464E11</v>
      </c>
    </row>
    <row r="67">
      <c r="A67" s="22" t="s">
        <v>53</v>
      </c>
      <c r="B67" s="22" t="s">
        <v>130</v>
      </c>
      <c r="C67" s="22" t="s">
        <v>131</v>
      </c>
      <c r="D67" s="22" t="s">
        <v>106</v>
      </c>
      <c r="E67" s="22" t="s">
        <v>107</v>
      </c>
      <c r="F67" s="9" t="n">
        <f>6</f>
        <v>6.0</v>
      </c>
      <c r="G67" s="10" t="n">
        <f>11.8</f>
        <v>11.8</v>
      </c>
      <c r="H67" s="10" t="n">
        <f>0.7</f>
        <v>0.7</v>
      </c>
      <c r="I67" s="11" t="n">
        <f>177.68</f>
        <v>177.68</v>
      </c>
      <c r="J67" s="11" t="n">
        <f>2959.73</f>
        <v>2959.73</v>
      </c>
      <c r="K67" s="10" t="n">
        <f>13.3</f>
        <v>13.3</v>
      </c>
      <c r="L67" s="10" t="n">
        <f>0.7</f>
        <v>0.7</v>
      </c>
      <c r="M67" s="21" t="n">
        <f>10427000000</f>
        <v>1.0427E10</v>
      </c>
      <c r="N67" s="21" t="n">
        <f>212432000000</f>
        <v>2.12432E11</v>
      </c>
    </row>
    <row r="68">
      <c r="A68" s="22" t="s">
        <v>53</v>
      </c>
      <c r="B68" s="22" t="s">
        <v>130</v>
      </c>
      <c r="C68" s="22" t="s">
        <v>131</v>
      </c>
      <c r="D68" s="22" t="s">
        <v>108</v>
      </c>
      <c r="E68" s="22" t="s">
        <v>109</v>
      </c>
      <c r="F68" s="9" t="n">
        <f>2</f>
        <v>2.0</v>
      </c>
      <c r="G68" s="10" t="n">
        <f>24.2</f>
        <v>24.2</v>
      </c>
      <c r="H68" s="10" t="n">
        <f>5.2</f>
        <v>5.2</v>
      </c>
      <c r="I68" s="11" t="n">
        <f>65.59</f>
        <v>65.59</v>
      </c>
      <c r="J68" s="11" t="n">
        <f>303.29</f>
        <v>303.29</v>
      </c>
      <c r="K68" s="10" t="n">
        <f>15.2</f>
        <v>15.2</v>
      </c>
      <c r="L68" s="10" t="n">
        <f>1.5</f>
        <v>1.5</v>
      </c>
      <c r="M68" s="21" t="n">
        <f>1933000000</f>
        <v>1.933E9</v>
      </c>
      <c r="N68" s="21" t="n">
        <f>20018000000</f>
        <v>2.0018E10</v>
      </c>
    </row>
    <row r="69">
      <c r="A69" s="22" t="s">
        <v>53</v>
      </c>
      <c r="B69" s="22" t="s">
        <v>130</v>
      </c>
      <c r="C69" s="22" t="s">
        <v>131</v>
      </c>
      <c r="D69" s="22" t="s">
        <v>110</v>
      </c>
      <c r="E69" s="22" t="s">
        <v>111</v>
      </c>
      <c r="F69" s="9" t="n">
        <f>21</f>
        <v>21.0</v>
      </c>
      <c r="G69" s="10" t="n">
        <f>9</f>
        <v>9.0</v>
      </c>
      <c r="H69" s="10" t="n">
        <f>0.6</f>
        <v>0.6</v>
      </c>
      <c r="I69" s="11" t="n">
        <f>222.88</f>
        <v>222.88</v>
      </c>
      <c r="J69" s="11" t="n">
        <f>3469.24</f>
        <v>3469.24</v>
      </c>
      <c r="K69" s="10" t="n">
        <f>12.1</f>
        <v>12.1</v>
      </c>
      <c r="L69" s="10" t="n">
        <f>0.8</f>
        <v>0.8</v>
      </c>
      <c r="M69" s="21" t="n">
        <f>26478000000</f>
        <v>2.6478E10</v>
      </c>
      <c r="N69" s="21" t="n">
        <f>411415000000</f>
        <v>4.11415E11</v>
      </c>
    </row>
    <row r="70">
      <c r="A70" s="22" t="s">
        <v>53</v>
      </c>
      <c r="B70" s="22" t="s">
        <v>130</v>
      </c>
      <c r="C70" s="22" t="s">
        <v>131</v>
      </c>
      <c r="D70" s="22" t="s">
        <v>112</v>
      </c>
      <c r="E70" s="22" t="s">
        <v>113</v>
      </c>
      <c r="F70" s="9" t="n">
        <f>195</f>
        <v>195.0</v>
      </c>
      <c r="G70" s="10" t="n">
        <f>16.5</f>
        <v>16.5</v>
      </c>
      <c r="H70" s="10" t="n">
        <f>1.7</f>
        <v>1.7</v>
      </c>
      <c r="I70" s="11" t="n">
        <f>76.2</f>
        <v>76.2</v>
      </c>
      <c r="J70" s="11" t="n">
        <f>753.56</f>
        <v>753.56</v>
      </c>
      <c r="K70" s="10" t="n">
        <f>20.9</f>
        <v>20.9</v>
      </c>
      <c r="L70" s="10" t="n">
        <f>2.4</f>
        <v>2.4</v>
      </c>
      <c r="M70" s="21" t="n">
        <f>207263500000</f>
        <v>2.072635E11</v>
      </c>
      <c r="N70" s="21" t="n">
        <f>1768476000000</f>
        <v>1.768476E12</v>
      </c>
    </row>
    <row r="71">
      <c r="A71" s="22" t="s">
        <v>53</v>
      </c>
      <c r="B71" s="22" t="s">
        <v>130</v>
      </c>
      <c r="C71" s="22" t="s">
        <v>131</v>
      </c>
      <c r="D71" s="22" t="s">
        <v>114</v>
      </c>
      <c r="E71" s="22" t="s">
        <v>115</v>
      </c>
      <c r="F71" s="9" t="n">
        <f>150</f>
        <v>150.0</v>
      </c>
      <c r="G71" s="10" t="n">
        <f>11.6</f>
        <v>11.6</v>
      </c>
      <c r="H71" s="10" t="n">
        <f>0.8</f>
        <v>0.8</v>
      </c>
      <c r="I71" s="11" t="n">
        <f>157.78</f>
        <v>157.78</v>
      </c>
      <c r="J71" s="11" t="n">
        <f>2204.35</f>
        <v>2204.35</v>
      </c>
      <c r="K71" s="10" t="n">
        <f>28.2</f>
        <v>28.2</v>
      </c>
      <c r="L71" s="10" t="n">
        <f>0.9</f>
        <v>0.9</v>
      </c>
      <c r="M71" s="21" t="n">
        <f>106115000000</f>
        <v>1.06115E11</v>
      </c>
      <c r="N71" s="21" t="n">
        <f>3175787764180</f>
        <v>3.17578776418E12</v>
      </c>
    </row>
    <row r="72">
      <c r="A72" s="22" t="s">
        <v>53</v>
      </c>
      <c r="B72" s="22" t="s">
        <v>130</v>
      </c>
      <c r="C72" s="22" t="s">
        <v>131</v>
      </c>
      <c r="D72" s="22" t="s">
        <v>116</v>
      </c>
      <c r="E72" s="22" t="s">
        <v>117</v>
      </c>
      <c r="F72" s="9" t="n">
        <f>166</f>
        <v>166.0</v>
      </c>
      <c r="G72" s="10" t="n">
        <f>18.8</f>
        <v>18.8</v>
      </c>
      <c r="H72" s="10" t="n">
        <f>1.4</f>
        <v>1.4</v>
      </c>
      <c r="I72" s="11" t="n">
        <f>70.48</f>
        <v>70.48</v>
      </c>
      <c r="J72" s="11" t="n">
        <f>978.92</f>
        <v>978.92</v>
      </c>
      <c r="K72" s="10" t="n">
        <f>25.4</f>
        <v>25.4</v>
      </c>
      <c r="L72" s="10" t="n">
        <f>1.8</f>
        <v>1.8</v>
      </c>
      <c r="M72" s="21" t="n">
        <f>194589018467</f>
        <v>1.94589018467E11</v>
      </c>
      <c r="N72" s="21" t="n">
        <f>2719406528942</f>
        <v>2.719406528942E12</v>
      </c>
    </row>
    <row r="73">
      <c r="A73" s="22" t="s">
        <v>53</v>
      </c>
      <c r="B73" s="22" t="s">
        <v>130</v>
      </c>
      <c r="C73" s="22" t="s">
        <v>131</v>
      </c>
      <c r="D73" s="22" t="s">
        <v>118</v>
      </c>
      <c r="E73" s="22" t="s">
        <v>119</v>
      </c>
      <c r="F73" s="9" t="n">
        <f>10</f>
        <v>10.0</v>
      </c>
      <c r="G73" s="10" t="n">
        <f>11.5</f>
        <v>11.5</v>
      </c>
      <c r="H73" s="10" t="n">
        <f>0.4</f>
        <v>0.4</v>
      </c>
      <c r="I73" s="11" t="n">
        <f>129.59</f>
        <v>129.59</v>
      </c>
      <c r="J73" s="11" t="n">
        <f>3430.95</f>
        <v>3430.95</v>
      </c>
      <c r="K73" s="10" t="n">
        <f>11.2</f>
        <v>11.2</v>
      </c>
      <c r="L73" s="10" t="n">
        <f>0.5</f>
        <v>0.5</v>
      </c>
      <c r="M73" s="21" t="n">
        <f>14454371445</f>
        <v>1.4454371445E10</v>
      </c>
      <c r="N73" s="21" t="n">
        <f>346637160000</f>
        <v>3.4663716E11</v>
      </c>
    </row>
    <row r="74">
      <c r="A74" s="22" t="s">
        <v>53</v>
      </c>
      <c r="B74" s="22" t="s">
        <v>130</v>
      </c>
      <c r="C74" s="22" t="s">
        <v>131</v>
      </c>
      <c r="D74" s="22" t="s">
        <v>120</v>
      </c>
      <c r="E74" s="22" t="s">
        <v>121</v>
      </c>
      <c r="F74" s="9" t="n">
        <f>15</f>
        <v>15.0</v>
      </c>
      <c r="G74" s="10" t="n">
        <f>11.1</f>
        <v>11.1</v>
      </c>
      <c r="H74" s="10" t="n">
        <f>1</f>
        <v>1.0</v>
      </c>
      <c r="I74" s="11" t="n">
        <f>105.86</f>
        <v>105.86</v>
      </c>
      <c r="J74" s="11" t="n">
        <f>1191.91</f>
        <v>1191.91</v>
      </c>
      <c r="K74" s="10" t="n">
        <f>10</f>
        <v>10.0</v>
      </c>
      <c r="L74" s="10" t="n">
        <f>1.2</f>
        <v>1.2</v>
      </c>
      <c r="M74" s="21" t="n">
        <f>37431000000</f>
        <v>3.7431E10</v>
      </c>
      <c r="N74" s="21" t="n">
        <f>316363000000</f>
        <v>3.16363E11</v>
      </c>
    </row>
    <row r="75">
      <c r="A75" s="22" t="s">
        <v>53</v>
      </c>
      <c r="B75" s="22" t="s">
        <v>130</v>
      </c>
      <c r="C75" s="22" t="s">
        <v>131</v>
      </c>
      <c r="D75" s="22" t="s">
        <v>122</v>
      </c>
      <c r="E75" s="22" t="s">
        <v>123</v>
      </c>
      <c r="F75" s="9" t="str">
        <f>"－"</f>
        <v>－</v>
      </c>
      <c r="G75" s="10" t="str">
        <f>"－"</f>
        <v>－</v>
      </c>
      <c r="H75" s="10" t="str">
        <f>"－"</f>
        <v>－</v>
      </c>
      <c r="I75" s="11" t="str">
        <f>"－"</f>
        <v>－</v>
      </c>
      <c r="J75" s="11" t="str">
        <f>"－"</f>
        <v>－</v>
      </c>
      <c r="K75" s="10" t="str">
        <f>"－"</f>
        <v>－</v>
      </c>
      <c r="L75" s="10" t="str">
        <f>"－"</f>
        <v>－</v>
      </c>
      <c r="M75" s="21" t="str">
        <f>"－"</f>
        <v>－</v>
      </c>
      <c r="N75" s="21" t="str">
        <f>"－"</f>
        <v>－</v>
      </c>
    </row>
    <row r="76">
      <c r="A76" s="22" t="s">
        <v>53</v>
      </c>
      <c r="B76" s="22" t="s">
        <v>130</v>
      </c>
      <c r="C76" s="22" t="s">
        <v>131</v>
      </c>
      <c r="D76" s="22" t="s">
        <v>124</v>
      </c>
      <c r="E76" s="22" t="s">
        <v>125</v>
      </c>
      <c r="F76" s="9" t="n">
        <f>14</f>
        <v>14.0</v>
      </c>
      <c r="G76" s="10" t="n">
        <f>13.1</f>
        <v>13.1</v>
      </c>
      <c r="H76" s="10" t="n">
        <f>1.3</f>
        <v>1.3</v>
      </c>
      <c r="I76" s="11" t="n">
        <f>66.59</f>
        <v>66.59</v>
      </c>
      <c r="J76" s="11" t="n">
        <f>690.21</f>
        <v>690.21</v>
      </c>
      <c r="K76" s="10" t="n">
        <f>10.1</f>
        <v>10.1</v>
      </c>
      <c r="L76" s="10" t="n">
        <f>0.9</f>
        <v>0.9</v>
      </c>
      <c r="M76" s="21" t="n">
        <f>105331400000</f>
        <v>1.053314E11</v>
      </c>
      <c r="N76" s="21" t="n">
        <f>1128235000000</f>
        <v>1.128235E12</v>
      </c>
    </row>
    <row r="77">
      <c r="A77" s="22" t="s">
        <v>53</v>
      </c>
      <c r="B77" s="22" t="s">
        <v>130</v>
      </c>
      <c r="C77" s="22" t="s">
        <v>131</v>
      </c>
      <c r="D77" s="22" t="s">
        <v>126</v>
      </c>
      <c r="E77" s="22" t="s">
        <v>127</v>
      </c>
      <c r="F77" s="9" t="n">
        <f>64</f>
        <v>64.0</v>
      </c>
      <c r="G77" s="10" t="n">
        <f>9.9</f>
        <v>9.9</v>
      </c>
      <c r="H77" s="10" t="n">
        <f>0.9</f>
        <v>0.9</v>
      </c>
      <c r="I77" s="11" t="n">
        <f>112.39</f>
        <v>112.39</v>
      </c>
      <c r="J77" s="11" t="n">
        <f>1245.77</f>
        <v>1245.77</v>
      </c>
      <c r="K77" s="10" t="n">
        <f>13</f>
        <v>13.0</v>
      </c>
      <c r="L77" s="10" t="n">
        <f>1</f>
        <v>1.0</v>
      </c>
      <c r="M77" s="21" t="n">
        <f>84650000000</f>
        <v>8.465E10</v>
      </c>
      <c r="N77" s="21" t="n">
        <f>1135795846500</f>
        <v>1.1357958465E12</v>
      </c>
    </row>
    <row r="78">
      <c r="A78" s="22" t="s">
        <v>53</v>
      </c>
      <c r="B78" s="22" t="s">
        <v>130</v>
      </c>
      <c r="C78" s="22" t="s">
        <v>131</v>
      </c>
      <c r="D78" s="22" t="s">
        <v>128</v>
      </c>
      <c r="E78" s="22" t="s">
        <v>129</v>
      </c>
      <c r="F78" s="9" t="n">
        <f>199</f>
        <v>199.0</v>
      </c>
      <c r="G78" s="10" t="n">
        <f>15.1</f>
        <v>15.1</v>
      </c>
      <c r="H78" s="10" t="n">
        <f>1.3</f>
        <v>1.3</v>
      </c>
      <c r="I78" s="11" t="n">
        <f>82.43</f>
        <v>82.43</v>
      </c>
      <c r="J78" s="11" t="n">
        <f>956.93</f>
        <v>956.93</v>
      </c>
      <c r="K78" s="10" t="n">
        <f>15.8</f>
        <v>15.8</v>
      </c>
      <c r="L78" s="10" t="n">
        <f>1.5</f>
        <v>1.5</v>
      </c>
      <c r="M78" s="21" t="n">
        <f>158685435786</f>
        <v>1.58685435786E11</v>
      </c>
      <c r="N78" s="21" t="n">
        <f>1718566321638</f>
        <v>1.718566321638E12</v>
      </c>
    </row>
    <row r="79">
      <c r="A79" s="22" t="s">
        <v>53</v>
      </c>
      <c r="B79" s="22" t="s">
        <v>132</v>
      </c>
      <c r="C79" s="22" t="s">
        <v>133</v>
      </c>
      <c r="D79" s="22" t="s">
        <v>56</v>
      </c>
      <c r="E79" s="22" t="s">
        <v>57</v>
      </c>
      <c r="F79" s="9" t="n">
        <f>593</f>
        <v>593.0</v>
      </c>
      <c r="G79" s="10" t="n">
        <f>32.7</f>
        <v>32.7</v>
      </c>
      <c r="H79" s="10" t="n">
        <f>2.9</f>
        <v>2.9</v>
      </c>
      <c r="I79" s="11" t="n">
        <f>36.23</f>
        <v>36.23</v>
      </c>
      <c r="J79" s="11" t="n">
        <f>402.47</f>
        <v>402.47</v>
      </c>
      <c r="K79" s="10" t="n">
        <f>58.8</f>
        <v>58.8</v>
      </c>
      <c r="L79" s="10" t="n">
        <f>3.8</f>
        <v>3.8</v>
      </c>
      <c r="M79" s="21" t="n">
        <f>180656092385</f>
        <v>1.80656092385E11</v>
      </c>
      <c r="N79" s="21" t="n">
        <f>2787949384918</f>
        <v>2.787949384918E12</v>
      </c>
    </row>
    <row r="80">
      <c r="A80" s="22" t="s">
        <v>53</v>
      </c>
      <c r="B80" s="22" t="s">
        <v>132</v>
      </c>
      <c r="C80" s="22" t="s">
        <v>133</v>
      </c>
      <c r="D80" s="22" t="s">
        <v>58</v>
      </c>
      <c r="E80" s="22" t="s">
        <v>59</v>
      </c>
      <c r="F80" s="9" t="n">
        <f>583</f>
        <v>583.0</v>
      </c>
      <c r="G80" s="10" t="n">
        <f>33.4</f>
        <v>33.4</v>
      </c>
      <c r="H80" s="10" t="n">
        <f>3</f>
        <v>3.0</v>
      </c>
      <c r="I80" s="11" t="n">
        <f>35.51</f>
        <v>35.51</v>
      </c>
      <c r="J80" s="11" t="n">
        <f>396.17</f>
        <v>396.17</v>
      </c>
      <c r="K80" s="10" t="n">
        <f>62.8</f>
        <v>62.8</v>
      </c>
      <c r="L80" s="10" t="n">
        <f>3.9</f>
        <v>3.9</v>
      </c>
      <c r="M80" s="21" t="n">
        <f>165028092385</f>
        <v>1.65028092385E11</v>
      </c>
      <c r="N80" s="21" t="n">
        <f>2625742384918</f>
        <v>2.625742384918E12</v>
      </c>
    </row>
    <row r="81">
      <c r="A81" s="22" t="s">
        <v>53</v>
      </c>
      <c r="B81" s="22" t="s">
        <v>132</v>
      </c>
      <c r="C81" s="22" t="s">
        <v>133</v>
      </c>
      <c r="D81" s="22" t="s">
        <v>60</v>
      </c>
      <c r="E81" s="22" t="s">
        <v>61</v>
      </c>
      <c r="F81" s="9" t="n">
        <f>83</f>
        <v>83.0</v>
      </c>
      <c r="G81" s="10" t="str">
        <f>"－"</f>
        <v>－</v>
      </c>
      <c r="H81" s="10" t="n">
        <f>5.3</f>
        <v>5.3</v>
      </c>
      <c r="I81" s="11" t="n">
        <f>-0.14</f>
        <v>-0.14</v>
      </c>
      <c r="J81" s="11" t="n">
        <f>278.74</f>
        <v>278.74</v>
      </c>
      <c r="K81" s="10" t="str">
        <f>"－"</f>
        <v>－</v>
      </c>
      <c r="L81" s="10" t="n">
        <f>5.7</f>
        <v>5.7</v>
      </c>
      <c r="M81" s="21" t="n">
        <f>-37680504303</f>
        <v>-3.7680504303E10</v>
      </c>
      <c r="N81" s="21" t="n">
        <f>461884000000</f>
        <v>4.61884E11</v>
      </c>
    </row>
    <row r="82">
      <c r="A82" s="22" t="s">
        <v>53</v>
      </c>
      <c r="B82" s="22" t="s">
        <v>132</v>
      </c>
      <c r="C82" s="22" t="s">
        <v>133</v>
      </c>
      <c r="D82" s="22" t="s">
        <v>62</v>
      </c>
      <c r="E82" s="22" t="s">
        <v>63</v>
      </c>
      <c r="F82" s="9" t="n">
        <f>500</f>
        <v>500.0</v>
      </c>
      <c r="G82" s="10" t="n">
        <f>27.4</f>
        <v>27.4</v>
      </c>
      <c r="H82" s="10" t="n">
        <f>2.7</f>
        <v>2.7</v>
      </c>
      <c r="I82" s="11" t="n">
        <f>41.42</f>
        <v>41.42</v>
      </c>
      <c r="J82" s="11" t="n">
        <f>415.66</f>
        <v>415.66</v>
      </c>
      <c r="K82" s="10" t="n">
        <f>38.1</f>
        <v>38.1</v>
      </c>
      <c r="L82" s="10" t="n">
        <f>3.6</f>
        <v>3.6</v>
      </c>
      <c r="M82" s="21" t="n">
        <f>202708596688</f>
        <v>2.02708596688E11</v>
      </c>
      <c r="N82" s="21" t="n">
        <f>2163858384918</f>
        <v>2.163858384918E12</v>
      </c>
    </row>
    <row r="83">
      <c r="A83" s="22" t="s">
        <v>53</v>
      </c>
      <c r="B83" s="22" t="s">
        <v>132</v>
      </c>
      <c r="C83" s="22" t="s">
        <v>133</v>
      </c>
      <c r="D83" s="22" t="s">
        <v>64</v>
      </c>
      <c r="E83" s="22" t="s">
        <v>65</v>
      </c>
      <c r="F83" s="9" t="str">
        <f>"－"</f>
        <v>－</v>
      </c>
      <c r="G83" s="10" t="str">
        <f>"－"</f>
        <v>－</v>
      </c>
      <c r="H83" s="10" t="str">
        <f>"－"</f>
        <v>－</v>
      </c>
      <c r="I83" s="11" t="str">
        <f>"－"</f>
        <v>－</v>
      </c>
      <c r="J83" s="11" t="str">
        <f>"－"</f>
        <v>－</v>
      </c>
      <c r="K83" s="10" t="str">
        <f>"－"</f>
        <v>－</v>
      </c>
      <c r="L83" s="10" t="str">
        <f>"－"</f>
        <v>－</v>
      </c>
      <c r="M83" s="21" t="str">
        <f>"－"</f>
        <v>－</v>
      </c>
      <c r="N83" s="21" t="str">
        <f>"－"</f>
        <v>－</v>
      </c>
    </row>
    <row r="84">
      <c r="A84" s="22" t="s">
        <v>53</v>
      </c>
      <c r="B84" s="22" t="s">
        <v>132</v>
      </c>
      <c r="C84" s="22" t="s">
        <v>133</v>
      </c>
      <c r="D84" s="22" t="s">
        <v>66</v>
      </c>
      <c r="E84" s="22" t="s">
        <v>67</v>
      </c>
      <c r="F84" s="9" t="str">
        <f>"－"</f>
        <v>－</v>
      </c>
      <c r="G84" s="10" t="str">
        <f>"－"</f>
        <v>－</v>
      </c>
      <c r="H84" s="10" t="str">
        <f>"－"</f>
        <v>－</v>
      </c>
      <c r="I84" s="11" t="str">
        <f>"－"</f>
        <v>－</v>
      </c>
      <c r="J84" s="11" t="str">
        <f>"－"</f>
        <v>－</v>
      </c>
      <c r="K84" s="10" t="str">
        <f>"－"</f>
        <v>－</v>
      </c>
      <c r="L84" s="10" t="str">
        <f>"－"</f>
        <v>－</v>
      </c>
      <c r="M84" s="21" t="str">
        <f>"－"</f>
        <v>－</v>
      </c>
      <c r="N84" s="21" t="str">
        <f>"－"</f>
        <v>－</v>
      </c>
    </row>
    <row r="85">
      <c r="A85" s="22" t="s">
        <v>53</v>
      </c>
      <c r="B85" s="22" t="s">
        <v>132</v>
      </c>
      <c r="C85" s="22" t="s">
        <v>133</v>
      </c>
      <c r="D85" s="22" t="s">
        <v>68</v>
      </c>
      <c r="E85" s="22" t="s">
        <v>69</v>
      </c>
      <c r="F85" s="9" t="n">
        <f>7</f>
        <v>7.0</v>
      </c>
      <c r="G85" s="10" t="n">
        <f>18.3</f>
        <v>18.3</v>
      </c>
      <c r="H85" s="10" t="n">
        <f>2.6</f>
        <v>2.6</v>
      </c>
      <c r="I85" s="11" t="n">
        <f>82.96</f>
        <v>82.96</v>
      </c>
      <c r="J85" s="11" t="n">
        <f>579.82</f>
        <v>579.82</v>
      </c>
      <c r="K85" s="10" t="n">
        <f>27.2</f>
        <v>27.2</v>
      </c>
      <c r="L85" s="10" t="n">
        <f>3.8</f>
        <v>3.8</v>
      </c>
      <c r="M85" s="21" t="n">
        <f>3571000000</f>
        <v>3.571E9</v>
      </c>
      <c r="N85" s="21" t="n">
        <f>25610000000</f>
        <v>2.561E10</v>
      </c>
    </row>
    <row r="86">
      <c r="A86" s="22" t="s">
        <v>53</v>
      </c>
      <c r="B86" s="22" t="s">
        <v>132</v>
      </c>
      <c r="C86" s="22" t="s">
        <v>133</v>
      </c>
      <c r="D86" s="22" t="s">
        <v>70</v>
      </c>
      <c r="E86" s="22" t="s">
        <v>71</v>
      </c>
      <c r="F86" s="9" t="n">
        <f>4</f>
        <v>4.0</v>
      </c>
      <c r="G86" s="10" t="n">
        <f>350.6</f>
        <v>350.6</v>
      </c>
      <c r="H86" s="10" t="n">
        <f>4.4</f>
        <v>4.4</v>
      </c>
      <c r="I86" s="11" t="n">
        <f>2.94</f>
        <v>2.94</v>
      </c>
      <c r="J86" s="11" t="n">
        <f>232.72</f>
        <v>232.72</v>
      </c>
      <c r="K86" s="10" t="n">
        <f>79.6</f>
        <v>79.6</v>
      </c>
      <c r="L86" s="10" t="n">
        <f>3.4</f>
        <v>3.4</v>
      </c>
      <c r="M86" s="21" t="n">
        <f>642000000</f>
        <v>6.42E8</v>
      </c>
      <c r="N86" s="21" t="n">
        <f>15157000000</f>
        <v>1.5157E10</v>
      </c>
    </row>
    <row r="87">
      <c r="A87" s="22" t="s">
        <v>53</v>
      </c>
      <c r="B87" s="22" t="s">
        <v>132</v>
      </c>
      <c r="C87" s="22" t="s">
        <v>133</v>
      </c>
      <c r="D87" s="22" t="s">
        <v>72</v>
      </c>
      <c r="E87" s="22" t="s">
        <v>73</v>
      </c>
      <c r="F87" s="9" t="n">
        <f>2</f>
        <v>2.0</v>
      </c>
      <c r="G87" s="10" t="n">
        <f>20</f>
        <v>20.0</v>
      </c>
      <c r="H87" s="10" t="n">
        <f>3.2</f>
        <v>3.2</v>
      </c>
      <c r="I87" s="11" t="n">
        <f>70.94</f>
        <v>70.94</v>
      </c>
      <c r="J87" s="11" t="n">
        <f>441.35</f>
        <v>441.35</v>
      </c>
      <c r="K87" s="10" t="n">
        <f>28.7</f>
        <v>28.7</v>
      </c>
      <c r="L87" s="10" t="n">
        <f>7.4</f>
        <v>7.4</v>
      </c>
      <c r="M87" s="21" t="n">
        <f>1569571429</f>
        <v>1.569571429E9</v>
      </c>
      <c r="N87" s="21" t="n">
        <f>6067000000</f>
        <v>6.067E9</v>
      </c>
    </row>
    <row r="88">
      <c r="A88" s="22" t="s">
        <v>53</v>
      </c>
      <c r="B88" s="22" t="s">
        <v>132</v>
      </c>
      <c r="C88" s="22" t="s">
        <v>133</v>
      </c>
      <c r="D88" s="22" t="s">
        <v>74</v>
      </c>
      <c r="E88" s="22" t="s">
        <v>75</v>
      </c>
      <c r="F88" s="9" t="str">
        <f>"－"</f>
        <v>－</v>
      </c>
      <c r="G88" s="10" t="str">
        <f>"－"</f>
        <v>－</v>
      </c>
      <c r="H88" s="10" t="str">
        <f>"－"</f>
        <v>－</v>
      </c>
      <c r="I88" s="11" t="str">
        <f>"－"</f>
        <v>－</v>
      </c>
      <c r="J88" s="11" t="str">
        <f>"－"</f>
        <v>－</v>
      </c>
      <c r="K88" s="10" t="str">
        <f>"－"</f>
        <v>－</v>
      </c>
      <c r="L88" s="10" t="str">
        <f>"－"</f>
        <v>－</v>
      </c>
      <c r="M88" s="21" t="str">
        <f>"－"</f>
        <v>－</v>
      </c>
      <c r="N88" s="21" t="str">
        <f>"－"</f>
        <v>－</v>
      </c>
    </row>
    <row r="89">
      <c r="A89" s="22" t="s">
        <v>53</v>
      </c>
      <c r="B89" s="22" t="s">
        <v>132</v>
      </c>
      <c r="C89" s="22" t="s">
        <v>133</v>
      </c>
      <c r="D89" s="22" t="s">
        <v>76</v>
      </c>
      <c r="E89" s="22" t="s">
        <v>77</v>
      </c>
      <c r="F89" s="9" t="n">
        <f>7</f>
        <v>7.0</v>
      </c>
      <c r="G89" s="10" t="n">
        <f>14.4</f>
        <v>14.4</v>
      </c>
      <c r="H89" s="10" t="n">
        <f>1.7</f>
        <v>1.7</v>
      </c>
      <c r="I89" s="11" t="n">
        <f>75.02</f>
        <v>75.02</v>
      </c>
      <c r="J89" s="11" t="n">
        <f>652.75</f>
        <v>652.75</v>
      </c>
      <c r="K89" s="10" t="n">
        <f>26.8</f>
        <v>26.8</v>
      </c>
      <c r="L89" s="10" t="n">
        <f>3.1</f>
        <v>3.1</v>
      </c>
      <c r="M89" s="21" t="n">
        <f>4170000000</f>
        <v>4.17E9</v>
      </c>
      <c r="N89" s="21" t="n">
        <f>35952000000</f>
        <v>3.5952E10</v>
      </c>
    </row>
    <row r="90">
      <c r="A90" s="22" t="s">
        <v>53</v>
      </c>
      <c r="B90" s="22" t="s">
        <v>132</v>
      </c>
      <c r="C90" s="22" t="s">
        <v>133</v>
      </c>
      <c r="D90" s="22" t="s">
        <v>78</v>
      </c>
      <c r="E90" s="22" t="s">
        <v>79</v>
      </c>
      <c r="F90" s="9" t="n">
        <f>40</f>
        <v>40.0</v>
      </c>
      <c r="G90" s="10" t="str">
        <f>"－"</f>
        <v>－</v>
      </c>
      <c r="H90" s="10" t="n">
        <f>5.7</f>
        <v>5.7</v>
      </c>
      <c r="I90" s="11" t="n">
        <f>-38.3</f>
        <v>-38.3</v>
      </c>
      <c r="J90" s="11" t="n">
        <f>119.65</f>
        <v>119.65</v>
      </c>
      <c r="K90" s="10" t="str">
        <f>"－"</f>
        <v>－</v>
      </c>
      <c r="L90" s="10" t="n">
        <f>5</f>
        <v>5.0</v>
      </c>
      <c r="M90" s="21" t="n">
        <f>-57528342857</f>
        <v>-5.7528342857E10</v>
      </c>
      <c r="N90" s="21" t="n">
        <f>165526000000</f>
        <v>1.65526E11</v>
      </c>
    </row>
    <row r="91">
      <c r="A91" s="22" t="s">
        <v>53</v>
      </c>
      <c r="B91" s="22" t="s">
        <v>132</v>
      </c>
      <c r="C91" s="22" t="s">
        <v>133</v>
      </c>
      <c r="D91" s="22" t="s">
        <v>80</v>
      </c>
      <c r="E91" s="22" t="s">
        <v>81</v>
      </c>
      <c r="F91" s="9" t="str">
        <f>"－"</f>
        <v>－</v>
      </c>
      <c r="G91" s="10" t="str">
        <f>"－"</f>
        <v>－</v>
      </c>
      <c r="H91" s="10" t="str">
        <f>"－"</f>
        <v>－</v>
      </c>
      <c r="I91" s="11" t="str">
        <f>"－"</f>
        <v>－</v>
      </c>
      <c r="J91" s="11" t="str">
        <f>"－"</f>
        <v>－</v>
      </c>
      <c r="K91" s="10" t="str">
        <f>"－"</f>
        <v>－</v>
      </c>
      <c r="L91" s="10" t="str">
        <f>"－"</f>
        <v>－</v>
      </c>
      <c r="M91" s="21" t="str">
        <f>"－"</f>
        <v>－</v>
      </c>
      <c r="N91" s="21" t="str">
        <f>"－"</f>
        <v>－</v>
      </c>
    </row>
    <row r="92">
      <c r="A92" s="22" t="s">
        <v>53</v>
      </c>
      <c r="B92" s="22" t="s">
        <v>132</v>
      </c>
      <c r="C92" s="22" t="s">
        <v>133</v>
      </c>
      <c r="D92" s="22" t="s">
        <v>82</v>
      </c>
      <c r="E92" s="22" t="s">
        <v>83</v>
      </c>
      <c r="F92" s="9" t="str">
        <f>"－"</f>
        <v>－</v>
      </c>
      <c r="G92" s="10" t="str">
        <f>"－"</f>
        <v>－</v>
      </c>
      <c r="H92" s="10" t="str">
        <f>"－"</f>
        <v>－</v>
      </c>
      <c r="I92" s="11" t="str">
        <f>"－"</f>
        <v>－</v>
      </c>
      <c r="J92" s="11" t="str">
        <f>"－"</f>
        <v>－</v>
      </c>
      <c r="K92" s="10" t="str">
        <f>"－"</f>
        <v>－</v>
      </c>
      <c r="L92" s="10" t="str">
        <f>"－"</f>
        <v>－</v>
      </c>
      <c r="M92" s="21" t="str">
        <f>"－"</f>
        <v>－</v>
      </c>
      <c r="N92" s="21" t="str">
        <f>"－"</f>
        <v>－</v>
      </c>
    </row>
    <row r="93">
      <c r="A93" s="22" t="s">
        <v>53</v>
      </c>
      <c r="B93" s="22" t="s">
        <v>132</v>
      </c>
      <c r="C93" s="22" t="s">
        <v>133</v>
      </c>
      <c r="D93" s="22" t="s">
        <v>84</v>
      </c>
      <c r="E93" s="22" t="s">
        <v>85</v>
      </c>
      <c r="F93" s="9" t="str">
        <f>"－"</f>
        <v>－</v>
      </c>
      <c r="G93" s="10" t="str">
        <f>"－"</f>
        <v>－</v>
      </c>
      <c r="H93" s="10" t="str">
        <f>"－"</f>
        <v>－</v>
      </c>
      <c r="I93" s="11" t="str">
        <f>"－"</f>
        <v>－</v>
      </c>
      <c r="J93" s="11" t="str">
        <f>"－"</f>
        <v>－</v>
      </c>
      <c r="K93" s="10" t="str">
        <f>"－"</f>
        <v>－</v>
      </c>
      <c r="L93" s="10" t="str">
        <f>"－"</f>
        <v>－</v>
      </c>
      <c r="M93" s="21" t="str">
        <f>"－"</f>
        <v>－</v>
      </c>
      <c r="N93" s="21" t="str">
        <f>"－"</f>
        <v>－</v>
      </c>
    </row>
    <row r="94">
      <c r="A94" s="22" t="s">
        <v>53</v>
      </c>
      <c r="B94" s="22" t="s">
        <v>132</v>
      </c>
      <c r="C94" s="22" t="s">
        <v>133</v>
      </c>
      <c r="D94" s="22" t="s">
        <v>86</v>
      </c>
      <c r="E94" s="22" t="s">
        <v>87</v>
      </c>
      <c r="F94" s="9" t="str">
        <f>"－"</f>
        <v>－</v>
      </c>
      <c r="G94" s="10" t="str">
        <f>"－"</f>
        <v>－</v>
      </c>
      <c r="H94" s="10" t="str">
        <f>"－"</f>
        <v>－</v>
      </c>
      <c r="I94" s="11" t="str">
        <f>"－"</f>
        <v>－</v>
      </c>
      <c r="J94" s="11" t="str">
        <f>"－"</f>
        <v>－</v>
      </c>
      <c r="K94" s="10" t="str">
        <f>"－"</f>
        <v>－</v>
      </c>
      <c r="L94" s="10" t="str">
        <f>"－"</f>
        <v>－</v>
      </c>
      <c r="M94" s="21" t="str">
        <f>"－"</f>
        <v>－</v>
      </c>
      <c r="N94" s="21" t="str">
        <f>"－"</f>
        <v>－</v>
      </c>
    </row>
    <row r="95">
      <c r="A95" s="22" t="s">
        <v>53</v>
      </c>
      <c r="B95" s="22" t="s">
        <v>132</v>
      </c>
      <c r="C95" s="22" t="s">
        <v>133</v>
      </c>
      <c r="D95" s="22" t="s">
        <v>88</v>
      </c>
      <c r="E95" s="22" t="s">
        <v>89</v>
      </c>
      <c r="F95" s="9" t="n">
        <f>1</f>
        <v>1.0</v>
      </c>
      <c r="G95" s="10" t="n">
        <f>10.2</f>
        <v>10.2</v>
      </c>
      <c r="H95" s="10" t="n">
        <f>0.7</f>
        <v>0.7</v>
      </c>
      <c r="I95" s="11" t="n">
        <f>119.3</f>
        <v>119.3</v>
      </c>
      <c r="J95" s="11" t="n">
        <f>1655.49</f>
        <v>1655.49</v>
      </c>
      <c r="K95" s="10" t="n">
        <f>10.2</f>
        <v>10.2</v>
      </c>
      <c r="L95" s="10" t="n">
        <f>0.7</f>
        <v>0.7</v>
      </c>
      <c r="M95" s="21" t="n">
        <f>256267125</f>
        <v>2.56267125E8</v>
      </c>
      <c r="N95" s="21" t="n">
        <f>3556000000</f>
        <v>3.556E9</v>
      </c>
    </row>
    <row r="96">
      <c r="A96" s="22" t="s">
        <v>53</v>
      </c>
      <c r="B96" s="22" t="s">
        <v>132</v>
      </c>
      <c r="C96" s="22" t="s">
        <v>133</v>
      </c>
      <c r="D96" s="22" t="s">
        <v>90</v>
      </c>
      <c r="E96" s="22" t="s">
        <v>91</v>
      </c>
      <c r="F96" s="9" t="n">
        <f>2</f>
        <v>2.0</v>
      </c>
      <c r="G96" s="10" t="n">
        <f>55.1</f>
        <v>55.1</v>
      </c>
      <c r="H96" s="10" t="n">
        <f>16.3</f>
        <v>16.3</v>
      </c>
      <c r="I96" s="11" t="n">
        <f>202.97</f>
        <v>202.97</v>
      </c>
      <c r="J96" s="11" t="n">
        <f>684.6</f>
        <v>684.6</v>
      </c>
      <c r="K96" s="10" t="n">
        <f>51.9</f>
        <v>51.9</v>
      </c>
      <c r="L96" s="10" t="n">
        <f>14</f>
        <v>14.0</v>
      </c>
      <c r="M96" s="21" t="n">
        <f>4171000000</f>
        <v>4.171E9</v>
      </c>
      <c r="N96" s="21" t="n">
        <f>15477000000</f>
        <v>1.5477E10</v>
      </c>
    </row>
    <row r="97">
      <c r="A97" s="22" t="s">
        <v>53</v>
      </c>
      <c r="B97" s="22" t="s">
        <v>132</v>
      </c>
      <c r="C97" s="22" t="s">
        <v>133</v>
      </c>
      <c r="D97" s="22" t="s">
        <v>92</v>
      </c>
      <c r="E97" s="22" t="s">
        <v>93</v>
      </c>
      <c r="F97" s="9" t="n">
        <f>4</f>
        <v>4.0</v>
      </c>
      <c r="G97" s="10" t="n">
        <f>33.8</f>
        <v>33.8</v>
      </c>
      <c r="H97" s="10" t="n">
        <f>3.7</f>
        <v>3.7</v>
      </c>
      <c r="I97" s="11" t="n">
        <f>30.84</f>
        <v>30.84</v>
      </c>
      <c r="J97" s="11" t="n">
        <f>281.29</f>
        <v>281.29</v>
      </c>
      <c r="K97" s="10" t="n">
        <f>41.7</f>
        <v>41.7</v>
      </c>
      <c r="L97" s="10" t="n">
        <f>3.5</f>
        <v>3.5</v>
      </c>
      <c r="M97" s="21" t="n">
        <f>1661000000</f>
        <v>1.661E9</v>
      </c>
      <c r="N97" s="21" t="n">
        <f>19526000000</f>
        <v>1.9526E10</v>
      </c>
    </row>
    <row r="98">
      <c r="A98" s="22" t="s">
        <v>53</v>
      </c>
      <c r="B98" s="22" t="s">
        <v>132</v>
      </c>
      <c r="C98" s="22" t="s">
        <v>133</v>
      </c>
      <c r="D98" s="22" t="s">
        <v>94</v>
      </c>
      <c r="E98" s="22" t="s">
        <v>95</v>
      </c>
      <c r="F98" s="9" t="n">
        <f>7</f>
        <v>7.0</v>
      </c>
      <c r="G98" s="10" t="str">
        <f>"－"</f>
        <v>－</v>
      </c>
      <c r="H98" s="10" t="n">
        <f>7.9</f>
        <v>7.9</v>
      </c>
      <c r="I98" s="11" t="n">
        <f>-27.74</f>
        <v>-27.74</v>
      </c>
      <c r="J98" s="11" t="n">
        <f>254.95</f>
        <v>254.95</v>
      </c>
      <c r="K98" s="10" t="str">
        <f>"－"</f>
        <v>－</v>
      </c>
      <c r="L98" s="10" t="n">
        <f>16</f>
        <v>16.0</v>
      </c>
      <c r="M98" s="21" t="n">
        <f>-3957000000</f>
        <v>-3.957E9</v>
      </c>
      <c r="N98" s="21" t="n">
        <f>23735000000</f>
        <v>2.3735E10</v>
      </c>
    </row>
    <row r="99">
      <c r="A99" s="22" t="s">
        <v>53</v>
      </c>
      <c r="B99" s="22" t="s">
        <v>132</v>
      </c>
      <c r="C99" s="22" t="s">
        <v>133</v>
      </c>
      <c r="D99" s="22" t="s">
        <v>96</v>
      </c>
      <c r="E99" s="22" t="s">
        <v>97</v>
      </c>
      <c r="F99" s="9" t="n">
        <f>3</f>
        <v>3.0</v>
      </c>
      <c r="G99" s="10" t="n">
        <f>19.2</f>
        <v>19.2</v>
      </c>
      <c r="H99" s="10" t="n">
        <f>3.1</f>
        <v>3.1</v>
      </c>
      <c r="I99" s="11" t="n">
        <f>61.93</f>
        <v>61.93</v>
      </c>
      <c r="J99" s="11" t="n">
        <f>384.93</f>
        <v>384.93</v>
      </c>
      <c r="K99" s="10" t="n">
        <f>124</f>
        <v>124.0</v>
      </c>
      <c r="L99" s="10" t="n">
        <f>3.7</f>
        <v>3.7</v>
      </c>
      <c r="M99" s="21" t="n">
        <f>824000000</f>
        <v>8.24E8</v>
      </c>
      <c r="N99" s="21" t="n">
        <f>27946000000</f>
        <v>2.7946E10</v>
      </c>
    </row>
    <row r="100">
      <c r="A100" s="22" t="s">
        <v>53</v>
      </c>
      <c r="B100" s="22" t="s">
        <v>132</v>
      </c>
      <c r="C100" s="22" t="s">
        <v>133</v>
      </c>
      <c r="D100" s="22" t="s">
        <v>98</v>
      </c>
      <c r="E100" s="22" t="s">
        <v>99</v>
      </c>
      <c r="F100" s="9" t="n">
        <f>7</f>
        <v>7.0</v>
      </c>
      <c r="G100" s="10" t="str">
        <f>"－"</f>
        <v>－</v>
      </c>
      <c r="H100" s="10" t="n">
        <f>19.7</f>
        <v>19.7</v>
      </c>
      <c r="I100" s="11" t="n">
        <f>-37.12</f>
        <v>-37.12</v>
      </c>
      <c r="J100" s="11" t="n">
        <f>151.31</f>
        <v>151.31</v>
      </c>
      <c r="K100" s="10" t="str">
        <f>"－"</f>
        <v>－</v>
      </c>
      <c r="L100" s="10" t="n">
        <f>5.7</f>
        <v>5.7</v>
      </c>
      <c r="M100" s="21" t="n">
        <f>-234000000</f>
        <v>-2.34E8</v>
      </c>
      <c r="N100" s="21" t="n">
        <f>62463000000</f>
        <v>6.2463E10</v>
      </c>
    </row>
    <row r="101">
      <c r="A101" s="22" t="s">
        <v>53</v>
      </c>
      <c r="B101" s="22" t="s">
        <v>132</v>
      </c>
      <c r="C101" s="22" t="s">
        <v>133</v>
      </c>
      <c r="D101" s="22" t="s">
        <v>100</v>
      </c>
      <c r="E101" s="22" t="s">
        <v>101</v>
      </c>
      <c r="F101" s="9" t="n">
        <f>6</f>
        <v>6.0</v>
      </c>
      <c r="G101" s="10" t="n">
        <f>32</f>
        <v>32.0</v>
      </c>
      <c r="H101" s="10" t="n">
        <f>3.9</f>
        <v>3.9</v>
      </c>
      <c r="I101" s="11" t="n">
        <f>76.82</f>
        <v>76.82</v>
      </c>
      <c r="J101" s="11" t="n">
        <f>636.31</f>
        <v>636.31</v>
      </c>
      <c r="K101" s="10" t="n">
        <f>43.7</f>
        <v>43.7</v>
      </c>
      <c r="L101" s="10" t="n">
        <f>5.4</f>
        <v>5.4</v>
      </c>
      <c r="M101" s="21" t="n">
        <f>10745000000</f>
        <v>1.0745E10</v>
      </c>
      <c r="N101" s="21" t="n">
        <f>86479000000</f>
        <v>8.6479E10</v>
      </c>
    </row>
    <row r="102">
      <c r="A102" s="22" t="s">
        <v>53</v>
      </c>
      <c r="B102" s="22" t="s">
        <v>132</v>
      </c>
      <c r="C102" s="22" t="s">
        <v>133</v>
      </c>
      <c r="D102" s="22" t="s">
        <v>102</v>
      </c>
      <c r="E102" s="22" t="s">
        <v>103</v>
      </c>
      <c r="F102" s="9" t="n">
        <f>2</f>
        <v>2.0</v>
      </c>
      <c r="G102" s="10" t="n">
        <f>19.8</f>
        <v>19.8</v>
      </c>
      <c r="H102" s="10" t="n">
        <f>4.6</f>
        <v>4.6</v>
      </c>
      <c r="I102" s="11" t="n">
        <f>45.29</f>
        <v>45.29</v>
      </c>
      <c r="J102" s="11" t="n">
        <f>193.68</f>
        <v>193.68</v>
      </c>
      <c r="K102" s="10" t="n">
        <f>19.6</f>
        <v>19.6</v>
      </c>
      <c r="L102" s="10" t="n">
        <f>4.6</f>
        <v>4.6</v>
      </c>
      <c r="M102" s="21" t="n">
        <f>3465584000</f>
        <v>3.465584E9</v>
      </c>
      <c r="N102" s="21" t="n">
        <f>14868846000</f>
        <v>1.4868846E10</v>
      </c>
    </row>
    <row r="103">
      <c r="A103" s="22" t="s">
        <v>53</v>
      </c>
      <c r="B103" s="22" t="s">
        <v>132</v>
      </c>
      <c r="C103" s="22" t="s">
        <v>133</v>
      </c>
      <c r="D103" s="22" t="s">
        <v>104</v>
      </c>
      <c r="E103" s="22" t="s">
        <v>105</v>
      </c>
      <c r="F103" s="9" t="str">
        <f>"－"</f>
        <v>－</v>
      </c>
      <c r="G103" s="10" t="str">
        <f>"－"</f>
        <v>－</v>
      </c>
      <c r="H103" s="10" t="str">
        <f>"－"</f>
        <v>－</v>
      </c>
      <c r="I103" s="11" t="str">
        <f>"－"</f>
        <v>－</v>
      </c>
      <c r="J103" s="11" t="str">
        <f>"－"</f>
        <v>－</v>
      </c>
      <c r="K103" s="10" t="str">
        <f>"－"</f>
        <v>－</v>
      </c>
      <c r="L103" s="10" t="str">
        <f>"－"</f>
        <v>－</v>
      </c>
      <c r="M103" s="21" t="str">
        <f>"－"</f>
        <v>－</v>
      </c>
      <c r="N103" s="21" t="str">
        <f>"－"</f>
        <v>－</v>
      </c>
    </row>
    <row r="104">
      <c r="A104" s="22" t="s">
        <v>53</v>
      </c>
      <c r="B104" s="22" t="s">
        <v>132</v>
      </c>
      <c r="C104" s="22" t="s">
        <v>133</v>
      </c>
      <c r="D104" s="22" t="s">
        <v>106</v>
      </c>
      <c r="E104" s="22" t="s">
        <v>107</v>
      </c>
      <c r="F104" s="9" t="str">
        <f>"－"</f>
        <v>－</v>
      </c>
      <c r="G104" s="10" t="str">
        <f>"－"</f>
        <v>－</v>
      </c>
      <c r="H104" s="10" t="str">
        <f>"－"</f>
        <v>－</v>
      </c>
      <c r="I104" s="11" t="str">
        <f>"－"</f>
        <v>－</v>
      </c>
      <c r="J104" s="11" t="str">
        <f>"－"</f>
        <v>－</v>
      </c>
      <c r="K104" s="10" t="str">
        <f>"－"</f>
        <v>－</v>
      </c>
      <c r="L104" s="10" t="str">
        <f>"－"</f>
        <v>－</v>
      </c>
      <c r="M104" s="21" t="str">
        <f>"－"</f>
        <v>－</v>
      </c>
      <c r="N104" s="21" t="str">
        <f>"－"</f>
        <v>－</v>
      </c>
    </row>
    <row r="105">
      <c r="A105" s="22" t="s">
        <v>53</v>
      </c>
      <c r="B105" s="22" t="s">
        <v>132</v>
      </c>
      <c r="C105" s="22" t="s">
        <v>133</v>
      </c>
      <c r="D105" s="22" t="s">
        <v>108</v>
      </c>
      <c r="E105" s="22" t="s">
        <v>109</v>
      </c>
      <c r="F105" s="9" t="n">
        <f>1</f>
        <v>1.0</v>
      </c>
      <c r="G105" s="10" t="n">
        <f>15.7</f>
        <v>15.7</v>
      </c>
      <c r="H105" s="10" t="n">
        <f>0.8</f>
        <v>0.8</v>
      </c>
      <c r="I105" s="11" t="n">
        <f>27.15</f>
        <v>27.15</v>
      </c>
      <c r="J105" s="11" t="n">
        <f>562.64</f>
        <v>562.64</v>
      </c>
      <c r="K105" s="10" t="n">
        <f>15.7</f>
        <v>15.7</v>
      </c>
      <c r="L105" s="10" t="n">
        <f>0.8</f>
        <v>0.8</v>
      </c>
      <c r="M105" s="21" t="n">
        <f>1638000000</f>
        <v>1.638E9</v>
      </c>
      <c r="N105" s="21" t="n">
        <f>33944000000</f>
        <v>3.3944E10</v>
      </c>
    </row>
    <row r="106">
      <c r="A106" s="22" t="s">
        <v>53</v>
      </c>
      <c r="B106" s="22" t="s">
        <v>132</v>
      </c>
      <c r="C106" s="22" t="s">
        <v>133</v>
      </c>
      <c r="D106" s="22" t="s">
        <v>110</v>
      </c>
      <c r="E106" s="22" t="s">
        <v>111</v>
      </c>
      <c r="F106" s="9" t="n">
        <f>1</f>
        <v>1.0</v>
      </c>
      <c r="G106" s="10" t="n">
        <f>24.7</f>
        <v>24.7</v>
      </c>
      <c r="H106" s="10" t="n">
        <f>2.3</f>
        <v>2.3</v>
      </c>
      <c r="I106" s="11" t="n">
        <f>19.98</f>
        <v>19.98</v>
      </c>
      <c r="J106" s="11" t="n">
        <f>217.69</f>
        <v>217.69</v>
      </c>
      <c r="K106" s="10" t="n">
        <f>24.7</f>
        <v>24.7</v>
      </c>
      <c r="L106" s="10" t="n">
        <f>2.3</f>
        <v>2.3</v>
      </c>
      <c r="M106" s="21" t="n">
        <f>206000000</f>
        <v>2.06E8</v>
      </c>
      <c r="N106" s="21" t="n">
        <f>2244000000</f>
        <v>2.244E9</v>
      </c>
    </row>
    <row r="107">
      <c r="A107" s="22" t="s">
        <v>53</v>
      </c>
      <c r="B107" s="22" t="s">
        <v>132</v>
      </c>
      <c r="C107" s="22" t="s">
        <v>133</v>
      </c>
      <c r="D107" s="22" t="s">
        <v>112</v>
      </c>
      <c r="E107" s="22" t="s">
        <v>113</v>
      </c>
      <c r="F107" s="9" t="n">
        <f>242</f>
        <v>242.0</v>
      </c>
      <c r="G107" s="10" t="n">
        <f>37.1</f>
        <v>37.1</v>
      </c>
      <c r="H107" s="10" t="n">
        <f>3.3</f>
        <v>3.3</v>
      </c>
      <c r="I107" s="11" t="n">
        <f>31.02</f>
        <v>31.02</v>
      </c>
      <c r="J107" s="11" t="n">
        <f>344.58</f>
        <v>344.58</v>
      </c>
      <c r="K107" s="10" t="n">
        <f>48.5</f>
        <v>48.5</v>
      </c>
      <c r="L107" s="10" t="n">
        <f>4.4</f>
        <v>4.4</v>
      </c>
      <c r="M107" s="21" t="n">
        <f>78965147143</f>
        <v>7.8965147143E10</v>
      </c>
      <c r="N107" s="21" t="n">
        <f>873302254936</f>
        <v>8.73302254936E11</v>
      </c>
    </row>
    <row r="108">
      <c r="A108" s="22" t="s">
        <v>53</v>
      </c>
      <c r="B108" s="22" t="s">
        <v>132</v>
      </c>
      <c r="C108" s="22" t="s">
        <v>133</v>
      </c>
      <c r="D108" s="22" t="s">
        <v>114</v>
      </c>
      <c r="E108" s="22" t="s">
        <v>115</v>
      </c>
      <c r="F108" s="9" t="n">
        <f>9</f>
        <v>9.0</v>
      </c>
      <c r="G108" s="10" t="n">
        <f>41.1</f>
        <v>41.1</v>
      </c>
      <c r="H108" s="10" t="n">
        <f>3.1</f>
        <v>3.1</v>
      </c>
      <c r="I108" s="11" t="n">
        <f>25.65</f>
        <v>25.65</v>
      </c>
      <c r="J108" s="11" t="n">
        <f>344.33</f>
        <v>344.33</v>
      </c>
      <c r="K108" s="10" t="n">
        <f>39.1</f>
        <v>39.1</v>
      </c>
      <c r="L108" s="10" t="n">
        <f>5.3</f>
        <v>5.3</v>
      </c>
      <c r="M108" s="21" t="n">
        <f>6740000000</f>
        <v>6.74E9</v>
      </c>
      <c r="N108" s="21" t="n">
        <f>49904000000</f>
        <v>4.9904E10</v>
      </c>
    </row>
    <row r="109">
      <c r="A109" s="22" t="s">
        <v>53</v>
      </c>
      <c r="B109" s="22" t="s">
        <v>132</v>
      </c>
      <c r="C109" s="22" t="s">
        <v>133</v>
      </c>
      <c r="D109" s="22" t="s">
        <v>116</v>
      </c>
      <c r="E109" s="22" t="s">
        <v>117</v>
      </c>
      <c r="F109" s="9" t="n">
        <f>30</f>
        <v>30.0</v>
      </c>
      <c r="G109" s="10" t="n">
        <f>42.9</f>
        <v>42.9</v>
      </c>
      <c r="H109" s="10" t="n">
        <f>2.8</f>
        <v>2.8</v>
      </c>
      <c r="I109" s="11" t="n">
        <f>31.8</f>
        <v>31.8</v>
      </c>
      <c r="J109" s="11" t="n">
        <f>486.77</f>
        <v>486.77</v>
      </c>
      <c r="K109" s="10" t="n">
        <f>53.8</f>
        <v>53.8</v>
      </c>
      <c r="L109" s="10" t="n">
        <f>3.9</f>
        <v>3.9</v>
      </c>
      <c r="M109" s="21" t="n">
        <f>16343862000</f>
        <v>1.6343862E10</v>
      </c>
      <c r="N109" s="21" t="n">
        <f>222943206870</f>
        <v>2.2294320687E11</v>
      </c>
    </row>
    <row r="110">
      <c r="A110" s="22" t="s">
        <v>53</v>
      </c>
      <c r="B110" s="22" t="s">
        <v>132</v>
      </c>
      <c r="C110" s="22" t="s">
        <v>133</v>
      </c>
      <c r="D110" s="22" t="s">
        <v>118</v>
      </c>
      <c r="E110" s="22" t="s">
        <v>119</v>
      </c>
      <c r="F110" s="9" t="str">
        <f>"－"</f>
        <v>－</v>
      </c>
      <c r="G110" s="10" t="str">
        <f>"－"</f>
        <v>－</v>
      </c>
      <c r="H110" s="10" t="str">
        <f>"－"</f>
        <v>－</v>
      </c>
      <c r="I110" s="11" t="str">
        <f>"－"</f>
        <v>－</v>
      </c>
      <c r="J110" s="11" t="str">
        <f>"－"</f>
        <v>－</v>
      </c>
      <c r="K110" s="10" t="str">
        <f>"－"</f>
        <v>－</v>
      </c>
      <c r="L110" s="10" t="str">
        <f>"－"</f>
        <v>－</v>
      </c>
      <c r="M110" s="21" t="str">
        <f>"－"</f>
        <v>－</v>
      </c>
      <c r="N110" s="21" t="str">
        <f>"－"</f>
        <v>－</v>
      </c>
    </row>
    <row r="111">
      <c r="A111" s="22" t="s">
        <v>53</v>
      </c>
      <c r="B111" s="22" t="s">
        <v>132</v>
      </c>
      <c r="C111" s="22" t="s">
        <v>133</v>
      </c>
      <c r="D111" s="22" t="s">
        <v>120</v>
      </c>
      <c r="E111" s="22" t="s">
        <v>121</v>
      </c>
      <c r="F111" s="9" t="n">
        <f>3</f>
        <v>3.0</v>
      </c>
      <c r="G111" s="10" t="n">
        <f>10.5</f>
        <v>10.5</v>
      </c>
      <c r="H111" s="10" t="n">
        <f>1.6</f>
        <v>1.6</v>
      </c>
      <c r="I111" s="11" t="n">
        <f>189.98</f>
        <v>189.98</v>
      </c>
      <c r="J111" s="11" t="n">
        <f>1263.89</f>
        <v>1263.89</v>
      </c>
      <c r="K111" s="10" t="n">
        <f>12.4</f>
        <v>12.4</v>
      </c>
      <c r="L111" s="10" t="n">
        <f>1.6</f>
        <v>1.6</v>
      </c>
      <c r="M111" s="21" t="n">
        <f>12523000000</f>
        <v>1.2523E10</v>
      </c>
      <c r="N111" s="21" t="n">
        <f>96022000000</f>
        <v>9.6022E10</v>
      </c>
    </row>
    <row r="112">
      <c r="A112" s="22" t="s">
        <v>53</v>
      </c>
      <c r="B112" s="22" t="s">
        <v>132</v>
      </c>
      <c r="C112" s="22" t="s">
        <v>133</v>
      </c>
      <c r="D112" s="22" t="s">
        <v>122</v>
      </c>
      <c r="E112" s="22" t="s">
        <v>123</v>
      </c>
      <c r="F112" s="9" t="n">
        <f>3</f>
        <v>3.0</v>
      </c>
      <c r="G112" s="10" t="n">
        <f>17.7</f>
        <v>17.7</v>
      </c>
      <c r="H112" s="10" t="n">
        <f>1.3</f>
        <v>1.3</v>
      </c>
      <c r="I112" s="11" t="n">
        <f>77.38</f>
        <v>77.38</v>
      </c>
      <c r="J112" s="11" t="n">
        <f>1023.2</f>
        <v>1023.2</v>
      </c>
      <c r="K112" s="10" t="n">
        <f>17.9</f>
        <v>17.9</v>
      </c>
      <c r="L112" s="10" t="n">
        <f>1.2</f>
        <v>1.2</v>
      </c>
      <c r="M112" s="21" t="n">
        <f>3709000000</f>
        <v>3.709E9</v>
      </c>
      <c r="N112" s="21" t="n">
        <f>56077000000</f>
        <v>5.6077E10</v>
      </c>
    </row>
    <row r="113">
      <c r="A113" s="22" t="s">
        <v>53</v>
      </c>
      <c r="B113" s="22" t="s">
        <v>132</v>
      </c>
      <c r="C113" s="22" t="s">
        <v>133</v>
      </c>
      <c r="D113" s="22" t="s">
        <v>124</v>
      </c>
      <c r="E113" s="22" t="s">
        <v>125</v>
      </c>
      <c r="F113" s="9" t="n">
        <f>4</f>
        <v>4.0</v>
      </c>
      <c r="G113" s="10" t="str">
        <f>"－"</f>
        <v>－</v>
      </c>
      <c r="H113" s="10" t="n">
        <f>3.3</f>
        <v>3.3</v>
      </c>
      <c r="I113" s="11" t="n">
        <f>-4.14</f>
        <v>-4.14</v>
      </c>
      <c r="J113" s="11" t="n">
        <f>210.13</f>
        <v>210.13</v>
      </c>
      <c r="K113" s="10" t="str">
        <f>"－"</f>
        <v>－</v>
      </c>
      <c r="L113" s="10" t="n">
        <f>2.6</f>
        <v>2.6</v>
      </c>
      <c r="M113" s="21" t="n">
        <f>-604000000</f>
        <v>-6.04E8</v>
      </c>
      <c r="N113" s="21" t="n">
        <f>10108000000</f>
        <v>1.0108E10</v>
      </c>
    </row>
    <row r="114">
      <c r="A114" s="22" t="s">
        <v>53</v>
      </c>
      <c r="B114" s="22" t="s">
        <v>132</v>
      </c>
      <c r="C114" s="22" t="s">
        <v>133</v>
      </c>
      <c r="D114" s="22" t="s">
        <v>126</v>
      </c>
      <c r="E114" s="22" t="s">
        <v>127</v>
      </c>
      <c r="F114" s="9" t="n">
        <f>18</f>
        <v>18.0</v>
      </c>
      <c r="G114" s="10" t="n">
        <f>13.7</f>
        <v>13.7</v>
      </c>
      <c r="H114" s="10" t="n">
        <f>2.2</f>
        <v>2.2</v>
      </c>
      <c r="I114" s="11" t="n">
        <f>114.33</f>
        <v>114.33</v>
      </c>
      <c r="J114" s="11" t="n">
        <f>696.2</f>
        <v>696.2</v>
      </c>
      <c r="K114" s="10" t="n">
        <f>11.4</f>
        <v>11.4</v>
      </c>
      <c r="L114" s="10" t="n">
        <f>2</f>
        <v>2.0</v>
      </c>
      <c r="M114" s="21" t="n">
        <f>33454000000</f>
        <v>3.3454E10</v>
      </c>
      <c r="N114" s="21" t="n">
        <f>190283000000</f>
        <v>1.90283E11</v>
      </c>
    </row>
    <row r="115">
      <c r="A115" s="22" t="s">
        <v>53</v>
      </c>
      <c r="B115" s="22" t="s">
        <v>132</v>
      </c>
      <c r="C115" s="22" t="s">
        <v>133</v>
      </c>
      <c r="D115" s="22" t="s">
        <v>128</v>
      </c>
      <c r="E115" s="22" t="s">
        <v>129</v>
      </c>
      <c r="F115" s="9" t="n">
        <f>190</f>
        <v>190.0</v>
      </c>
      <c r="G115" s="10" t="n">
        <f>21.4</f>
        <v>21.4</v>
      </c>
      <c r="H115" s="10" t="n">
        <f>2.2</f>
        <v>2.2</v>
      </c>
      <c r="I115" s="11" t="n">
        <f>48.65</f>
        <v>48.65</v>
      </c>
      <c r="J115" s="11" t="n">
        <f>468.32</f>
        <v>468.32</v>
      </c>
      <c r="K115" s="10" t="n">
        <f>37.4</f>
        <v>37.4</v>
      </c>
      <c r="L115" s="10" t="n">
        <f>2.9</f>
        <v>2.9</v>
      </c>
      <c r="M115" s="21" t="n">
        <f>58325003545</f>
        <v>5.8325003545E10</v>
      </c>
      <c r="N115" s="21" t="n">
        <f>750759077112</f>
        <v>7.50759077112E11</v>
      </c>
    </row>
    <row r="116">
      <c r="A116" s="22" t="s">
        <v>53</v>
      </c>
      <c r="B116" s="22" t="s">
        <v>134</v>
      </c>
      <c r="C116" s="22" t="s">
        <v>134</v>
      </c>
      <c r="D116" s="22" t="s">
        <v>135</v>
      </c>
      <c r="E116" s="22" t="s">
        <v>136</v>
      </c>
      <c r="F116" s="9" t="n">
        <f>99</f>
        <v>99.0</v>
      </c>
      <c r="G116" s="10" t="n">
        <f>27.8</f>
        <v>27.8</v>
      </c>
      <c r="H116" s="10" t="n">
        <f>2.9</f>
        <v>2.9</v>
      </c>
      <c r="I116" s="11" t="n">
        <f>305.32</f>
        <v>305.32</v>
      </c>
      <c r="J116" s="11" t="n">
        <f>2939.84</f>
        <v>2939.84</v>
      </c>
      <c r="K116" s="10" t="n">
        <f>20.9</f>
        <v>20.9</v>
      </c>
      <c r="L116" s="10" t="n">
        <f>2</f>
        <v>2.0</v>
      </c>
      <c r="M116" s="21" t="n">
        <f>42303779800000</f>
        <v>4.23037798E13</v>
      </c>
      <c r="N116" s="21" t="n">
        <f>441508922462040</f>
        <v>4.4150892246204E14</v>
      </c>
    </row>
    <row r="117">
      <c r="A117" s="22" t="s">
        <v>53</v>
      </c>
      <c r="B117" s="22" t="s">
        <v>134</v>
      </c>
      <c r="C117" s="22" t="s">
        <v>134</v>
      </c>
      <c r="D117" s="22" t="s">
        <v>137</v>
      </c>
      <c r="E117" s="22" t="s">
        <v>138</v>
      </c>
      <c r="F117" s="9" t="n">
        <f>393</f>
        <v>393.0</v>
      </c>
      <c r="G117" s="10" t="n">
        <f>20.9</f>
        <v>20.9</v>
      </c>
      <c r="H117" s="10" t="n">
        <f>1.7</f>
        <v>1.7</v>
      </c>
      <c r="I117" s="11" t="n">
        <f>203.8</f>
        <v>203.8</v>
      </c>
      <c r="J117" s="11" t="n">
        <f>2467.28</f>
        <v>2467.28</v>
      </c>
      <c r="K117" s="10" t="n">
        <f>22</f>
        <v>22.0</v>
      </c>
      <c r="L117" s="10" t="n">
        <f>1.6</f>
        <v>1.6</v>
      </c>
      <c r="M117" s="21" t="n">
        <f>17195011963800</f>
        <v>1.71950119638E13</v>
      </c>
      <c r="N117" s="21" t="n">
        <f>235488070862919</f>
        <v>2.35488070862919E14</v>
      </c>
    </row>
    <row r="118">
      <c r="A118" s="22" t="s">
        <v>53</v>
      </c>
      <c r="B118" s="22" t="s">
        <v>134</v>
      </c>
      <c r="C118" s="22" t="s">
        <v>134</v>
      </c>
      <c r="D118" s="22" t="s">
        <v>139</v>
      </c>
      <c r="E118" s="22" t="s">
        <v>140</v>
      </c>
      <c r="F118" s="9" t="n">
        <f>1135</f>
        <v>1135.0</v>
      </c>
      <c r="G118" s="10" t="n">
        <f>17</f>
        <v>17.0</v>
      </c>
      <c r="H118" s="10" t="n">
        <f>1.3</f>
        <v>1.3</v>
      </c>
      <c r="I118" s="11" t="n">
        <f>150.04</f>
        <v>150.04</v>
      </c>
      <c r="J118" s="11" t="n">
        <f>1954.16</f>
        <v>1954.16</v>
      </c>
      <c r="K118" s="10" t="n">
        <f>17.3</f>
        <v>17.3</v>
      </c>
      <c r="L118" s="10" t="n">
        <f>1.3</f>
        <v>1.3</v>
      </c>
      <c r="M118" s="21" t="n">
        <f>6971745219372</f>
        <v>6.971745219372E12</v>
      </c>
      <c r="N118" s="21" t="n">
        <f>90258758368503</f>
        <v>9.0258758368503E13</v>
      </c>
    </row>
  </sheetData>
  <mergeCells count="8">
    <mergeCell ref="F1:J1"/>
    <mergeCell ref="K1:N1"/>
    <mergeCell ref="F2:J2"/>
    <mergeCell ref="K2:N2"/>
    <mergeCell ref="B3:B4"/>
    <mergeCell ref="C3:C4"/>
    <mergeCell ref="D3:D4"/>
    <mergeCell ref="E3:E4"/>
  </mergeCells>
  <phoneticPr fontId="2"/>
  <pageMargins left="0.23622047244094491" right="0.23622047244094491" top="0.74803149606299213" bottom="0.74803149606299213" header="0.31496062992125984" footer="0.31496062992125984"/>
  <pageSetup paperSize="9" scale="33" orientation="portrait" r:id="rId1"/>
  <headerFooter>
    <oddFooter>&amp;C1-&amp;P&amp;RCopyright (c) Tokyo Stock Exchange, Inc. All Rights Reserved.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Z8"/>
  <sheetViews>
    <sheetView showGridLines="0" zoomScaleNormal="100" workbookViewId="0">
      <pane ySplit="5" topLeftCell="A6" activePane="bottomLeft" state="frozen"/>
      <selection pane="bottomLeft" activeCell="A6" sqref="A6"/>
    </sheetView>
  </sheetViews>
  <sheetFormatPr defaultRowHeight="13.5" x14ac:dyDescent="0.15"/>
  <cols>
    <col min="1" max="1" customWidth="true" style="5" width="12.875" collapsed="true"/>
    <col min="2" max="2" customWidth="true" style="5" width="16.625" collapsed="true"/>
    <col min="3" max="4" bestFit="true" customWidth="true" style="5" width="11.75" collapsed="true"/>
    <col min="5" max="5" bestFit="true" customWidth="true" style="5" width="18.75" collapsed="true"/>
    <col min="6" max="6" customWidth="true" style="5" width="18.75" collapsed="true"/>
    <col min="7" max="12" customWidth="true" style="5" width="26.0" collapsed="true"/>
    <col min="13" max="15" style="5" width="9.0" collapsed="true"/>
    <col min="16" max="16" customWidth="true" style="5" width="9.0" collapsed="true"/>
    <col min="17" max="17" style="5" width="9.0" collapsed="true"/>
    <col min="18" max="19" customWidth="true" style="5" width="9.0" collapsed="true"/>
    <col min="20" max="16384" style="5" width="9.0" collapsed="true"/>
  </cols>
  <sheetData>
    <row r="1" spans="1:26" ht="33.75" customHeight="1" x14ac:dyDescent="0.15">
      <c r="A1" s="12" t="s">
        <v>28</v>
      </c>
      <c r="B1" s="2"/>
      <c r="C1" s="2"/>
      <c r="D1" s="2"/>
      <c r="E1" s="2"/>
      <c r="F1" s="13"/>
      <c r="G1" s="25" t="s">
        <v>29</v>
      </c>
      <c r="H1" s="25"/>
      <c r="I1" s="25"/>
      <c r="J1" s="25" t="s">
        <v>30</v>
      </c>
      <c r="K1" s="25"/>
      <c r="L1" s="25"/>
      <c r="M1" s="3"/>
      <c r="N1" s="3"/>
      <c r="O1" s="3"/>
      <c r="P1" s="4"/>
      <c r="Q1" s="3"/>
      <c r="R1" s="3"/>
      <c r="S1" s="3"/>
      <c r="T1" s="3"/>
      <c r="U1" s="3"/>
      <c r="V1" s="3"/>
      <c r="W1" s="3"/>
      <c r="X1" s="3"/>
      <c r="Y1" s="3"/>
      <c r="Z1" s="3"/>
    </row>
    <row r="2" spans="1:26" ht="13.5" customHeight="1" x14ac:dyDescent="0.15">
      <c r="A2" s="14" t="s">
        <v>31</v>
      </c>
      <c r="B2" s="2"/>
      <c r="C2" s="2"/>
      <c r="D2" s="2"/>
      <c r="E2" s="2"/>
      <c r="F2" s="15"/>
      <c r="G2" s="33" t="s">
        <v>51</v>
      </c>
      <c r="H2" s="33"/>
      <c r="I2" s="33"/>
      <c r="J2" s="26" t="s">
        <v>32</v>
      </c>
      <c r="K2" s="26"/>
      <c r="L2" s="26"/>
      <c r="M2" s="3"/>
      <c r="N2" s="3"/>
      <c r="O2" s="3"/>
      <c r="P2" s="4"/>
      <c r="Q2" s="3"/>
      <c r="R2" s="3"/>
      <c r="S2" s="3"/>
      <c r="T2" s="3"/>
      <c r="U2" s="3"/>
      <c r="V2" s="3"/>
      <c r="W2" s="3"/>
      <c r="X2" s="3"/>
      <c r="Y2" s="3"/>
      <c r="Z2" s="3"/>
    </row>
    <row r="3" spans="1:26" ht="13.5" customHeight="1" x14ac:dyDescent="0.15">
      <c r="A3" s="16"/>
      <c r="B3" s="2"/>
      <c r="C3" s="2"/>
      <c r="D3" s="2"/>
      <c r="E3" s="2"/>
      <c r="F3" s="17"/>
      <c r="G3" s="17"/>
      <c r="H3" s="17"/>
      <c r="I3" s="17"/>
      <c r="J3" s="27" t="s">
        <v>52</v>
      </c>
      <c r="K3" s="27"/>
      <c r="L3" s="27"/>
      <c r="M3" s="3"/>
      <c r="N3" s="3"/>
      <c r="O3" s="3"/>
      <c r="P3" s="4"/>
      <c r="Q3" s="3"/>
      <c r="R3" s="3"/>
      <c r="S3" s="3"/>
      <c r="T3" s="3"/>
      <c r="U3" s="3"/>
      <c r="V3" s="3"/>
      <c r="W3" s="3"/>
      <c r="X3" s="3"/>
      <c r="Y3" s="3"/>
      <c r="Z3" s="3"/>
    </row>
    <row r="4" spans="1:26" s="20" customFormat="1" ht="24" x14ac:dyDescent="0.15">
      <c r="A4" s="7" t="s">
        <v>4</v>
      </c>
      <c r="B4" s="29" t="s">
        <v>5</v>
      </c>
      <c r="C4" s="31" t="s">
        <v>33</v>
      </c>
      <c r="D4" s="7" t="s">
        <v>34</v>
      </c>
      <c r="E4" s="7" t="s">
        <v>35</v>
      </c>
      <c r="F4" s="7" t="s">
        <v>36</v>
      </c>
      <c r="G4" s="8" t="s">
        <v>37</v>
      </c>
      <c r="H4" s="8" t="s">
        <v>38</v>
      </c>
      <c r="I4" s="7" t="s">
        <v>39</v>
      </c>
      <c r="J4" s="7" t="s">
        <v>40</v>
      </c>
      <c r="K4" s="7" t="s">
        <v>41</v>
      </c>
      <c r="L4" s="7" t="s">
        <v>42</v>
      </c>
      <c r="M4" s="18"/>
      <c r="N4" s="18"/>
      <c r="O4" s="18"/>
      <c r="P4" s="19"/>
      <c r="Q4" s="19"/>
      <c r="R4" s="19"/>
      <c r="S4" s="19"/>
      <c r="T4" s="19"/>
      <c r="U4" s="19"/>
      <c r="V4" s="19"/>
      <c r="W4" s="19"/>
      <c r="X4" s="19"/>
      <c r="Y4" s="19"/>
      <c r="Z4" s="19"/>
    </row>
    <row r="5" spans="1:26" s="20" customFormat="1" ht="24" x14ac:dyDescent="0.15">
      <c r="A5" s="7" t="s">
        <v>18</v>
      </c>
      <c r="B5" s="30"/>
      <c r="C5" s="32"/>
      <c r="D5" s="7" t="s">
        <v>19</v>
      </c>
      <c r="E5" s="7" t="s">
        <v>20</v>
      </c>
      <c r="F5" s="7" t="s">
        <v>21</v>
      </c>
      <c r="G5" s="8" t="s">
        <v>43</v>
      </c>
      <c r="H5" s="8" t="s">
        <v>44</v>
      </c>
      <c r="I5" s="8" t="s">
        <v>45</v>
      </c>
      <c r="J5" s="8" t="s">
        <v>46</v>
      </c>
      <c r="K5" s="8" t="s">
        <v>47</v>
      </c>
      <c r="L5" s="8" t="s">
        <v>48</v>
      </c>
      <c r="M5" s="18"/>
      <c r="N5" s="18"/>
      <c r="O5" s="18"/>
      <c r="P5" s="19"/>
      <c r="Q5" s="19"/>
      <c r="R5" s="19"/>
      <c r="S5" s="19"/>
      <c r="T5" s="19"/>
      <c r="U5" s="19"/>
      <c r="V5" s="19"/>
      <c r="W5" s="19"/>
      <c r="X5" s="19"/>
      <c r="Y5" s="19"/>
      <c r="Z5" s="19"/>
    </row>
    <row r="6" spans="1:26" x14ac:dyDescent="0.15">
      <c r="A6" s="22" t="s">
        <v>53</v>
      </c>
      <c r="B6" s="22" t="s">
        <v>54</v>
      </c>
      <c r="C6" s="22" t="s">
        <v>55</v>
      </c>
      <c r="D6" s="9" t="n">
        <f>1255</f>
        <v>1255.0</v>
      </c>
      <c r="E6" s="23" t="n">
        <f>23</f>
        <v>23.0</v>
      </c>
      <c r="F6" s="23" t="n">
        <f>2.3</f>
        <v>2.3</v>
      </c>
      <c r="G6" s="11" t="n">
        <f>150.7</f>
        <v>150.7</v>
      </c>
      <c r="H6" s="11" t="n">
        <f>1506.01</f>
        <v>1506.01</v>
      </c>
      <c r="I6" s="23" t="n">
        <f>25.8</f>
        <v>25.8</v>
      </c>
      <c r="J6" s="23" t="n">
        <f>3.4</f>
        <v>3.4</v>
      </c>
      <c r="K6" s="24" t="n">
        <f>39870723745280</f>
        <v>3.987072374528E13</v>
      </c>
      <c r="L6" s="24" t="n">
        <f>298988576912735</f>
        <v>2.98988576912735E14</v>
      </c>
    </row>
    <row r="7">
      <c r="A7" s="22" t="s">
        <v>53</v>
      </c>
      <c r="B7" s="22" t="s">
        <v>130</v>
      </c>
      <c r="C7" s="22" t="s">
        <v>131</v>
      </c>
      <c r="D7" s="9" t="n">
        <f>1309</f>
        <v>1309.0</v>
      </c>
      <c r="E7" s="23" t="n">
        <f>16.3</f>
        <v>16.3</v>
      </c>
      <c r="F7" s="23" t="n">
        <f>1.1</f>
        <v>1.1</v>
      </c>
      <c r="G7" s="11" t="n">
        <f>103.17</f>
        <v>103.17</v>
      </c>
      <c r="H7" s="11" t="n">
        <f>1504.43</f>
        <v>1504.43</v>
      </c>
      <c r="I7" s="23" t="n">
        <f>21.2</f>
        <v>21.2</v>
      </c>
      <c r="J7" s="23" t="n">
        <f>1.5</f>
        <v>1.5</v>
      </c>
      <c r="K7" s="24" t="n">
        <f>1368062516165</f>
        <v>1.368062516165E12</v>
      </c>
      <c r="L7" s="24" t="n">
        <f>19348325285414</f>
        <v>1.9348325285414E13</v>
      </c>
    </row>
    <row r="8">
      <c r="A8" s="22" t="s">
        <v>53</v>
      </c>
      <c r="B8" s="22" t="s">
        <v>132</v>
      </c>
      <c r="C8" s="22" t="s">
        <v>133</v>
      </c>
      <c r="D8" s="9" t="n">
        <f>504</f>
        <v>504.0</v>
      </c>
      <c r="E8" s="23" t="n">
        <f>40.8</f>
        <v>40.8</v>
      </c>
      <c r="F8" s="23" t="n">
        <f>3.2</f>
        <v>3.2</v>
      </c>
      <c r="G8" s="11" t="n">
        <f>27.45</f>
        <v>27.45</v>
      </c>
      <c r="H8" s="11" t="n">
        <f>353.92</f>
        <v>353.92</v>
      </c>
      <c r="I8" s="23" t="n">
        <f>86.3</f>
        <v>86.3</v>
      </c>
      <c r="J8" s="23" t="n">
        <f>4.3</f>
        <v>4.3</v>
      </c>
      <c r="K8" s="24" t="n">
        <f>90614580152</f>
        <v>9.0614580152E10</v>
      </c>
      <c r="L8" s="24" t="n">
        <f>1840680072801</f>
        <v>1.840680072801E12</v>
      </c>
    </row>
  </sheetData>
  <mergeCells count="7">
    <mergeCell ref="B4:B5"/>
    <mergeCell ref="C4:C5"/>
    <mergeCell ref="G1:I1"/>
    <mergeCell ref="J1:L1"/>
    <mergeCell ref="G2:I2"/>
    <mergeCell ref="J2:L2"/>
    <mergeCell ref="J3:L3"/>
  </mergeCells>
  <phoneticPr fontId="2"/>
  <pageMargins left="0.70866141732283472" right="0.70866141732283472" top="0.74803149606299213" bottom="0.74803149606299213" header="0.31496062992125984" footer="0.31496062992125984"/>
  <pageSetup paperSize="9" scale="37" orientation="portrait" r:id="rId1"/>
  <headerFooter>
    <oddFooter>&amp;C2-&amp;P&amp;RCopyright (c) Tokyo Stock Exchange, Inc. All Rights Reserved.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規模別・業種別（連結）</vt:lpstr>
      <vt:lpstr>市場別（単体）</vt:lpstr>
      <vt:lpstr>'規模別・業種別（連結）'!Print_Titles</vt:lpstr>
      <vt:lpstr>'市場別（単体）'!Print_Titles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terms="http://purl.org/dc/terms/" xmlns:dc="http://purl.org/dc/elements/1.1/" xmlns:xsi="http://www.w3.org/2001/XMLSchema-instance">
  <dcterms:created xsi:type="dcterms:W3CDTF">2019-02-08T03:54:25Z</dcterms:created>
  <dcterms:modified xsi:type="dcterms:W3CDTF">2021-07-01T04:57:11Z</dcterms:modified>
</cp:coreProperties>
</file>