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<sst xmlns="http://schemas.openxmlformats.org/spreadsheetml/2006/main" count="638" uniqueCount="141">
  <si>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</si>
  <si>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</si>
  <si>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</si>
  <si>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</si>
  <si>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</si>
  <si>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</si>
  <si>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</si>
  <si>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</si>
  <si>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</si>
  <si>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</si>
  <si>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</si>
  <si>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</si>
  <si>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</si>
  <si>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</si>
  <si>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</si>
  <si>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</si>
  <si>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</si>
  <si>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</si>
  <si>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</si>
  <si>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</si>
  <si>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</si>
  <si>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</si>
  <si>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</si>
  <si>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</si>
  <si>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</si>
  <si>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</si>
  <si>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</si>
  <si>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</si>
  <si>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</si>
  <si>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</si>
  <si>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</si>
  <si>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</si>
  <si>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</si>
  <si>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</si>
  <si>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</si>
  <si>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</si>
  <si>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</si>
  <si>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</si>
  <si>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</si>
  <si>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</si>
  <si>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</si>
  <si>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</si>
  <si>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</si>
  <si>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</si>
  <si>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</si>
  <si>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</si>
  <si>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</si>
  <si>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</si>
  <si>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</si>
  <si>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3.本表の作成に当たって使用した親会社株主に帰属する当期純利益及び純資産は、2024年5月期～2025年4月期の確定数値である。</t>
  </si>
  <si>
    <t xml:space="preserve">       3.Figures of Net Income and Net Assets are based on the fixed figures during the term from May of 2024 to April of 2025.</t>
  </si>
  <si>
    <t xml:space="preserve">    2.本表の作成に当たって使用した当期純利益及び純資産は、2024年5月期～2025年4月期の確定数値である。</t>
  </si>
  <si>
    <t xml:space="preserve">         the term from May of 2024 to April of 2025.</t>
  </si>
  <si>
    <t>2025/07</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</si>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</sst>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1618</f>
        <v>1618.0</v>
      </c>
      <c r="G5" s="10" t="n">
        <f>16.1</f>
        <v>16.1</v>
      </c>
      <c r="H5" s="10" t="n">
        <f>1.3</f>
        <v>1.3</v>
      </c>
      <c r="I5" s="11" t="n">
        <f>178.11</f>
        <v>178.11</v>
      </c>
      <c r="J5" s="11" t="n">
        <f>2237.75</f>
        <v>2237.75</v>
      </c>
      <c r="K5" s="10" t="n">
        <f>16.5</f>
        <v>16.5</v>
      </c>
      <c r="L5" s="10" t="n">
        <f>1.4</f>
        <v>1.4</v>
      </c>
      <c r="M5" s="21" t="n">
        <f>61322549321851</f>
        <v>6.1322549321851E13</v>
      </c>
      <c r="N5" s="21" t="n">
        <f>713891066149816</f>
        <v>7.13891066149816E14</v>
      </c>
      <c r="O5" s="3"/>
      <c r="P5" s="3"/>
      <c r="Q5" s="4"/>
      <c r="R5" s="4"/>
      <c r="S5" s="4"/>
      <c r="T5" s="4"/>
      <c r="U5" s="4"/>
      <c r="V5" s="4"/>
      <c r="W5" s="4"/>
      <c r="X5" s="4"/>
      <c r="Y5" s="4"/>
      <c r="Z5" s="4"/>
      <c r="AA5" s="4"/>
    </row>
    <row r="6">
      <c r="A6" s="22" t="s">
        <v>53</v>
      </c>
      <c r="B6" s="22" t="s">
        <v>54</v>
      </c>
      <c r="C6" s="22" t="s">
        <v>55</v>
      </c>
      <c r="D6" s="22" t="s">
        <v>58</v>
      </c>
      <c r="E6" s="22" t="s">
        <v>59</v>
      </c>
      <c r="F6" s="9" t="n">
        <f>1501</f>
        <v>1501.0</v>
      </c>
      <c r="G6" s="10" t="n">
        <f>16.6</f>
        <v>16.6</v>
      </c>
      <c r="H6" s="10" t="n">
        <f>1.4</f>
        <v>1.4</v>
      </c>
      <c r="I6" s="11" t="n">
        <f>175.67</f>
        <v>175.67</v>
      </c>
      <c r="J6" s="11" t="n">
        <f>2132.85</f>
        <v>2132.85</v>
      </c>
      <c r="K6" s="10" t="n">
        <f>17.4</f>
        <v>17.4</v>
      </c>
      <c r="L6" s="10" t="n">
        <f>1.5</f>
        <v>1.5</v>
      </c>
      <c r="M6" s="21" t="n">
        <f>50633613248851</f>
        <v>5.0633613248851E13</v>
      </c>
      <c r="N6" s="21" t="n">
        <f>587848178364816</f>
        <v>5.87848178364816E14</v>
      </c>
    </row>
    <row r="7">
      <c r="A7" s="22" t="s">
        <v>53</v>
      </c>
      <c r="B7" s="22" t="s">
        <v>54</v>
      </c>
      <c r="C7" s="22" t="s">
        <v>55</v>
      </c>
      <c r="D7" s="22" t="s">
        <v>60</v>
      </c>
      <c r="E7" s="22" t="s">
        <v>61</v>
      </c>
      <c r="F7" s="9" t="n">
        <f>703</f>
        <v>703.0</v>
      </c>
      <c r="G7" s="10" t="n">
        <f>16.9</f>
        <v>16.9</v>
      </c>
      <c r="H7" s="10" t="n">
        <f>1.2</f>
        <v>1.2</v>
      </c>
      <c r="I7" s="11" t="n">
        <f>185.75</f>
        <v>185.75</v>
      </c>
      <c r="J7" s="11" t="n">
        <f>2568.94</f>
        <v>2568.94</v>
      </c>
      <c r="K7" s="10" t="n">
        <f>18.9</f>
        <v>18.9</v>
      </c>
      <c r="L7" s="10" t="n">
        <f>1.5</f>
        <v>1.5</v>
      </c>
      <c r="M7" s="21" t="n">
        <f>27227592221461</f>
        <v>2.7227592221461E13</v>
      </c>
      <c r="N7" s="21" t="n">
        <f>337426408918532</f>
        <v>3.37426408918532E14</v>
      </c>
    </row>
    <row r="8">
      <c r="A8" s="22" t="s">
        <v>53</v>
      </c>
      <c r="B8" s="22" t="s">
        <v>54</v>
      </c>
      <c r="C8" s="22" t="s">
        <v>55</v>
      </c>
      <c r="D8" s="22" t="s">
        <v>62</v>
      </c>
      <c r="E8" s="22" t="s">
        <v>63</v>
      </c>
      <c r="F8" s="9" t="n">
        <f>798</f>
        <v>798.0</v>
      </c>
      <c r="G8" s="10" t="n">
        <f>16.3</f>
        <v>16.3</v>
      </c>
      <c r="H8" s="10" t="n">
        <f>1.6</f>
        <v>1.6</v>
      </c>
      <c r="I8" s="11" t="n">
        <f>166.79</f>
        <v>166.79</v>
      </c>
      <c r="J8" s="11" t="n">
        <f>1748.68</f>
        <v>1748.68</v>
      </c>
      <c r="K8" s="10" t="n">
        <f>15.7</f>
        <v>15.7</v>
      </c>
      <c r="L8" s="10" t="n">
        <f>1.5</f>
        <v>1.5</v>
      </c>
      <c r="M8" s="21" t="n">
        <f>23406021027390</f>
        <v>2.340602102739E13</v>
      </c>
      <c r="N8" s="21" t="n">
        <f>250421769446284</f>
        <v>2.50421769446284E14</v>
      </c>
    </row>
    <row r="9">
      <c r="A9" s="22" t="s">
        <v>53</v>
      </c>
      <c r="B9" s="22" t="s">
        <v>54</v>
      </c>
      <c r="C9" s="22" t="s">
        <v>55</v>
      </c>
      <c r="D9" s="22" t="s">
        <v>64</v>
      </c>
      <c r="E9" s="22" t="s">
        <v>65</v>
      </c>
      <c r="F9" s="9" t="n">
        <f>6</f>
        <v>6.0</v>
      </c>
      <c r="G9" s="10" t="n">
        <f>9.3</f>
        <v>9.3</v>
      </c>
      <c r="H9" s="10" t="n">
        <f>0.9</f>
        <v>0.9</v>
      </c>
      <c r="I9" s="11" t="n">
        <f>269.71</f>
        <v>269.71</v>
      </c>
      <c r="J9" s="11" t="n">
        <f>2915.86</f>
        <v>2915.86</v>
      </c>
      <c r="K9" s="10" t="n">
        <f>9.8</f>
        <v>9.8</v>
      </c>
      <c r="L9" s="10" t="n">
        <f>0.9</f>
        <v>0.9</v>
      </c>
      <c r="M9" s="21" t="n">
        <f>77490000000</f>
        <v>7.749E10</v>
      </c>
      <c r="N9" s="21" t="n">
        <f>859556000000</f>
        <v>8.59556E11</v>
      </c>
    </row>
    <row r="10">
      <c r="A10" s="22" t="s">
        <v>53</v>
      </c>
      <c r="B10" s="22" t="s">
        <v>54</v>
      </c>
      <c r="C10" s="22" t="s">
        <v>55</v>
      </c>
      <c r="D10" s="22" t="s">
        <v>66</v>
      </c>
      <c r="E10" s="22" t="s">
        <v>67</v>
      </c>
      <c r="F10" s="9" t="n">
        <f>4</f>
        <v>4.0</v>
      </c>
      <c r="G10" s="10" t="n">
        <f>9.6</f>
        <v>9.6</v>
      </c>
      <c r="H10" s="10" t="n">
        <f>0.7</f>
        <v>0.7</v>
      </c>
      <c r="I10" s="11" t="n">
        <f>353.18</f>
        <v>353.18</v>
      </c>
      <c r="J10" s="11" t="n">
        <f>4713.6</f>
        <v>4713.6</v>
      </c>
      <c r="K10" s="10" t="n">
        <f>6.1</f>
        <v>6.1</v>
      </c>
      <c r="L10" s="10" t="n">
        <f>0.5</f>
        <v>0.5</v>
      </c>
      <c r="M10" s="21" t="n">
        <f>523683000000</f>
        <v>5.23683E11</v>
      </c>
      <c r="N10" s="21" t="n">
        <f>5946467000000</f>
        <v>5.946467E12</v>
      </c>
    </row>
    <row r="11">
      <c r="A11" s="22" t="s">
        <v>53</v>
      </c>
      <c r="B11" s="22" t="s">
        <v>54</v>
      </c>
      <c r="C11" s="22" t="s">
        <v>55</v>
      </c>
      <c r="D11" s="22" t="s">
        <v>68</v>
      </c>
      <c r="E11" s="22" t="s">
        <v>69</v>
      </c>
      <c r="F11" s="9" t="n">
        <f>75</f>
        <v>75.0</v>
      </c>
      <c r="G11" s="10" t="n">
        <f>14.2</f>
        <v>14.2</v>
      </c>
      <c r="H11" s="10" t="n">
        <f>1.3</f>
        <v>1.3</v>
      </c>
      <c r="I11" s="11" t="n">
        <f>202.9</f>
        <v>202.9</v>
      </c>
      <c r="J11" s="11" t="n">
        <f>2294.57</f>
        <v>2294.57</v>
      </c>
      <c r="K11" s="10" t="n">
        <f>13.3</f>
        <v>13.3</v>
      </c>
      <c r="L11" s="10" t="n">
        <f>1.3</f>
        <v>1.3</v>
      </c>
      <c r="M11" s="21" t="n">
        <f>1854489600000</f>
        <v>1.8544896E12</v>
      </c>
      <c r="N11" s="21" t="n">
        <f>19180164639267</f>
        <v>1.9180164639267E13</v>
      </c>
    </row>
    <row r="12">
      <c r="A12" s="22" t="s">
        <v>53</v>
      </c>
      <c r="B12" s="22" t="s">
        <v>54</v>
      </c>
      <c r="C12" s="22" t="s">
        <v>55</v>
      </c>
      <c r="D12" s="22" t="s">
        <v>70</v>
      </c>
      <c r="E12" s="22" t="s">
        <v>71</v>
      </c>
      <c r="F12" s="9" t="n">
        <f>67</f>
        <v>67.0</v>
      </c>
      <c r="G12" s="10" t="n">
        <f>19.1</f>
        <v>19.1</v>
      </c>
      <c r="H12" s="10" t="n">
        <f>1.2</f>
        <v>1.2</v>
      </c>
      <c r="I12" s="11" t="n">
        <f>143.2</f>
        <v>143.2</v>
      </c>
      <c r="J12" s="11" t="n">
        <f>2312.54</f>
        <v>2312.54</v>
      </c>
      <c r="K12" s="10" t="n">
        <f>24.7</f>
        <v>24.7</v>
      </c>
      <c r="L12" s="10" t="n">
        <f>1.6</f>
        <v>1.6</v>
      </c>
      <c r="M12" s="21" t="n">
        <f>1343915000000</f>
        <v>1.343915E12</v>
      </c>
      <c r="N12" s="21" t="n">
        <f>21007859406109</f>
        <v>2.1007859406109E13</v>
      </c>
    </row>
    <row r="13">
      <c r="A13" s="22" t="s">
        <v>53</v>
      </c>
      <c r="B13" s="22" t="s">
        <v>54</v>
      </c>
      <c r="C13" s="22" t="s">
        <v>55</v>
      </c>
      <c r="D13" s="22" t="s">
        <v>72</v>
      </c>
      <c r="E13" s="22" t="s">
        <v>73</v>
      </c>
      <c r="F13" s="9" t="n">
        <f>20</f>
        <v>20.0</v>
      </c>
      <c r="G13" s="10" t="n">
        <f>18.1</f>
        <v>18.1</v>
      </c>
      <c r="H13" s="10" t="n">
        <f>1.1</f>
        <v>1.1</v>
      </c>
      <c r="I13" s="11" t="n">
        <f>156.59</f>
        <v>156.59</v>
      </c>
      <c r="J13" s="11" t="n">
        <f>2479.85</f>
        <v>2479.85</v>
      </c>
      <c r="K13" s="10" t="n">
        <f>18.8</f>
        <v>18.8</v>
      </c>
      <c r="L13" s="10" t="n">
        <f>1</f>
        <v>1.0</v>
      </c>
      <c r="M13" s="21" t="n">
        <f>206391000000</f>
        <v>2.06391E11</v>
      </c>
      <c r="N13" s="21" t="n">
        <f>3919854000000</f>
        <v>3.919854E12</v>
      </c>
    </row>
    <row r="14">
      <c r="A14" s="22" t="s">
        <v>53</v>
      </c>
      <c r="B14" s="22" t="s">
        <v>54</v>
      </c>
      <c r="C14" s="22" t="s">
        <v>55</v>
      </c>
      <c r="D14" s="22" t="s">
        <v>74</v>
      </c>
      <c r="E14" s="22" t="s">
        <v>75</v>
      </c>
      <c r="F14" s="9" t="n">
        <f>10</f>
        <v>10.0</v>
      </c>
      <c r="G14" s="10" t="n">
        <f>13.3</f>
        <v>13.3</v>
      </c>
      <c r="H14" s="10" t="n">
        <f>0.5</f>
        <v>0.5</v>
      </c>
      <c r="I14" s="11" t="n">
        <f>115.65</f>
        <v>115.65</v>
      </c>
      <c r="J14" s="11" t="n">
        <f>2901.69</f>
        <v>2901.69</v>
      </c>
      <c r="K14" s="10" t="n">
        <f>15.8</f>
        <v>15.8</v>
      </c>
      <c r="L14" s="10" t="n">
        <f>0.6</f>
        <v>0.6</v>
      </c>
      <c r="M14" s="21" t="n">
        <f>106556000000</f>
        <v>1.06556E11</v>
      </c>
      <c r="N14" s="21" t="n">
        <f>3053966000000</f>
        <v>3.053966E12</v>
      </c>
    </row>
    <row r="15">
      <c r="A15" s="22" t="s">
        <v>53</v>
      </c>
      <c r="B15" s="22" t="s">
        <v>54</v>
      </c>
      <c r="C15" s="22" t="s">
        <v>55</v>
      </c>
      <c r="D15" s="22" t="s">
        <v>76</v>
      </c>
      <c r="E15" s="22" t="s">
        <v>77</v>
      </c>
      <c r="F15" s="9" t="n">
        <f>117</f>
        <v>117.0</v>
      </c>
      <c r="G15" s="10" t="n">
        <f>15.6</f>
        <v>15.6</v>
      </c>
      <c r="H15" s="10" t="n">
        <f>1</f>
        <v>1.0</v>
      </c>
      <c r="I15" s="11" t="n">
        <f>165.89</f>
        <v>165.89</v>
      </c>
      <c r="J15" s="11" t="n">
        <f>2525.77</f>
        <v>2525.77</v>
      </c>
      <c r="K15" s="10" t="n">
        <f>17.4</f>
        <v>17.4</v>
      </c>
      <c r="L15" s="10" t="n">
        <f>1.3</f>
        <v>1.3</v>
      </c>
      <c r="M15" s="21" t="n">
        <f>2797844000000</f>
        <v>2.797844E12</v>
      </c>
      <c r="N15" s="21" t="n">
        <f>37674655000000</f>
        <v>3.7674655E13</v>
      </c>
    </row>
    <row r="16">
      <c r="A16" s="22" t="s">
        <v>53</v>
      </c>
      <c r="B16" s="22" t="s">
        <v>54</v>
      </c>
      <c r="C16" s="22" t="s">
        <v>55</v>
      </c>
      <c r="D16" s="22" t="s">
        <v>78</v>
      </c>
      <c r="E16" s="22" t="s">
        <v>79</v>
      </c>
      <c r="F16" s="9" t="n">
        <f>34</f>
        <v>34.0</v>
      </c>
      <c r="G16" s="10" t="n">
        <f>17.9</f>
        <v>17.9</v>
      </c>
      <c r="H16" s="10" t="n">
        <f>1.3</f>
        <v>1.3</v>
      </c>
      <c r="I16" s="11" t="n">
        <f>152.56</f>
        <v>152.56</v>
      </c>
      <c r="J16" s="11" t="n">
        <f>2130.77</f>
        <v>2130.77</v>
      </c>
      <c r="K16" s="10" t="n">
        <f>23.9</f>
        <v>23.9</v>
      </c>
      <c r="L16" s="10" t="n">
        <f>2</f>
        <v>2.0</v>
      </c>
      <c r="M16" s="21" t="n">
        <f>1797150000000</f>
        <v>1.79715E12</v>
      </c>
      <c r="N16" s="21" t="n">
        <f>21892865000000</f>
        <v>2.1892865E13</v>
      </c>
    </row>
    <row r="17">
      <c r="A17" s="22" t="s">
        <v>53</v>
      </c>
      <c r="B17" s="22" t="s">
        <v>54</v>
      </c>
      <c r="C17" s="22" t="s">
        <v>55</v>
      </c>
      <c r="D17" s="22" t="s">
        <v>80</v>
      </c>
      <c r="E17" s="22" t="s">
        <v>81</v>
      </c>
      <c r="F17" s="9" t="n">
        <f>6</f>
        <v>6.0</v>
      </c>
      <c r="G17" s="10" t="n">
        <f>14</f>
        <v>14.0</v>
      </c>
      <c r="H17" s="10" t="n">
        <f>0.8</f>
        <v>0.8</v>
      </c>
      <c r="I17" s="11" t="n">
        <f>141.69</f>
        <v>141.69</v>
      </c>
      <c r="J17" s="11" t="n">
        <f>2385.81</f>
        <v>2385.81</v>
      </c>
      <c r="K17" s="10" t="n">
        <f>11.1</f>
        <v>11.1</v>
      </c>
      <c r="L17" s="10" t="n">
        <f>0.7</f>
        <v>0.7</v>
      </c>
      <c r="M17" s="21" t="n">
        <f>372963000000</f>
        <v>3.72963E11</v>
      </c>
      <c r="N17" s="21" t="n">
        <f>6120599000000</f>
        <v>6.120599E12</v>
      </c>
    </row>
    <row r="18">
      <c r="A18" s="22" t="s">
        <v>53</v>
      </c>
      <c r="B18" s="22" t="s">
        <v>54</v>
      </c>
      <c r="C18" s="22" t="s">
        <v>55</v>
      </c>
      <c r="D18" s="22" t="s">
        <v>82</v>
      </c>
      <c r="E18" s="22" t="s">
        <v>83</v>
      </c>
      <c r="F18" s="9" t="n">
        <f>11</f>
        <v>11.0</v>
      </c>
      <c r="G18" s="10" t="n">
        <f>11.5</f>
        <v>11.5</v>
      </c>
      <c r="H18" s="10" t="n">
        <f>0.9</f>
        <v>0.9</v>
      </c>
      <c r="I18" s="11" t="n">
        <f>280.45</f>
        <v>280.45</v>
      </c>
      <c r="J18" s="11" t="n">
        <f>3484.94</f>
        <v>3484.94</v>
      </c>
      <c r="K18" s="10" t="n">
        <f>13.2</f>
        <v>13.2</v>
      </c>
      <c r="L18" s="10" t="n">
        <f>1</f>
        <v>1.0</v>
      </c>
      <c r="M18" s="21" t="n">
        <f>508182000000</f>
        <v>5.08182E11</v>
      </c>
      <c r="N18" s="21" t="n">
        <f>6588968000000</f>
        <v>6.588968E12</v>
      </c>
    </row>
    <row r="19">
      <c r="A19" s="22" t="s">
        <v>53</v>
      </c>
      <c r="B19" s="22" t="s">
        <v>54</v>
      </c>
      <c r="C19" s="22" t="s">
        <v>55</v>
      </c>
      <c r="D19" s="22" t="s">
        <v>84</v>
      </c>
      <c r="E19" s="22" t="s">
        <v>85</v>
      </c>
      <c r="F19" s="9" t="n">
        <f>23</f>
        <v>23.0</v>
      </c>
      <c r="G19" s="10" t="n">
        <f>21.6</f>
        <v>21.6</v>
      </c>
      <c r="H19" s="10" t="n">
        <f>1.4</f>
        <v>1.4</v>
      </c>
      <c r="I19" s="11" t="n">
        <f>235.79</f>
        <v>235.79</v>
      </c>
      <c r="J19" s="11" t="n">
        <f>3579.16</f>
        <v>3579.16</v>
      </c>
      <c r="K19" s="10" t="n">
        <f>32.5</f>
        <v>32.5</v>
      </c>
      <c r="L19" s="10" t="n">
        <f>1</f>
        <v>1.0</v>
      </c>
      <c r="M19" s="21" t="n">
        <f>205075000000</f>
        <v>2.05075E11</v>
      </c>
      <c r="N19" s="21" t="n">
        <f>6746170433743</f>
        <v>6.746170433743E12</v>
      </c>
    </row>
    <row r="20">
      <c r="A20" s="22" t="s">
        <v>53</v>
      </c>
      <c r="B20" s="22" t="s">
        <v>54</v>
      </c>
      <c r="C20" s="22" t="s">
        <v>55</v>
      </c>
      <c r="D20" s="22" t="s">
        <v>86</v>
      </c>
      <c r="E20" s="22" t="s">
        <v>87</v>
      </c>
      <c r="F20" s="9" t="n">
        <f>21</f>
        <v>21.0</v>
      </c>
      <c r="G20" s="10" t="n">
        <f>9.7</f>
        <v>9.7</v>
      </c>
      <c r="H20" s="10" t="n">
        <f>0.7</f>
        <v>0.7</v>
      </c>
      <c r="I20" s="11" t="n">
        <f>276.31</f>
        <v>276.31</v>
      </c>
      <c r="J20" s="11" t="n">
        <f>3826.32</f>
        <v>3826.32</v>
      </c>
      <c r="K20" s="10" t="n">
        <f>9.5</f>
        <v>9.5</v>
      </c>
      <c r="L20" s="10" t="n">
        <f>0.6</f>
        <v>0.6</v>
      </c>
      <c r="M20" s="21" t="n">
        <f>758479000000</f>
        <v>7.58479E11</v>
      </c>
      <c r="N20" s="21" t="n">
        <f>12849414000000</f>
        <v>1.2849414E13</v>
      </c>
    </row>
    <row r="21">
      <c r="A21" s="22" t="s">
        <v>53</v>
      </c>
      <c r="B21" s="22" t="s">
        <v>54</v>
      </c>
      <c r="C21" s="22" t="s">
        <v>55</v>
      </c>
      <c r="D21" s="22" t="s">
        <v>88</v>
      </c>
      <c r="E21" s="22" t="s">
        <v>89</v>
      </c>
      <c r="F21" s="9" t="n">
        <f>21</f>
        <v>21.0</v>
      </c>
      <c r="G21" s="10" t="n">
        <f>13</f>
        <v>13.0</v>
      </c>
      <c r="H21" s="10" t="n">
        <f>1</f>
        <v>1.0</v>
      </c>
      <c r="I21" s="11" t="n">
        <f>278.93</f>
        <v>278.93</v>
      </c>
      <c r="J21" s="11" t="n">
        <f>3564.57</f>
        <v>3564.57</v>
      </c>
      <c r="K21" s="10" t="n">
        <f>17</f>
        <v>17.0</v>
      </c>
      <c r="L21" s="10" t="n">
        <f>1.2</f>
        <v>1.2</v>
      </c>
      <c r="M21" s="21" t="n">
        <f>634909000000</f>
        <v>6.34909E11</v>
      </c>
      <c r="N21" s="21" t="n">
        <f>8974701000000</f>
        <v>8.974701E12</v>
      </c>
    </row>
    <row r="22">
      <c r="A22" s="22" t="s">
        <v>53</v>
      </c>
      <c r="B22" s="22" t="s">
        <v>54</v>
      </c>
      <c r="C22" s="22" t="s">
        <v>55</v>
      </c>
      <c r="D22" s="22" t="s">
        <v>90</v>
      </c>
      <c r="E22" s="22" t="s">
        <v>91</v>
      </c>
      <c r="F22" s="9" t="n">
        <f>27</f>
        <v>27.0</v>
      </c>
      <c r="G22" s="10" t="n">
        <f>11.8</f>
        <v>11.8</v>
      </c>
      <c r="H22" s="10" t="n">
        <f>0.7</f>
        <v>0.7</v>
      </c>
      <c r="I22" s="11" t="n">
        <f>169.18</f>
        <v>169.18</v>
      </c>
      <c r="J22" s="11" t="n">
        <f>2655.8</f>
        <v>2655.8</v>
      </c>
      <c r="K22" s="10" t="n">
        <f>15.5</f>
        <v>15.5</v>
      </c>
      <c r="L22" s="10" t="n">
        <f>0.9</f>
        <v>0.9</v>
      </c>
      <c r="M22" s="21" t="n">
        <f>299342000000</f>
        <v>2.99342E11</v>
      </c>
      <c r="N22" s="21" t="n">
        <f>5080584000000</f>
        <v>5.080584E12</v>
      </c>
    </row>
    <row r="23">
      <c r="A23" s="22" t="s">
        <v>53</v>
      </c>
      <c r="B23" s="22" t="s">
        <v>54</v>
      </c>
      <c r="C23" s="22" t="s">
        <v>55</v>
      </c>
      <c r="D23" s="22" t="s">
        <v>92</v>
      </c>
      <c r="E23" s="22" t="s">
        <v>93</v>
      </c>
      <c r="F23" s="9" t="n">
        <f>112</f>
        <v>112.0</v>
      </c>
      <c r="G23" s="10" t="n">
        <f>18.4</f>
        <v>18.4</v>
      </c>
      <c r="H23" s="10" t="n">
        <f>1.5</f>
        <v>1.5</v>
      </c>
      <c r="I23" s="11" t="n">
        <f>205.99</f>
        <v>205.99</v>
      </c>
      <c r="J23" s="11" t="n">
        <f>2588.45</f>
        <v>2588.45</v>
      </c>
      <c r="K23" s="10" t="n">
        <f>20.4</f>
        <v>20.4</v>
      </c>
      <c r="L23" s="10" t="n">
        <f>1.9</f>
        <v>1.9</v>
      </c>
      <c r="M23" s="21" t="n">
        <f>2782371666667</f>
        <v>2.782371666667E12</v>
      </c>
      <c r="N23" s="21" t="n">
        <f>30470392000000</f>
        <v>3.0470392E13</v>
      </c>
    </row>
    <row r="24">
      <c r="A24" s="22" t="s">
        <v>53</v>
      </c>
      <c r="B24" s="22" t="s">
        <v>54</v>
      </c>
      <c r="C24" s="22" t="s">
        <v>55</v>
      </c>
      <c r="D24" s="22" t="s">
        <v>94</v>
      </c>
      <c r="E24" s="22" t="s">
        <v>95</v>
      </c>
      <c r="F24" s="9" t="n">
        <f>128</f>
        <v>128.0</v>
      </c>
      <c r="G24" s="10" t="n">
        <f>18.2</f>
        <v>18.2</v>
      </c>
      <c r="H24" s="10" t="n">
        <f>1.6</f>
        <v>1.6</v>
      </c>
      <c r="I24" s="11" t="n">
        <f>205.21</f>
        <v>205.21</v>
      </c>
      <c r="J24" s="11" t="n">
        <f>2382.38</f>
        <v>2382.38</v>
      </c>
      <c r="K24" s="10" t="n">
        <f>23.5</f>
        <v>23.5</v>
      </c>
      <c r="L24" s="10" t="n">
        <f>2.2</f>
        <v>2.2</v>
      </c>
      <c r="M24" s="21" t="n">
        <f>6765446054794</f>
        <v>6.765446054794E12</v>
      </c>
      <c r="N24" s="21" t="n">
        <f>71007752160944</f>
        <v>7.1007752160944E13</v>
      </c>
    </row>
    <row r="25">
      <c r="A25" s="22" t="s">
        <v>53</v>
      </c>
      <c r="B25" s="22" t="s">
        <v>54</v>
      </c>
      <c r="C25" s="22" t="s">
        <v>55</v>
      </c>
      <c r="D25" s="22" t="s">
        <v>96</v>
      </c>
      <c r="E25" s="22" t="s">
        <v>97</v>
      </c>
      <c r="F25" s="9" t="n">
        <f>40</f>
        <v>40.0</v>
      </c>
      <c r="G25" s="10" t="n">
        <f>16</f>
        <v>16.0</v>
      </c>
      <c r="H25" s="10" t="n">
        <f>0.9</f>
        <v>0.9</v>
      </c>
      <c r="I25" s="11" t="n">
        <f>180.61</f>
        <v>180.61</v>
      </c>
      <c r="J25" s="11" t="n">
        <f>3207.44</f>
        <v>3207.44</v>
      </c>
      <c r="K25" s="10" t="n">
        <f>11.5</f>
        <v>11.5</v>
      </c>
      <c r="L25" s="10" t="n">
        <f>0.9</f>
        <v>0.9</v>
      </c>
      <c r="M25" s="21" t="n">
        <f>7047824500000</f>
        <v>7.0478245E12</v>
      </c>
      <c r="N25" s="21" t="n">
        <f>85979359917736</f>
        <v>8.5979359917736E13</v>
      </c>
    </row>
    <row r="26">
      <c r="A26" s="22" t="s">
        <v>53</v>
      </c>
      <c r="B26" s="22" t="s">
        <v>54</v>
      </c>
      <c r="C26" s="22" t="s">
        <v>55</v>
      </c>
      <c r="D26" s="22" t="s">
        <v>98</v>
      </c>
      <c r="E26" s="22" t="s">
        <v>99</v>
      </c>
      <c r="F26" s="9" t="n">
        <f>29</f>
        <v>29.0</v>
      </c>
      <c r="G26" s="10" t="n">
        <f>19.4</f>
        <v>19.4</v>
      </c>
      <c r="H26" s="10" t="n">
        <f>1.7</f>
        <v>1.7</v>
      </c>
      <c r="I26" s="11" t="n">
        <f>148.1</f>
        <v>148.1</v>
      </c>
      <c r="J26" s="11" t="n">
        <f>1693.18</f>
        <v>1693.18</v>
      </c>
      <c r="K26" s="10" t="n">
        <f>25.4</f>
        <v>25.4</v>
      </c>
      <c r="L26" s="10" t="n">
        <f>2.7</f>
        <v>2.7</v>
      </c>
      <c r="M26" s="21" t="n">
        <f>684410000000</f>
        <v>6.8441E11</v>
      </c>
      <c r="N26" s="21" t="n">
        <f>6496345000000</f>
        <v>6.496345E12</v>
      </c>
    </row>
    <row r="27">
      <c r="A27" s="22" t="s">
        <v>53</v>
      </c>
      <c r="B27" s="22" t="s">
        <v>54</v>
      </c>
      <c r="C27" s="22" t="s">
        <v>55</v>
      </c>
      <c r="D27" s="22" t="s">
        <v>100</v>
      </c>
      <c r="E27" s="22" t="s">
        <v>101</v>
      </c>
      <c r="F27" s="9" t="n">
        <f>37</f>
        <v>37.0</v>
      </c>
      <c r="G27" s="10" t="n">
        <f>17.3</f>
        <v>17.3</v>
      </c>
      <c r="H27" s="10" t="n">
        <f>1.4</f>
        <v>1.4</v>
      </c>
      <c r="I27" s="11" t="n">
        <f>152.95</f>
        <v>152.95</v>
      </c>
      <c r="J27" s="11" t="n">
        <f>1900.41</f>
        <v>1900.41</v>
      </c>
      <c r="K27" s="10" t="n">
        <f>31.5</f>
        <v>31.5</v>
      </c>
      <c r="L27" s="10" t="n">
        <f>3</f>
        <v>3.0</v>
      </c>
      <c r="M27" s="21" t="n">
        <f>916734000000</f>
        <v>9.16734E11</v>
      </c>
      <c r="N27" s="21" t="n">
        <f>9562924000000</f>
        <v>9.562924E12</v>
      </c>
    </row>
    <row r="28">
      <c r="A28" s="22" t="s">
        <v>53</v>
      </c>
      <c r="B28" s="22" t="s">
        <v>54</v>
      </c>
      <c r="C28" s="22" t="s">
        <v>55</v>
      </c>
      <c r="D28" s="22" t="s">
        <v>102</v>
      </c>
      <c r="E28" s="22" t="s">
        <v>103</v>
      </c>
      <c r="F28" s="9" t="n">
        <f>22</f>
        <v>22.0</v>
      </c>
      <c r="G28" s="10" t="n">
        <f>7.9</f>
        <v>7.9</v>
      </c>
      <c r="H28" s="10" t="n">
        <f>0.7</f>
        <v>0.7</v>
      </c>
      <c r="I28" s="11" t="n">
        <f>216.4</f>
        <v>216.4</v>
      </c>
      <c r="J28" s="11" t="n">
        <f>2510.1</f>
        <v>2510.1</v>
      </c>
      <c r="K28" s="10" t="n">
        <f>6.4</f>
        <v>6.4</v>
      </c>
      <c r="L28" s="10" t="n">
        <f>0.6</f>
        <v>0.6</v>
      </c>
      <c r="M28" s="21" t="n">
        <f>1758553000000</f>
        <v>1.758553E12</v>
      </c>
      <c r="N28" s="21" t="n">
        <f>18777562025798</f>
        <v>1.8777562025798E13</v>
      </c>
    </row>
    <row r="29">
      <c r="A29" s="22" t="s">
        <v>53</v>
      </c>
      <c r="B29" s="22" t="s">
        <v>54</v>
      </c>
      <c r="C29" s="22" t="s">
        <v>55</v>
      </c>
      <c r="D29" s="22" t="s">
        <v>104</v>
      </c>
      <c r="E29" s="22" t="s">
        <v>105</v>
      </c>
      <c r="F29" s="9" t="n">
        <f>37</f>
        <v>37.0</v>
      </c>
      <c r="G29" s="10" t="n">
        <f>12.8</f>
        <v>12.8</v>
      </c>
      <c r="H29" s="10" t="n">
        <f>1.1</f>
        <v>1.1</v>
      </c>
      <c r="I29" s="11" t="n">
        <f>225.87</f>
        <v>225.87</v>
      </c>
      <c r="J29" s="11" t="n">
        <f>2681.89</f>
        <v>2681.89</v>
      </c>
      <c r="K29" s="10" t="n">
        <f>11.9</f>
        <v>11.9</v>
      </c>
      <c r="L29" s="10" t="n">
        <f>1.1</f>
        <v>1.1</v>
      </c>
      <c r="M29" s="21" t="n">
        <f>2012673000000</f>
        <v>2.012673E12</v>
      </c>
      <c r="N29" s="21" t="n">
        <f>21497313000000</f>
        <v>2.1497313E13</v>
      </c>
    </row>
    <row r="30">
      <c r="A30" s="22" t="s">
        <v>53</v>
      </c>
      <c r="B30" s="22" t="s">
        <v>54</v>
      </c>
      <c r="C30" s="22" t="s">
        <v>55</v>
      </c>
      <c r="D30" s="22" t="s">
        <v>106</v>
      </c>
      <c r="E30" s="22" t="s">
        <v>107</v>
      </c>
      <c r="F30" s="9" t="n">
        <f>5</f>
        <v>5.0</v>
      </c>
      <c r="G30" s="10" t="n">
        <f>4.8</f>
        <v>4.8</v>
      </c>
      <c r="H30" s="10" t="n">
        <f>0.7</f>
        <v>0.7</v>
      </c>
      <c r="I30" s="11" t="n">
        <f>739.27</f>
        <v>739.27</v>
      </c>
      <c r="J30" s="11" t="n">
        <f>5020.08</f>
        <v>5020.08</v>
      </c>
      <c r="K30" s="10" t="n">
        <f>4.6</f>
        <v>4.6</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10.4</f>
        <v>10.4</v>
      </c>
      <c r="H31" s="10" t="n">
        <f>1.2</f>
        <v>1.2</v>
      </c>
      <c r="I31" s="11" t="n">
        <f>280.42</f>
        <v>280.42</v>
      </c>
      <c r="J31" s="11" t="n">
        <f>2339.93</f>
        <v>2339.93</v>
      </c>
      <c r="K31" s="10" t="n">
        <f>10.3</f>
        <v>10.3</v>
      </c>
      <c r="L31" s="10" t="n">
        <f>1.2</f>
        <v>1.2</v>
      </c>
      <c r="M31" s="21" t="n">
        <f>260065000000</f>
        <v>2.60065E11</v>
      </c>
      <c r="N31" s="21" t="n">
        <f>2156768000000</f>
        <v>2.156768E12</v>
      </c>
    </row>
    <row r="32">
      <c r="A32" s="22" t="s">
        <v>53</v>
      </c>
      <c r="B32" s="22" t="s">
        <v>54</v>
      </c>
      <c r="C32" s="22" t="s">
        <v>55</v>
      </c>
      <c r="D32" s="22" t="s">
        <v>110</v>
      </c>
      <c r="E32" s="22" t="s">
        <v>111</v>
      </c>
      <c r="F32" s="9" t="n">
        <f>11</f>
        <v>11.0</v>
      </c>
      <c r="G32" s="10" t="n">
        <f>15.1</f>
        <v>15.1</v>
      </c>
      <c r="H32" s="10" t="n">
        <f>1.2</f>
        <v>1.2</v>
      </c>
      <c r="I32" s="11" t="n">
        <f>207.56</f>
        <v>207.56</v>
      </c>
      <c r="J32" s="11" t="n">
        <f>2657</f>
        <v>2657.0</v>
      </c>
      <c r="K32" s="10" t="n">
        <f>16</f>
        <v>16.0</v>
      </c>
      <c r="L32" s="10" t="n">
        <f>1.2</f>
        <v>1.2</v>
      </c>
      <c r="M32" s="21" t="n">
        <f>120075000000</f>
        <v>1.20075E11</v>
      </c>
      <c r="N32" s="21" t="n">
        <f>1599446000000</f>
        <v>1.599446E12</v>
      </c>
    </row>
    <row r="33">
      <c r="A33" s="22" t="s">
        <v>53</v>
      </c>
      <c r="B33" s="22" t="s">
        <v>54</v>
      </c>
      <c r="C33" s="22" t="s">
        <v>55</v>
      </c>
      <c r="D33" s="22" t="s">
        <v>112</v>
      </c>
      <c r="E33" s="22" t="s">
        <v>113</v>
      </c>
      <c r="F33" s="9" t="n">
        <f>175</f>
        <v>175.0</v>
      </c>
      <c r="G33" s="10" t="n">
        <f>25.6</f>
        <v>25.6</v>
      </c>
      <c r="H33" s="10" t="n">
        <f>2.5</f>
        <v>2.5</v>
      </c>
      <c r="I33" s="11" t="n">
        <f>113.79</f>
        <v>113.79</v>
      </c>
      <c r="J33" s="11" t="n">
        <f>1176.46</f>
        <v>1176.46</v>
      </c>
      <c r="K33" s="10" t="n">
        <f>20.5</f>
        <v>20.5</v>
      </c>
      <c r="L33" s="10" t="n">
        <f>1.9</f>
        <v>1.9</v>
      </c>
      <c r="M33" s="21" t="n">
        <f>5121535000000</f>
        <v>5.121535E12</v>
      </c>
      <c r="N33" s="21" t="n">
        <f>55904227000000</f>
        <v>5.5904227E13</v>
      </c>
    </row>
    <row r="34">
      <c r="A34" s="22" t="s">
        <v>53</v>
      </c>
      <c r="B34" s="22" t="s">
        <v>54</v>
      </c>
      <c r="C34" s="22" t="s">
        <v>55</v>
      </c>
      <c r="D34" s="22" t="s">
        <v>114</v>
      </c>
      <c r="E34" s="22" t="s">
        <v>115</v>
      </c>
      <c r="F34" s="9" t="n">
        <f>122</f>
        <v>122.0</v>
      </c>
      <c r="G34" s="10" t="n">
        <f>12</f>
        <v>12.0</v>
      </c>
      <c r="H34" s="10" t="n">
        <f>1.1</f>
        <v>1.1</v>
      </c>
      <c r="I34" s="11" t="n">
        <f>231.13</f>
        <v>231.13</v>
      </c>
      <c r="J34" s="11" t="n">
        <f>2515.02</f>
        <v>2515.02</v>
      </c>
      <c r="K34" s="10" t="n">
        <f>11.8</f>
        <v>11.8</v>
      </c>
      <c r="L34" s="10" t="n">
        <f>1.3</f>
        <v>1.3</v>
      </c>
      <c r="M34" s="21" t="n">
        <f>5378659000000</f>
        <v>5.378659E12</v>
      </c>
      <c r="N34" s="21" t="n">
        <f>48731616000000</f>
        <v>4.8731616E13</v>
      </c>
    </row>
    <row r="35">
      <c r="A35" s="22" t="s">
        <v>53</v>
      </c>
      <c r="B35" s="22" t="s">
        <v>54</v>
      </c>
      <c r="C35" s="22" t="s">
        <v>55</v>
      </c>
      <c r="D35" s="22" t="s">
        <v>116</v>
      </c>
      <c r="E35" s="22" t="s">
        <v>117</v>
      </c>
      <c r="F35" s="9" t="n">
        <f>135</f>
        <v>135.0</v>
      </c>
      <c r="G35" s="10" t="n">
        <f>22.6</f>
        <v>22.6</v>
      </c>
      <c r="H35" s="10" t="n">
        <f>1.9</f>
        <v>1.9</v>
      </c>
      <c r="I35" s="11" t="n">
        <f>142</f>
        <v>142.0</v>
      </c>
      <c r="J35" s="11" t="n">
        <f>1676.71</f>
        <v>1676.71</v>
      </c>
      <c r="K35" s="10" t="n">
        <f>28.9</f>
        <v>28.9</v>
      </c>
      <c r="L35" s="10" t="n">
        <f>2.4</f>
        <v>2.4</v>
      </c>
      <c r="M35" s="21" t="n">
        <f>2012013080196</f>
        <v>2.012013080196E12</v>
      </c>
      <c r="N35" s="21" t="n">
        <f>24355672299258</f>
        <v>2.4355672299258E13</v>
      </c>
    </row>
    <row r="36">
      <c r="A36" s="22" t="s">
        <v>53</v>
      </c>
      <c r="B36" s="22" t="s">
        <v>54</v>
      </c>
      <c r="C36" s="22" t="s">
        <v>55</v>
      </c>
      <c r="D36" s="22" t="s">
        <v>118</v>
      </c>
      <c r="E36" s="22" t="s">
        <v>119</v>
      </c>
      <c r="F36" s="9" t="n">
        <f>68</f>
        <v>68.0</v>
      </c>
      <c r="G36" s="10" t="n">
        <f>10.9</f>
        <v>10.9</v>
      </c>
      <c r="H36" s="10" t="n">
        <f>0.5</f>
        <v>0.5</v>
      </c>
      <c r="I36" s="11" t="n">
        <f>237.45</f>
        <v>237.45</v>
      </c>
      <c r="J36" s="11" t="n">
        <f>4745.2</f>
        <v>4745.2</v>
      </c>
      <c r="K36" s="10" t="n">
        <f>13.2</f>
        <v>13.2</v>
      </c>
      <c r="L36" s="10" t="n">
        <f>0.9</f>
        <v>0.9</v>
      </c>
      <c r="M36" s="21" t="n">
        <f>6135010073000</f>
        <v>6.135010073E12</v>
      </c>
      <c r="N36" s="21" t="n">
        <f>86042619785000</f>
        <v>8.6042619785E13</v>
      </c>
    </row>
    <row r="37">
      <c r="A37" s="22" t="s">
        <v>53</v>
      </c>
      <c r="B37" s="22" t="s">
        <v>54</v>
      </c>
      <c r="C37" s="22" t="s">
        <v>55</v>
      </c>
      <c r="D37" s="22" t="s">
        <v>120</v>
      </c>
      <c r="E37" s="22" t="s">
        <v>121</v>
      </c>
      <c r="F37" s="9" t="n">
        <f>19</f>
        <v>19.0</v>
      </c>
      <c r="G37" s="10" t="n">
        <f>12.7</f>
        <v>12.7</v>
      </c>
      <c r="H37" s="10" t="n">
        <f>1.1</f>
        <v>1.1</v>
      </c>
      <c r="I37" s="11" t="n">
        <f>113.81</f>
        <v>113.81</v>
      </c>
      <c r="J37" s="11" t="n">
        <f>1265.46</f>
        <v>1265.46</v>
      </c>
      <c r="K37" s="10" t="n">
        <f>10.9</f>
        <v>10.9</v>
      </c>
      <c r="L37" s="10" t="n">
        <f>1</f>
        <v>1.0</v>
      </c>
      <c r="M37" s="21" t="n">
        <f>753976000000</f>
        <v>7.53976E11</v>
      </c>
      <c r="N37" s="21" t="n">
        <f>8502143000000</f>
        <v>8.502143E12</v>
      </c>
    </row>
    <row r="38">
      <c r="A38" s="22" t="s">
        <v>53</v>
      </c>
      <c r="B38" s="22" t="s">
        <v>54</v>
      </c>
      <c r="C38" s="22" t="s">
        <v>55</v>
      </c>
      <c r="D38" s="22" t="s">
        <v>122</v>
      </c>
      <c r="E38" s="22" t="s">
        <v>123</v>
      </c>
      <c r="F38" s="9" t="n">
        <f>10</f>
        <v>10.0</v>
      </c>
      <c r="G38" s="10" t="n">
        <f>12.2</f>
        <v>12.2</v>
      </c>
      <c r="H38" s="10" t="n">
        <f>1.3</f>
        <v>1.3</v>
      </c>
      <c r="I38" s="11" t="n">
        <f>229.86</f>
        <v>229.86</v>
      </c>
      <c r="J38" s="11" t="n">
        <f>2210.25</f>
        <v>2210.25</v>
      </c>
      <c r="K38" s="10" t="n">
        <f>10.3</f>
        <v>10.3</v>
      </c>
      <c r="L38" s="10" t="n">
        <f>1.5</f>
        <v>1.5</v>
      </c>
      <c r="M38" s="21" t="n">
        <f>2860248000000</f>
        <v>2.860248E12</v>
      </c>
      <c r="N38" s="21" t="n">
        <f>20166519000000</f>
        <v>2.0166519E13</v>
      </c>
    </row>
    <row r="39">
      <c r="A39" s="22" t="s">
        <v>53</v>
      </c>
      <c r="B39" s="22" t="s">
        <v>54</v>
      </c>
      <c r="C39" s="22" t="s">
        <v>55</v>
      </c>
      <c r="D39" s="22" t="s">
        <v>124</v>
      </c>
      <c r="E39" s="22" t="s">
        <v>125</v>
      </c>
      <c r="F39" s="9" t="n">
        <f>20</f>
        <v>20.0</v>
      </c>
      <c r="G39" s="10" t="n">
        <f>11.6</f>
        <v>11.6</v>
      </c>
      <c r="H39" s="10" t="n">
        <f>0.9</f>
        <v>0.9</v>
      </c>
      <c r="I39" s="11" t="n">
        <f>194.93</f>
        <v>194.93</v>
      </c>
      <c r="J39" s="11" t="n">
        <f>2522.24</f>
        <v>2522.24</v>
      </c>
      <c r="K39" s="10" t="n">
        <f>12.2</f>
        <v>12.2</v>
      </c>
      <c r="L39" s="10" t="n">
        <f>1</f>
        <v>1.0</v>
      </c>
      <c r="M39" s="21" t="n">
        <f>939702000000</f>
        <v>9.39702E11</v>
      </c>
      <c r="N39" s="21" t="n">
        <f>11331606000000</f>
        <v>1.1331606E13</v>
      </c>
    </row>
    <row r="40">
      <c r="A40" s="22" t="s">
        <v>53</v>
      </c>
      <c r="B40" s="22" t="s">
        <v>54</v>
      </c>
      <c r="C40" s="22" t="s">
        <v>55</v>
      </c>
      <c r="D40" s="22" t="s">
        <v>126</v>
      </c>
      <c r="E40" s="22" t="s">
        <v>127</v>
      </c>
      <c r="F40" s="9" t="n">
        <f>49</f>
        <v>49.0</v>
      </c>
      <c r="G40" s="10" t="n">
        <f>13.2</f>
        <v>13.2</v>
      </c>
      <c r="H40" s="10" t="n">
        <f>1.7</f>
        <v>1.7</v>
      </c>
      <c r="I40" s="11" t="n">
        <f>206.94</f>
        <v>206.94</v>
      </c>
      <c r="J40" s="11" t="n">
        <f>1601.15</f>
        <v>1601.15</v>
      </c>
      <c r="K40" s="10" t="n">
        <f>13.2</f>
        <v>13.2</v>
      </c>
      <c r="L40" s="10" t="n">
        <f>1.3</f>
        <v>1.3</v>
      </c>
      <c r="M40" s="21" t="n">
        <f>1463525000000</f>
        <v>1.463525E12</v>
      </c>
      <c r="N40" s="21" t="n">
        <f>15328796000000</f>
        <v>1.5328796E13</v>
      </c>
    </row>
    <row r="41">
      <c r="A41" s="22" t="s">
        <v>53</v>
      </c>
      <c r="B41" s="22" t="s">
        <v>54</v>
      </c>
      <c r="C41" s="22" t="s">
        <v>55</v>
      </c>
      <c r="D41" s="22" t="s">
        <v>128</v>
      </c>
      <c r="E41" s="22" t="s">
        <v>129</v>
      </c>
      <c r="F41" s="9" t="n">
        <f>155</f>
        <v>155.0</v>
      </c>
      <c r="G41" s="10" t="n">
        <f>16.8</f>
        <v>16.8</v>
      </c>
      <c r="H41" s="10" t="n">
        <f>1.9</f>
        <v>1.9</v>
      </c>
      <c r="I41" s="11" t="n">
        <f>114.66</f>
        <v>114.66</v>
      </c>
      <c r="J41" s="11" t="n">
        <f>1006.59</f>
        <v>1006.59</v>
      </c>
      <c r="K41" s="10" t="n">
        <f>29.5</f>
        <v>29.5</v>
      </c>
      <c r="L41" s="10" t="n">
        <f>1.6</f>
        <v>1.6</v>
      </c>
      <c r="M41" s="21" t="n">
        <f>1577689347194</f>
        <v>1.577689347194E12</v>
      </c>
      <c r="N41" s="21" t="n">
        <f>28404158481961</f>
        <v>2.8404158481961E13</v>
      </c>
    </row>
    <row r="42">
      <c r="A42" s="22" t="s">
        <v>53</v>
      </c>
      <c r="B42" s="22" t="s">
        <v>130</v>
      </c>
      <c r="C42" s="22" t="s">
        <v>131</v>
      </c>
      <c r="D42" s="22" t="s">
        <v>56</v>
      </c>
      <c r="E42" s="22" t="s">
        <v>57</v>
      </c>
      <c r="F42" s="9" t="n">
        <f>1562</f>
        <v>1562.0</v>
      </c>
      <c r="G42" s="10" t="n">
        <f>13.6</f>
        <v>13.6</v>
      </c>
      <c r="H42" s="10" t="n">
        <f>0.9</f>
        <v>0.9</v>
      </c>
      <c r="I42" s="11" t="n">
        <f>113.08</f>
        <v>113.08</v>
      </c>
      <c r="J42" s="11" t="n">
        <f>1803.69</f>
        <v>1803.69</v>
      </c>
      <c r="K42" s="10" t="n">
        <f>16.9</f>
        <v>16.9</v>
      </c>
      <c r="L42" s="10" t="n">
        <f>1.2</f>
        <v>1.2</v>
      </c>
      <c r="M42" s="21" t="n">
        <f>1868667189889</f>
        <v>1.868667189889E12</v>
      </c>
      <c r="N42" s="21" t="n">
        <f>27425226888607</f>
        <v>2.7425226888607E13</v>
      </c>
    </row>
    <row r="43">
      <c r="A43" s="22" t="s">
        <v>53</v>
      </c>
      <c r="B43" s="22" t="s">
        <v>130</v>
      </c>
      <c r="C43" s="22" t="s">
        <v>131</v>
      </c>
      <c r="D43" s="22" t="s">
        <v>58</v>
      </c>
      <c r="E43" s="22" t="s">
        <v>59</v>
      </c>
      <c r="F43" s="9" t="n">
        <f>1521</f>
        <v>1521.0</v>
      </c>
      <c r="G43" s="10" t="n">
        <f>13.6</f>
        <v>13.6</v>
      </c>
      <c r="H43" s="10" t="n">
        <f>0.9</f>
        <v>0.9</v>
      </c>
      <c r="I43" s="11" t="n">
        <f>113.99</f>
        <v>113.99</v>
      </c>
      <c r="J43" s="11" t="n">
        <f>1812.5</f>
        <v>1812.5</v>
      </c>
      <c r="K43" s="10" t="n">
        <f>16.9</f>
        <v>16.9</v>
      </c>
      <c r="L43" s="10" t="n">
        <f>1.2</f>
        <v>1.2</v>
      </c>
      <c r="M43" s="21" t="n">
        <f>1752348163767</f>
        <v>1.752348163767E12</v>
      </c>
      <c r="N43" s="21" t="n">
        <f>25592616728607</f>
        <v>2.5592616728607E13</v>
      </c>
    </row>
    <row r="44">
      <c r="A44" s="22" t="s">
        <v>53</v>
      </c>
      <c r="B44" s="22" t="s">
        <v>130</v>
      </c>
      <c r="C44" s="22" t="s">
        <v>131</v>
      </c>
      <c r="D44" s="22" t="s">
        <v>60</v>
      </c>
      <c r="E44" s="22" t="s">
        <v>61</v>
      </c>
      <c r="F44" s="9" t="n">
        <f>630</f>
        <v>630.0</v>
      </c>
      <c r="G44" s="10" t="n">
        <f>13.6</f>
        <v>13.6</v>
      </c>
      <c r="H44" s="10" t="n">
        <f>0.7</f>
        <v>0.7</v>
      </c>
      <c r="I44" s="11" t="n">
        <f>124.76</f>
        <v>124.76</v>
      </c>
      <c r="J44" s="11" t="n">
        <f>2359.54</f>
        <v>2359.54</v>
      </c>
      <c r="K44" s="10" t="n">
        <f>15.5</f>
        <v>15.5</v>
      </c>
      <c r="L44" s="10" t="n">
        <f>0.9</f>
        <v>0.9</v>
      </c>
      <c r="M44" s="21" t="n">
        <f>743257818714</f>
        <v>7.43257818714E11</v>
      </c>
      <c r="N44" s="21" t="n">
        <f>13378301033313</f>
        <v>1.3378301033313E13</v>
      </c>
    </row>
    <row r="45">
      <c r="A45" s="22" t="s">
        <v>53</v>
      </c>
      <c r="B45" s="22" t="s">
        <v>130</v>
      </c>
      <c r="C45" s="22" t="s">
        <v>131</v>
      </c>
      <c r="D45" s="22" t="s">
        <v>62</v>
      </c>
      <c r="E45" s="22" t="s">
        <v>63</v>
      </c>
      <c r="F45" s="9" t="n">
        <f>891</f>
        <v>891.0</v>
      </c>
      <c r="G45" s="10" t="n">
        <f>13.6</f>
        <v>13.6</v>
      </c>
      <c r="H45" s="10" t="n">
        <f>1</f>
        <v>1.0</v>
      </c>
      <c r="I45" s="11" t="n">
        <f>106.38</f>
        <v>106.38</v>
      </c>
      <c r="J45" s="11" t="n">
        <f>1425.71</f>
        <v>1425.71</v>
      </c>
      <c r="K45" s="10" t="n">
        <f>17.9</f>
        <v>17.9</v>
      </c>
      <c r="L45" s="10" t="n">
        <f>1.5</f>
        <v>1.5</v>
      </c>
      <c r="M45" s="21" t="n">
        <f>1009090345053</f>
        <v>1.009090345053E12</v>
      </c>
      <c r="N45" s="21" t="n">
        <f>12214315695294</f>
        <v>1.2214315695294E13</v>
      </c>
    </row>
    <row r="46">
      <c r="A46" s="22" t="s">
        <v>53</v>
      </c>
      <c r="B46" s="22" t="s">
        <v>130</v>
      </c>
      <c r="C46" s="22" t="s">
        <v>131</v>
      </c>
      <c r="D46" s="22" t="s">
        <v>64</v>
      </c>
      <c r="E46" s="22" t="s">
        <v>65</v>
      </c>
      <c r="F46" s="9" t="n">
        <f>6</f>
        <v>6.0</v>
      </c>
      <c r="G46" s="10" t="n">
        <f>18.6</f>
        <v>18.6</v>
      </c>
      <c r="H46" s="10" t="n">
        <f>1.1</f>
        <v>1.1</v>
      </c>
      <c r="I46" s="11" t="n">
        <f>105.92</f>
        <v>105.92</v>
      </c>
      <c r="J46" s="11" t="n">
        <f>1714.06</f>
        <v>1714.06</v>
      </c>
      <c r="K46" s="10" t="n">
        <f>12.3</f>
        <v>12.3</v>
      </c>
      <c r="L46" s="10" t="n">
        <f>0.9</f>
        <v>0.9</v>
      </c>
      <c r="M46" s="21" t="n">
        <f>4684000000</f>
        <v>4.684E9</v>
      </c>
      <c r="N46" s="21" t="n">
        <f>64392000000</f>
        <v>6.4392E10</v>
      </c>
    </row>
    <row r="47">
      <c r="A47" s="22" t="s">
        <v>53</v>
      </c>
      <c r="B47" s="22" t="s">
        <v>130</v>
      </c>
      <c r="C47" s="22" t="s">
        <v>131</v>
      </c>
      <c r="D47" s="22" t="s">
        <v>66</v>
      </c>
      <c r="E47" s="22" t="s">
        <v>67</v>
      </c>
      <c r="F47" s="9" t="n">
        <f>1</f>
        <v>1.0</v>
      </c>
      <c r="G47" s="10" t="n">
        <f>10</f>
        <v>10.0</v>
      </c>
      <c r="H47" s="10" t="n">
        <f>1.5</f>
        <v>1.5</v>
      </c>
      <c r="I47" s="11" t="n">
        <f>62.4</f>
        <v>62.4</v>
      </c>
      <c r="J47" s="11" t="n">
        <f>416.88</f>
        <v>416.88</v>
      </c>
      <c r="K47" s="10" t="n">
        <f>10</f>
        <v>10.0</v>
      </c>
      <c r="L47" s="10" t="n">
        <f>1.5</f>
        <v>1.5</v>
      </c>
      <c r="M47" s="21" t="n">
        <f>4195000000</f>
        <v>4.195E9</v>
      </c>
      <c r="N47" s="21" t="n">
        <f>28024000000</f>
        <v>2.8024E10</v>
      </c>
    </row>
    <row r="48">
      <c r="A48" s="22" t="s">
        <v>53</v>
      </c>
      <c r="B48" s="22" t="s">
        <v>130</v>
      </c>
      <c r="C48" s="22" t="s">
        <v>131</v>
      </c>
      <c r="D48" s="22" t="s">
        <v>68</v>
      </c>
      <c r="E48" s="22" t="s">
        <v>69</v>
      </c>
      <c r="F48" s="9" t="n">
        <f>65</f>
        <v>65.0</v>
      </c>
      <c r="G48" s="10" t="n">
        <f>10.7</f>
        <v>10.7</v>
      </c>
      <c r="H48" s="10" t="n">
        <f>0.8</f>
        <v>0.8</v>
      </c>
      <c r="I48" s="11" t="n">
        <f>193.77</f>
        <v>193.77</v>
      </c>
      <c r="J48" s="11" t="n">
        <f>2642.58</f>
        <v>2642.58</v>
      </c>
      <c r="K48" s="10" t="n">
        <f>9.2</f>
        <v>9.2</v>
      </c>
      <c r="L48" s="10" t="n">
        <f>1</f>
        <v>1.0</v>
      </c>
      <c r="M48" s="21" t="n">
        <f>145340000000</f>
        <v>1.4534E11</v>
      </c>
      <c r="N48" s="21" t="n">
        <f>1356048000000</f>
        <v>1.356048E12</v>
      </c>
    </row>
    <row r="49">
      <c r="A49" s="22" t="s">
        <v>53</v>
      </c>
      <c r="B49" s="22" t="s">
        <v>130</v>
      </c>
      <c r="C49" s="22" t="s">
        <v>131</v>
      </c>
      <c r="D49" s="22" t="s">
        <v>70</v>
      </c>
      <c r="E49" s="22" t="s">
        <v>71</v>
      </c>
      <c r="F49" s="9" t="n">
        <f>52</f>
        <v>52.0</v>
      </c>
      <c r="G49" s="10" t="n">
        <f>19.2</f>
        <v>19.2</v>
      </c>
      <c r="H49" s="10" t="n">
        <f>1.2</f>
        <v>1.2</v>
      </c>
      <c r="I49" s="11" t="n">
        <f>112.23</f>
        <v>112.23</v>
      </c>
      <c r="J49" s="11" t="n">
        <f>1814.95</f>
        <v>1814.95</v>
      </c>
      <c r="K49" s="10" t="n">
        <f>17.1</f>
        <v>17.1</v>
      </c>
      <c r="L49" s="10" t="n">
        <f>1.3</f>
        <v>1.3</v>
      </c>
      <c r="M49" s="21" t="n">
        <f>75539000000</f>
        <v>7.5539E10</v>
      </c>
      <c r="N49" s="21" t="n">
        <f>1006010000000</f>
        <v>1.00601E12</v>
      </c>
    </row>
    <row r="50">
      <c r="A50" s="22" t="s">
        <v>53</v>
      </c>
      <c r="B50" s="22" t="s">
        <v>130</v>
      </c>
      <c r="C50" s="22" t="s">
        <v>131</v>
      </c>
      <c r="D50" s="22" t="s">
        <v>72</v>
      </c>
      <c r="E50" s="22" t="s">
        <v>73</v>
      </c>
      <c r="F50" s="9" t="n">
        <f>28</f>
        <v>28.0</v>
      </c>
      <c r="G50" s="10" t="n">
        <f>14.1</f>
        <v>14.1</v>
      </c>
      <c r="H50" s="10" t="n">
        <f>0.6</f>
        <v>0.6</v>
      </c>
      <c r="I50" s="11" t="n">
        <f>84.98</f>
        <v>84.98</v>
      </c>
      <c r="J50" s="11" t="n">
        <f>2171.06</f>
        <v>2171.06</v>
      </c>
      <c r="K50" s="10" t="n">
        <f>21.9</f>
        <v>21.9</v>
      </c>
      <c r="L50" s="10" t="n">
        <f>0.7</f>
        <v>0.7</v>
      </c>
      <c r="M50" s="21" t="n">
        <f>15782533000</f>
        <v>1.5782533E10</v>
      </c>
      <c r="N50" s="21" t="n">
        <f>478641271000</f>
        <v>4.78641271E11</v>
      </c>
    </row>
    <row r="51">
      <c r="A51" s="22" t="s">
        <v>53</v>
      </c>
      <c r="B51" s="22" t="s">
        <v>130</v>
      </c>
      <c r="C51" s="22" t="s">
        <v>131</v>
      </c>
      <c r="D51" s="22" t="s">
        <v>74</v>
      </c>
      <c r="E51" s="22" t="s">
        <v>75</v>
      </c>
      <c r="F51" s="9" t="n">
        <f>14</f>
        <v>14.0</v>
      </c>
      <c r="G51" s="10" t="n">
        <f>9.1</f>
        <v>9.1</v>
      </c>
      <c r="H51" s="10" t="n">
        <f>0.6</f>
        <v>0.6</v>
      </c>
      <c r="I51" s="11" t="n">
        <f>148.25</f>
        <v>148.25</v>
      </c>
      <c r="J51" s="11" t="n">
        <f>2443.42</f>
        <v>2443.42</v>
      </c>
      <c r="K51" s="10" t="n">
        <f>10.2</f>
        <v>10.2</v>
      </c>
      <c r="L51" s="10" t="n">
        <f>0.6</f>
        <v>0.6</v>
      </c>
      <c r="M51" s="21" t="n">
        <f>13043000000</f>
        <v>1.3043E10</v>
      </c>
      <c r="N51" s="21" t="n">
        <f>231017000000</f>
        <v>2.31017E11</v>
      </c>
    </row>
    <row r="52">
      <c r="A52" s="22" t="s">
        <v>53</v>
      </c>
      <c r="B52" s="22" t="s">
        <v>130</v>
      </c>
      <c r="C52" s="22" t="s">
        <v>131</v>
      </c>
      <c r="D52" s="22" t="s">
        <v>76</v>
      </c>
      <c r="E52" s="22" t="s">
        <v>77</v>
      </c>
      <c r="F52" s="9" t="n">
        <f>82</f>
        <v>82.0</v>
      </c>
      <c r="G52" s="10" t="n">
        <f>12.9</f>
        <v>12.9</v>
      </c>
      <c r="H52" s="10" t="n">
        <f>0.8</f>
        <v>0.8</v>
      </c>
      <c r="I52" s="11" t="n">
        <f>160.02</f>
        <v>160.02</v>
      </c>
      <c r="J52" s="11" t="n">
        <f>2649.35</f>
        <v>2649.35</v>
      </c>
      <c r="K52" s="10" t="n">
        <f>13.4</f>
        <v>13.4</v>
      </c>
      <c r="L52" s="10" t="n">
        <f>0.8</f>
        <v>0.8</v>
      </c>
      <c r="M52" s="21" t="n">
        <f>108848000000</f>
        <v>1.08848E11</v>
      </c>
      <c r="N52" s="21" t="n">
        <f>1769314762313</f>
        <v>1.769314762313E12</v>
      </c>
    </row>
    <row r="53">
      <c r="A53" s="22" t="s">
        <v>53</v>
      </c>
      <c r="B53" s="22" t="s">
        <v>130</v>
      </c>
      <c r="C53" s="22" t="s">
        <v>131</v>
      </c>
      <c r="D53" s="22" t="s">
        <v>78</v>
      </c>
      <c r="E53" s="22" t="s">
        <v>79</v>
      </c>
      <c r="F53" s="9" t="n">
        <f>8</f>
        <v>8.0</v>
      </c>
      <c r="G53" s="10" t="n">
        <f>12</f>
        <v>12.0</v>
      </c>
      <c r="H53" s="10" t="n">
        <f>0.7</f>
        <v>0.7</v>
      </c>
      <c r="I53" s="11" t="n">
        <f>85.23</f>
        <v>85.23</v>
      </c>
      <c r="J53" s="11" t="n">
        <f>1382.51</f>
        <v>1382.51</v>
      </c>
      <c r="K53" s="10" t="n">
        <f>10.4</f>
        <v>10.4</v>
      </c>
      <c r="L53" s="10" t="n">
        <f>1.4</f>
        <v>1.4</v>
      </c>
      <c r="M53" s="21" t="n">
        <f>11468000000</f>
        <v>1.1468E10</v>
      </c>
      <c r="N53" s="21" t="n">
        <f>85521000000</f>
        <v>8.5521E10</v>
      </c>
    </row>
    <row r="54">
      <c r="A54" s="22" t="s">
        <v>53</v>
      </c>
      <c r="B54" s="22" t="s">
        <v>130</v>
      </c>
      <c r="C54" s="22" t="s">
        <v>131</v>
      </c>
      <c r="D54" s="22" t="s">
        <v>80</v>
      </c>
      <c r="E54" s="22" t="s">
        <v>81</v>
      </c>
      <c r="F54" s="9" t="n">
        <f>4</f>
        <v>4.0</v>
      </c>
      <c r="G54" s="10" t="n">
        <f>8.4</f>
        <v>8.4</v>
      </c>
      <c r="H54" s="10" t="n">
        <f>0.7</f>
        <v>0.7</v>
      </c>
      <c r="I54" s="11" t="n">
        <f>133.69</f>
        <v>133.69</v>
      </c>
      <c r="J54" s="11" t="n">
        <f>1625.8</f>
        <v>1625.8</v>
      </c>
      <c r="K54" s="10" t="n">
        <f>8.3</f>
        <v>8.3</v>
      </c>
      <c r="L54" s="10" t="n">
        <f>0.8</f>
        <v>0.8</v>
      </c>
      <c r="M54" s="21" t="n">
        <f>8036000000</f>
        <v>8.036E9</v>
      </c>
      <c r="N54" s="21" t="n">
        <f>85658000000</f>
        <v>8.5658E10</v>
      </c>
    </row>
    <row r="55">
      <c r="A55" s="22" t="s">
        <v>53</v>
      </c>
      <c r="B55" s="22" t="s">
        <v>130</v>
      </c>
      <c r="C55" s="22" t="s">
        <v>131</v>
      </c>
      <c r="D55" s="22" t="s">
        <v>82</v>
      </c>
      <c r="E55" s="22" t="s">
        <v>83</v>
      </c>
      <c r="F55" s="9" t="n">
        <f>7</f>
        <v>7.0</v>
      </c>
      <c r="G55" s="10" t="n">
        <f>12.5</f>
        <v>12.5</v>
      </c>
      <c r="H55" s="10" t="n">
        <f>0.7</f>
        <v>0.7</v>
      </c>
      <c r="I55" s="11" t="n">
        <f>136.01</f>
        <v>136.01</v>
      </c>
      <c r="J55" s="11" t="n">
        <f>2355.6</f>
        <v>2355.6</v>
      </c>
      <c r="K55" s="10" t="n">
        <f>17.5</f>
        <v>17.5</v>
      </c>
      <c r="L55" s="10" t="n">
        <f>1</f>
        <v>1.0</v>
      </c>
      <c r="M55" s="21" t="n">
        <f>10804000000</f>
        <v>1.0804E10</v>
      </c>
      <c r="N55" s="21" t="n">
        <f>187808000000</f>
        <v>1.87808E11</v>
      </c>
    </row>
    <row r="56">
      <c r="A56" s="22" t="s">
        <v>53</v>
      </c>
      <c r="B56" s="22" t="s">
        <v>130</v>
      </c>
      <c r="C56" s="22" t="s">
        <v>131</v>
      </c>
      <c r="D56" s="22" t="s">
        <v>84</v>
      </c>
      <c r="E56" s="22" t="s">
        <v>85</v>
      </c>
      <c r="F56" s="9" t="n">
        <f>28</f>
        <v>28.0</v>
      </c>
      <c r="G56" s="10" t="n">
        <f>11.6</f>
        <v>11.6</v>
      </c>
      <c r="H56" s="10" t="n">
        <f>0.8</f>
        <v>0.8</v>
      </c>
      <c r="I56" s="11" t="n">
        <f>130.5</f>
        <v>130.5</v>
      </c>
      <c r="J56" s="11" t="n">
        <f>1946.44</f>
        <v>1946.44</v>
      </c>
      <c r="K56" s="10" t="n">
        <f>13.5</f>
        <v>13.5</v>
      </c>
      <c r="L56" s="10" t="n">
        <f>1</f>
        <v>1.0</v>
      </c>
      <c r="M56" s="21" t="n">
        <f>45107000000</f>
        <v>4.5107E10</v>
      </c>
      <c r="N56" s="21" t="n">
        <f>619840000000</f>
        <v>6.1984E11</v>
      </c>
    </row>
    <row r="57">
      <c r="A57" s="22" t="s">
        <v>53</v>
      </c>
      <c r="B57" s="22" t="s">
        <v>130</v>
      </c>
      <c r="C57" s="22" t="s">
        <v>131</v>
      </c>
      <c r="D57" s="22" t="s">
        <v>86</v>
      </c>
      <c r="E57" s="22" t="s">
        <v>87</v>
      </c>
      <c r="F57" s="9" t="n">
        <f>18</f>
        <v>18.0</v>
      </c>
      <c r="G57" s="10" t="n">
        <f>14.1</f>
        <v>14.1</v>
      </c>
      <c r="H57" s="10" t="n">
        <f>0.5</f>
        <v>0.5</v>
      </c>
      <c r="I57" s="11" t="n">
        <f>108.86</f>
        <v>108.86</v>
      </c>
      <c r="J57" s="11" t="n">
        <f>3203.23</f>
        <v>3203.23</v>
      </c>
      <c r="K57" s="10" t="n">
        <f>24.9</f>
        <v>24.9</v>
      </c>
      <c r="L57" s="10" t="n">
        <f>0.5</f>
        <v>0.5</v>
      </c>
      <c r="M57" s="21" t="n">
        <f>11126000000</f>
        <v>1.1126E10</v>
      </c>
      <c r="N57" s="21" t="n">
        <f>516288000000</f>
        <v>5.16288E11</v>
      </c>
    </row>
    <row r="58">
      <c r="A58" s="22" t="s">
        <v>53</v>
      </c>
      <c r="B58" s="22" t="s">
        <v>130</v>
      </c>
      <c r="C58" s="22" t="s">
        <v>131</v>
      </c>
      <c r="D58" s="22" t="s">
        <v>88</v>
      </c>
      <c r="E58" s="22" t="s">
        <v>89</v>
      </c>
      <c r="F58" s="9" t="n">
        <f>10</f>
        <v>10.0</v>
      </c>
      <c r="G58" s="10" t="n">
        <f>7.7</f>
        <v>7.7</v>
      </c>
      <c r="H58" s="10" t="n">
        <f>0.8</f>
        <v>0.8</v>
      </c>
      <c r="I58" s="11" t="n">
        <f>189.71</f>
        <v>189.71</v>
      </c>
      <c r="J58" s="11" t="n">
        <f>1849.64</f>
        <v>1849.64</v>
      </c>
      <c r="K58" s="10" t="n">
        <f>10.7</f>
        <v>10.7</v>
      </c>
      <c r="L58" s="10" t="n">
        <f>1</f>
        <v>1.0</v>
      </c>
      <c r="M58" s="21" t="n">
        <f>9231000000</f>
        <v>9.231E9</v>
      </c>
      <c r="N58" s="21" t="n">
        <f>99366000000</f>
        <v>9.9366E10</v>
      </c>
    </row>
    <row r="59">
      <c r="A59" s="22" t="s">
        <v>53</v>
      </c>
      <c r="B59" s="22" t="s">
        <v>130</v>
      </c>
      <c r="C59" s="22" t="s">
        <v>131</v>
      </c>
      <c r="D59" s="22" t="s">
        <v>90</v>
      </c>
      <c r="E59" s="22" t="s">
        <v>91</v>
      </c>
      <c r="F59" s="9" t="n">
        <f>57</f>
        <v>57.0</v>
      </c>
      <c r="G59" s="10" t="n">
        <f>14.8</f>
        <v>14.8</v>
      </c>
      <c r="H59" s="10" t="n">
        <f>0.5</f>
        <v>0.5</v>
      </c>
      <c r="I59" s="11" t="n">
        <f>120.99</f>
        <v>120.99</v>
      </c>
      <c r="J59" s="11" t="n">
        <f>3421.05</f>
        <v>3421.05</v>
      </c>
      <c r="K59" s="10" t="n">
        <f>17.1</f>
        <v>17.1</v>
      </c>
      <c r="L59" s="10" t="n">
        <f>0.6</f>
        <v>0.6</v>
      </c>
      <c r="M59" s="21" t="n">
        <f>37059000000</f>
        <v>3.7059E10</v>
      </c>
      <c r="N59" s="21" t="n">
        <f>1076762000000</f>
        <v>1.076762E12</v>
      </c>
    </row>
    <row r="60">
      <c r="A60" s="22" t="s">
        <v>53</v>
      </c>
      <c r="B60" s="22" t="s">
        <v>130</v>
      </c>
      <c r="C60" s="22" t="s">
        <v>131</v>
      </c>
      <c r="D60" s="22" t="s">
        <v>92</v>
      </c>
      <c r="E60" s="22" t="s">
        <v>93</v>
      </c>
      <c r="F60" s="9" t="n">
        <f>102</f>
        <v>102.0</v>
      </c>
      <c r="G60" s="10" t="n">
        <f>12.2</f>
        <v>12.2</v>
      </c>
      <c r="H60" s="10" t="n">
        <f>0.8</f>
        <v>0.8</v>
      </c>
      <c r="I60" s="11" t="n">
        <f>147.85</f>
        <v>147.85</v>
      </c>
      <c r="J60" s="11" t="n">
        <f>2372.27</f>
        <v>2372.27</v>
      </c>
      <c r="K60" s="10" t="n">
        <f>19.5</f>
        <v>19.5</v>
      </c>
      <c r="L60" s="10" t="n">
        <f>0.8</f>
        <v>0.8</v>
      </c>
      <c r="M60" s="21" t="n">
        <f>85975000000</f>
        <v>8.5975E10</v>
      </c>
      <c r="N60" s="21" t="n">
        <f>2129985000000</f>
        <v>2.129985E12</v>
      </c>
    </row>
    <row r="61">
      <c r="A61" s="22" t="s">
        <v>53</v>
      </c>
      <c r="B61" s="22" t="s">
        <v>130</v>
      </c>
      <c r="C61" s="22" t="s">
        <v>131</v>
      </c>
      <c r="D61" s="22" t="s">
        <v>94</v>
      </c>
      <c r="E61" s="22" t="s">
        <v>95</v>
      </c>
      <c r="F61" s="9" t="n">
        <f>98</f>
        <v>98.0</v>
      </c>
      <c r="G61" s="10" t="n">
        <f>13.9</f>
        <v>13.9</v>
      </c>
      <c r="H61" s="10" t="n">
        <f>0.8</f>
        <v>0.8</v>
      </c>
      <c r="I61" s="11" t="n">
        <f>126.47</f>
        <v>126.47</v>
      </c>
      <c r="J61" s="11" t="n">
        <f>2074.63</f>
        <v>2074.63</v>
      </c>
      <c r="K61" s="10" t="n">
        <f>12.9</f>
        <v>12.9</v>
      </c>
      <c r="L61" s="10" t="n">
        <f>1</f>
        <v>1.0</v>
      </c>
      <c r="M61" s="21" t="n">
        <f>168976285714</f>
        <v>1.68976285714E11</v>
      </c>
      <c r="N61" s="21" t="n">
        <f>2171506000000</f>
        <v>2.171506E12</v>
      </c>
    </row>
    <row r="62">
      <c r="A62" s="22" t="s">
        <v>53</v>
      </c>
      <c r="B62" s="22" t="s">
        <v>130</v>
      </c>
      <c r="C62" s="22" t="s">
        <v>131</v>
      </c>
      <c r="D62" s="22" t="s">
        <v>96</v>
      </c>
      <c r="E62" s="22" t="s">
        <v>97</v>
      </c>
      <c r="F62" s="9" t="n">
        <f>42</f>
        <v>42.0</v>
      </c>
      <c r="G62" s="10" t="n">
        <f>13.5</f>
        <v>13.5</v>
      </c>
      <c r="H62" s="10" t="n">
        <f>0.6</f>
        <v>0.6</v>
      </c>
      <c r="I62" s="11" t="n">
        <f>132.56</f>
        <v>132.56</v>
      </c>
      <c r="J62" s="11" t="n">
        <f>2824.49</f>
        <v>2824.49</v>
      </c>
      <c r="K62" s="10" t="n">
        <f>15.3</f>
        <v>15.3</v>
      </c>
      <c r="L62" s="10" t="n">
        <f>0.7</f>
        <v>0.7</v>
      </c>
      <c r="M62" s="21" t="n">
        <f>85581000000</f>
        <v>8.5581E10</v>
      </c>
      <c r="N62" s="21" t="n">
        <f>1758111000000</f>
        <v>1.758111E12</v>
      </c>
    </row>
    <row r="63">
      <c r="A63" s="22" t="s">
        <v>53</v>
      </c>
      <c r="B63" s="22" t="s">
        <v>130</v>
      </c>
      <c r="C63" s="22" t="s">
        <v>131</v>
      </c>
      <c r="D63" s="22" t="s">
        <v>98</v>
      </c>
      <c r="E63" s="22" t="s">
        <v>99</v>
      </c>
      <c r="F63" s="9" t="n">
        <f>17</f>
        <v>17.0</v>
      </c>
      <c r="G63" s="10" t="n">
        <f>15.1</f>
        <v>15.1</v>
      </c>
      <c r="H63" s="10" t="n">
        <f>1.1</f>
        <v>1.1</v>
      </c>
      <c r="I63" s="11" t="n">
        <f>72.15</f>
        <v>72.15</v>
      </c>
      <c r="J63" s="11" t="n">
        <f>1015.46</f>
        <v>1015.46</v>
      </c>
      <c r="K63" s="10" t="n">
        <f>17.1</f>
        <v>17.1</v>
      </c>
      <c r="L63" s="10" t="n">
        <f>1.2</f>
        <v>1.2</v>
      </c>
      <c r="M63" s="21" t="n">
        <f>23390000000</f>
        <v>2.339E10</v>
      </c>
      <c r="N63" s="21" t="n">
        <f>346714000000</f>
        <v>3.46714E11</v>
      </c>
    </row>
    <row r="64">
      <c r="A64" s="22" t="s">
        <v>53</v>
      </c>
      <c r="B64" s="22" t="s">
        <v>130</v>
      </c>
      <c r="C64" s="22" t="s">
        <v>131</v>
      </c>
      <c r="D64" s="22" t="s">
        <v>100</v>
      </c>
      <c r="E64" s="22" t="s">
        <v>101</v>
      </c>
      <c r="F64" s="9" t="n">
        <f>63</f>
        <v>63.0</v>
      </c>
      <c r="G64" s="10" t="n">
        <f>17.7</f>
        <v>17.7</v>
      </c>
      <c r="H64" s="10" t="n">
        <f>0.6</f>
        <v>0.6</v>
      </c>
      <c r="I64" s="11" t="n">
        <f>68.89</f>
        <v>68.89</v>
      </c>
      <c r="J64" s="11" t="n">
        <f>2206.44</f>
        <v>2206.44</v>
      </c>
      <c r="K64" s="10" t="n">
        <f>21.3</f>
        <v>21.3</v>
      </c>
      <c r="L64" s="10" t="n">
        <f>0.9</f>
        <v>0.9</v>
      </c>
      <c r="M64" s="21" t="n">
        <f>33292000000</f>
        <v>3.3292E10</v>
      </c>
      <c r="N64" s="21" t="n">
        <f>815759000000</f>
        <v>8.15759E11</v>
      </c>
    </row>
    <row r="65">
      <c r="A65" s="22" t="s">
        <v>53</v>
      </c>
      <c r="B65" s="22" t="s">
        <v>130</v>
      </c>
      <c r="C65" s="22" t="s">
        <v>131</v>
      </c>
      <c r="D65" s="22" t="s">
        <v>102</v>
      </c>
      <c r="E65" s="22" t="s">
        <v>103</v>
      </c>
      <c r="F65" s="9" t="n">
        <f>4</f>
        <v>4.0</v>
      </c>
      <c r="G65" s="10" t="n">
        <f>11</f>
        <v>11.0</v>
      </c>
      <c r="H65" s="10" t="n">
        <f>0.4</f>
        <v>0.4</v>
      </c>
      <c r="I65" s="11" t="n">
        <f>117.62</f>
        <v>117.62</v>
      </c>
      <c r="J65" s="11" t="n">
        <f>3682.42</f>
        <v>3682.42</v>
      </c>
      <c r="K65" s="10" t="n">
        <f>18.7</f>
        <v>18.7</v>
      </c>
      <c r="L65" s="10" t="n">
        <f>0.4</f>
        <v>0.4</v>
      </c>
      <c r="M65" s="21" t="n">
        <f>4006000000</f>
        <v>4.006E9</v>
      </c>
      <c r="N65" s="21" t="n">
        <f>170148000000</f>
        <v>1.70148E11</v>
      </c>
    </row>
    <row r="66">
      <c r="A66" s="22" t="s">
        <v>53</v>
      </c>
      <c r="B66" s="22" t="s">
        <v>130</v>
      </c>
      <c r="C66" s="22" t="s">
        <v>131</v>
      </c>
      <c r="D66" s="22" t="s">
        <v>104</v>
      </c>
      <c r="E66" s="22" t="s">
        <v>105</v>
      </c>
      <c r="F66" s="9" t="n">
        <f>20</f>
        <v>20.0</v>
      </c>
      <c r="G66" s="10" t="n">
        <f>11</f>
        <v>11.0</v>
      </c>
      <c r="H66" s="10" t="n">
        <f>0.6</f>
        <v>0.6</v>
      </c>
      <c r="I66" s="11" t="n">
        <f>212.29</f>
        <v>212.29</v>
      </c>
      <c r="J66" s="11" t="n">
        <f>3855.03</f>
        <v>3855.03</v>
      </c>
      <c r="K66" s="10" t="n">
        <f>11.8</f>
        <v>11.8</v>
      </c>
      <c r="L66" s="10" t="n">
        <f>0.7</f>
        <v>0.7</v>
      </c>
      <c r="M66" s="21" t="n">
        <f>24880000000</f>
        <v>2.488E10</v>
      </c>
      <c r="N66" s="21" t="n">
        <f>397657000000</f>
        <v>3.97657E11</v>
      </c>
    </row>
    <row r="67">
      <c r="A67" s="22" t="s">
        <v>53</v>
      </c>
      <c r="B67" s="22" t="s">
        <v>130</v>
      </c>
      <c r="C67" s="22" t="s">
        <v>131</v>
      </c>
      <c r="D67" s="22" t="s">
        <v>106</v>
      </c>
      <c r="E67" s="22" t="s">
        <v>107</v>
      </c>
      <c r="F67" s="9" t="n">
        <f>6</f>
        <v>6.0</v>
      </c>
      <c r="G67" s="10" t="n">
        <f>4.2</f>
        <v>4.2</v>
      </c>
      <c r="H67" s="10" t="n">
        <f>0.6</f>
        <v>0.6</v>
      </c>
      <c r="I67" s="11" t="n">
        <f>385.72</f>
        <v>385.72</v>
      </c>
      <c r="J67" s="11" t="n">
        <f>2929.5</f>
        <v>2929.5</v>
      </c>
      <c r="K67" s="10" t="n">
        <f>5.3</f>
        <v>5.3</v>
      </c>
      <c r="L67" s="10" t="n">
        <f>0.5</f>
        <v>0.5</v>
      </c>
      <c r="M67" s="21" t="n">
        <f>17345000000</f>
        <v>1.7345E10</v>
      </c>
      <c r="N67" s="21" t="n">
        <f>202528000000</f>
        <v>2.02528E11</v>
      </c>
    </row>
    <row r="68">
      <c r="A68" s="22" t="s">
        <v>53</v>
      </c>
      <c r="B68" s="22" t="s">
        <v>130</v>
      </c>
      <c r="C68" s="22" t="s">
        <v>131</v>
      </c>
      <c r="D68" s="22" t="s">
        <v>108</v>
      </c>
      <c r="E68" s="22" t="s">
        <v>109</v>
      </c>
      <c r="F68" s="9" t="n">
        <f>2</f>
        <v>2.0</v>
      </c>
      <c r="G68" s="10" t="n">
        <f>5.6</f>
        <v>5.6</v>
      </c>
      <c r="H68" s="10" t="str">
        <f>"－"</f>
        <v>－</v>
      </c>
      <c r="I68" s="11" t="n">
        <f>305.43</f>
        <v>305.43</v>
      </c>
      <c r="J68" s="11" t="n">
        <f>-65.34</f>
        <v>-65.34</v>
      </c>
      <c r="K68" s="10" t="n">
        <f>8</f>
        <v>8.0</v>
      </c>
      <c r="L68" s="10" t="n">
        <f>1.9</f>
        <v>1.9</v>
      </c>
      <c r="M68" s="21" t="n">
        <f>3825000000</f>
        <v>3.825E9</v>
      </c>
      <c r="N68" s="21" t="n">
        <f>16406000000</f>
        <v>1.6406E10</v>
      </c>
    </row>
    <row r="69">
      <c r="A69" s="22" t="s">
        <v>53</v>
      </c>
      <c r="B69" s="22" t="s">
        <v>130</v>
      </c>
      <c r="C69" s="22" t="s">
        <v>131</v>
      </c>
      <c r="D69" s="22" t="s">
        <v>110</v>
      </c>
      <c r="E69" s="22" t="s">
        <v>111</v>
      </c>
      <c r="F69" s="9" t="n">
        <f>21</f>
        <v>21.0</v>
      </c>
      <c r="G69" s="10" t="n">
        <f>9.7</f>
        <v>9.7</v>
      </c>
      <c r="H69" s="10" t="n">
        <f>0.5</f>
        <v>0.5</v>
      </c>
      <c r="I69" s="11" t="n">
        <f>167.34</f>
        <v>167.34</v>
      </c>
      <c r="J69" s="11" t="n">
        <f>3110.06</f>
        <v>3110.06</v>
      </c>
      <c r="K69" s="10" t="n">
        <f>12.8</f>
        <v>12.8</v>
      </c>
      <c r="L69" s="10" t="n">
        <f>0.7</f>
        <v>0.7</v>
      </c>
      <c r="M69" s="21" t="n">
        <f>21451000000</f>
        <v>2.1451E10</v>
      </c>
      <c r="N69" s="21" t="n">
        <f>373332000000</f>
        <v>3.73332E11</v>
      </c>
    </row>
    <row r="70">
      <c r="A70" s="22" t="s">
        <v>53</v>
      </c>
      <c r="B70" s="22" t="s">
        <v>130</v>
      </c>
      <c r="C70" s="22" t="s">
        <v>131</v>
      </c>
      <c r="D70" s="22" t="s">
        <v>112</v>
      </c>
      <c r="E70" s="22" t="s">
        <v>113</v>
      </c>
      <c r="F70" s="9" t="n">
        <f>175</f>
        <v>175.0</v>
      </c>
      <c r="G70" s="10" t="n">
        <f>18.2</f>
        <v>18.2</v>
      </c>
      <c r="H70" s="10" t="n">
        <f>1.8</f>
        <v>1.8</v>
      </c>
      <c r="I70" s="11" t="n">
        <f>76.05</f>
        <v>76.05</v>
      </c>
      <c r="J70" s="11" t="n">
        <f>783.62</f>
        <v>783.62</v>
      </c>
      <c r="K70" s="10" t="n">
        <f>27.2</f>
        <v>27.2</v>
      </c>
      <c r="L70" s="10" t="n">
        <f>3.1</f>
        <v>3.1</v>
      </c>
      <c r="M70" s="21" t="n">
        <f>182047000000</f>
        <v>1.82047E11</v>
      </c>
      <c r="N70" s="21" t="n">
        <f>1610657000000</f>
        <v>1.610657E12</v>
      </c>
    </row>
    <row r="71">
      <c r="A71" s="22" t="s">
        <v>53</v>
      </c>
      <c r="B71" s="22" t="s">
        <v>130</v>
      </c>
      <c r="C71" s="22" t="s">
        <v>131</v>
      </c>
      <c r="D71" s="22" t="s">
        <v>114</v>
      </c>
      <c r="E71" s="22" t="s">
        <v>115</v>
      </c>
      <c r="F71" s="9" t="n">
        <f>160</f>
        <v>160.0</v>
      </c>
      <c r="G71" s="10" t="n">
        <f>11.7</f>
        <v>11.7</v>
      </c>
      <c r="H71" s="10" t="n">
        <f>0.8</f>
        <v>0.8</v>
      </c>
      <c r="I71" s="11" t="n">
        <f>143.65</f>
        <v>143.65</v>
      </c>
      <c r="J71" s="11" t="n">
        <f>2181.9</f>
        <v>2181.9</v>
      </c>
      <c r="K71" s="10" t="n">
        <f>15.1</f>
        <v>15.1</v>
      </c>
      <c r="L71" s="10" t="n">
        <f>1.2</f>
        <v>1.2</v>
      </c>
      <c r="M71" s="21" t="n">
        <f>218030000000</f>
        <v>2.1803E11</v>
      </c>
      <c r="N71" s="21" t="n">
        <f>2859357000000</f>
        <v>2.859357E12</v>
      </c>
    </row>
    <row r="72">
      <c r="A72" s="22" t="s">
        <v>53</v>
      </c>
      <c r="B72" s="22" t="s">
        <v>130</v>
      </c>
      <c r="C72" s="22" t="s">
        <v>131</v>
      </c>
      <c r="D72" s="22" t="s">
        <v>116</v>
      </c>
      <c r="E72" s="22" t="s">
        <v>117</v>
      </c>
      <c r="F72" s="9" t="n">
        <f>171</f>
        <v>171.0</v>
      </c>
      <c r="G72" s="10" t="n">
        <f>20.3</f>
        <v>20.3</v>
      </c>
      <c r="H72" s="10" t="n">
        <f>1.3</f>
        <v>1.3</v>
      </c>
      <c r="I72" s="11" t="n">
        <f>62.11</f>
        <v>62.11</v>
      </c>
      <c r="J72" s="11" t="n">
        <f>936.43</f>
        <v>936.43</v>
      </c>
      <c r="K72" s="10" t="n">
        <f>27.4</f>
        <v>27.4</v>
      </c>
      <c r="L72" s="10" t="n">
        <f>1.7</f>
        <v>1.7</v>
      </c>
      <c r="M72" s="21" t="n">
        <f>154375574133</f>
        <v>1.54375574133E11</v>
      </c>
      <c r="N72" s="21" t="n">
        <f>2520150674966</f>
        <v>2.520150674966E12</v>
      </c>
    </row>
    <row r="73">
      <c r="A73" s="22" t="s">
        <v>53</v>
      </c>
      <c r="B73" s="22" t="s">
        <v>130</v>
      </c>
      <c r="C73" s="22" t="s">
        <v>131</v>
      </c>
      <c r="D73" s="22" t="s">
        <v>118</v>
      </c>
      <c r="E73" s="22" t="s">
        <v>119</v>
      </c>
      <c r="F73" s="9" t="n">
        <f>11</f>
        <v>11.0</v>
      </c>
      <c r="G73" s="10" t="n">
        <f>11.5</f>
        <v>11.5</v>
      </c>
      <c r="H73" s="10" t="n">
        <f>0.4</f>
        <v>0.4</v>
      </c>
      <c r="I73" s="11" t="n">
        <f>115.29</f>
        <v>115.29</v>
      </c>
      <c r="J73" s="11" t="n">
        <f>3174.25</f>
        <v>3174.25</v>
      </c>
      <c r="K73" s="10" t="n">
        <f>21.8</f>
        <v>21.8</v>
      </c>
      <c r="L73" s="10" t="n">
        <f>1.6</f>
        <v>1.6</v>
      </c>
      <c r="M73" s="21" t="n">
        <f>38481026122</f>
        <v>3.8481026122E10</v>
      </c>
      <c r="N73" s="21" t="n">
        <f>510749160000</f>
        <v>5.1074916E11</v>
      </c>
    </row>
    <row r="74">
      <c r="A74" s="22" t="s">
        <v>53</v>
      </c>
      <c r="B74" s="22" t="s">
        <v>130</v>
      </c>
      <c r="C74" s="22" t="s">
        <v>131</v>
      </c>
      <c r="D74" s="22" t="s">
        <v>120</v>
      </c>
      <c r="E74" s="22" t="s">
        <v>121</v>
      </c>
      <c r="F74" s="9" t="n">
        <f>16</f>
        <v>16.0</v>
      </c>
      <c r="G74" s="10" t="n">
        <f>10.9</f>
        <v>10.9</v>
      </c>
      <c r="H74" s="10" t="n">
        <f>0.9</f>
        <v>0.9</v>
      </c>
      <c r="I74" s="11" t="n">
        <f>88.25</f>
        <v>88.25</v>
      </c>
      <c r="J74" s="11" t="n">
        <f>1048.83</f>
        <v>1048.83</v>
      </c>
      <c r="K74" s="10" t="n">
        <f>10.2</f>
        <v>10.2</v>
      </c>
      <c r="L74" s="10" t="n">
        <f>1.1</f>
        <v>1.1</v>
      </c>
      <c r="M74" s="21" t="n">
        <f>29861000000</f>
        <v>2.9861E10</v>
      </c>
      <c r="N74" s="21" t="n">
        <f>287578000000</f>
        <v>2.87578E11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19.2</f>
        <v>19.2</v>
      </c>
      <c r="H76" s="10" t="n">
        <f>1.2</f>
        <v>1.2</v>
      </c>
      <c r="I76" s="11" t="n">
        <f>40.17</f>
        <v>40.17</v>
      </c>
      <c r="J76" s="11" t="n">
        <f>632.17</f>
        <v>632.17</v>
      </c>
      <c r="K76" s="10" t="n">
        <f>19.1</f>
        <v>19.1</v>
      </c>
      <c r="L76" s="10" t="n">
        <f>0.9</f>
        <v>0.9</v>
      </c>
      <c r="M76" s="21" t="n">
        <f>47977000000</f>
        <v>4.7977E10</v>
      </c>
      <c r="N76" s="21" t="n">
        <f>1034283000000</f>
        <v>1.034283E12</v>
      </c>
    </row>
    <row r="77">
      <c r="A77" s="22" t="s">
        <v>53</v>
      </c>
      <c r="B77" s="22" t="s">
        <v>130</v>
      </c>
      <c r="C77" s="22" t="s">
        <v>131</v>
      </c>
      <c r="D77" s="22" t="s">
        <v>126</v>
      </c>
      <c r="E77" s="22" t="s">
        <v>127</v>
      </c>
      <c r="F77" s="9" t="n">
        <f>63</f>
        <v>63.0</v>
      </c>
      <c r="G77" s="10" t="n">
        <f>9.7</f>
        <v>9.7</v>
      </c>
      <c r="H77" s="10" t="n">
        <f>0.9</f>
        <v>0.9</v>
      </c>
      <c r="I77" s="11" t="n">
        <f>116.51</f>
        <v>116.51</v>
      </c>
      <c r="J77" s="11" t="n">
        <f>1192.07</f>
        <v>1192.07</v>
      </c>
      <c r="K77" s="10" t="n">
        <f>12.4</f>
        <v>12.4</v>
      </c>
      <c r="L77" s="10" t="n">
        <f>1</f>
        <v>1.0</v>
      </c>
      <c r="M77" s="21" t="n">
        <f>81909000000</f>
        <v>8.1909E10</v>
      </c>
      <c r="N77" s="21" t="n">
        <f>999104846500</f>
        <v>9.991048465E11</v>
      </c>
    </row>
    <row r="78">
      <c r="A78" s="22" t="s">
        <v>53</v>
      </c>
      <c r="B78" s="22" t="s">
        <v>130</v>
      </c>
      <c r="C78" s="22" t="s">
        <v>131</v>
      </c>
      <c r="D78" s="22" t="s">
        <v>128</v>
      </c>
      <c r="E78" s="22" t="s">
        <v>129</v>
      </c>
      <c r="F78" s="9" t="n">
        <f>197</f>
        <v>197.0</v>
      </c>
      <c r="G78" s="10" t="n">
        <f>15.2</f>
        <v>15.2</v>
      </c>
      <c r="H78" s="10" t="n">
        <f>1.3</f>
        <v>1.3</v>
      </c>
      <c r="I78" s="11" t="n">
        <f>81.64</f>
        <v>81.64</v>
      </c>
      <c r="J78" s="11" t="n">
        <f>973.49</f>
        <v>973.49</v>
      </c>
      <c r="K78" s="10" t="n">
        <f>16</f>
        <v>16.0</v>
      </c>
      <c r="L78" s="10" t="n">
        <f>1.5</f>
        <v>1.5</v>
      </c>
      <c r="M78" s="21" t="n">
        <f>147002770920</f>
        <v>1.4700277092E11</v>
      </c>
      <c r="N78" s="21" t="n">
        <f>1616511173828</f>
        <v>1.616511173828E12</v>
      </c>
    </row>
    <row r="79">
      <c r="A79" s="22" t="s">
        <v>53</v>
      </c>
      <c r="B79" s="22" t="s">
        <v>132</v>
      </c>
      <c r="C79" s="22" t="s">
        <v>133</v>
      </c>
      <c r="D79" s="22" t="s">
        <v>56</v>
      </c>
      <c r="E79" s="22" t="s">
        <v>57</v>
      </c>
      <c r="F79" s="9" t="n">
        <f>605</f>
        <v>605.0</v>
      </c>
      <c r="G79" s="10" t="n">
        <f>44.3</f>
        <v>44.3</v>
      </c>
      <c r="H79" s="10" t="n">
        <f>3.3</f>
        <v>3.3</v>
      </c>
      <c r="I79" s="11" t="n">
        <f>29.01</f>
        <v>29.01</v>
      </c>
      <c r="J79" s="11" t="n">
        <f>394.3</f>
        <v>394.3</v>
      </c>
      <c r="K79" s="10" t="n">
        <f>301.7</f>
        <v>301.7</v>
      </c>
      <c r="L79" s="10" t="n">
        <f>3.8</f>
        <v>3.8</v>
      </c>
      <c r="M79" s="21" t="n">
        <f>29882196667</f>
        <v>2.9882196667E10</v>
      </c>
      <c r="N79" s="21" t="n">
        <f>2360406528801</f>
        <v>2.360406528801E12</v>
      </c>
    </row>
    <row r="80">
      <c r="A80" s="22" t="s">
        <v>53</v>
      </c>
      <c r="B80" s="22" t="s">
        <v>132</v>
      </c>
      <c r="C80" s="22" t="s">
        <v>133</v>
      </c>
      <c r="D80" s="22" t="s">
        <v>58</v>
      </c>
      <c r="E80" s="22" t="s">
        <v>59</v>
      </c>
      <c r="F80" s="9" t="n">
        <f>595</f>
        <v>595.0</v>
      </c>
      <c r="G80" s="10" t="n">
        <f>46.9</f>
        <v>46.9</v>
      </c>
      <c r="H80" s="10" t="n">
        <f>3.3</f>
        <v>3.3</v>
      </c>
      <c r="I80" s="11" t="n">
        <f>27.33</f>
        <v>27.33</v>
      </c>
      <c r="J80" s="11" t="n">
        <f>386.75</f>
        <v>386.75</v>
      </c>
      <c r="K80" s="10" t="str">
        <f>"＊"</f>
        <v>＊</v>
      </c>
      <c r="L80" s="10" t="n">
        <f>4</f>
        <v>4.0</v>
      </c>
      <c r="M80" s="21" t="n">
        <f>3432196667</f>
        <v>3.432196667E9</v>
      </c>
      <c r="N80" s="21" t="n">
        <f>2211693528801</f>
        <v>2.211693528801E12</v>
      </c>
    </row>
    <row r="81">
      <c r="A81" s="22" t="s">
        <v>53</v>
      </c>
      <c r="B81" s="22" t="s">
        <v>132</v>
      </c>
      <c r="C81" s="22" t="s">
        <v>133</v>
      </c>
      <c r="D81" s="22" t="s">
        <v>60</v>
      </c>
      <c r="E81" s="22" t="s">
        <v>61</v>
      </c>
      <c r="F81" s="9" t="n">
        <f>79</f>
        <v>79.0</v>
      </c>
      <c r="G81" s="10" t="str">
        <f>"－"</f>
        <v>－</v>
      </c>
      <c r="H81" s="10" t="n">
        <f>4</f>
        <v>4.0</v>
      </c>
      <c r="I81" s="11" t="n">
        <f>-5.64</f>
        <v>-5.64</v>
      </c>
      <c r="J81" s="11" t="n">
        <f>294.71</f>
        <v>294.71</v>
      </c>
      <c r="K81" s="10" t="str">
        <f>"－"</f>
        <v>－</v>
      </c>
      <c r="L81" s="10" t="n">
        <f>4.5</f>
        <v>4.5</v>
      </c>
      <c r="M81" s="21" t="n">
        <f>-68673288000</f>
        <v>-6.8673288E10</v>
      </c>
      <c r="N81" s="21" t="n">
        <f>386631430000</f>
        <v>3.8663143E11</v>
      </c>
    </row>
    <row r="82">
      <c r="A82" s="22" t="s">
        <v>53</v>
      </c>
      <c r="B82" s="22" t="s">
        <v>132</v>
      </c>
      <c r="C82" s="22" t="s">
        <v>133</v>
      </c>
      <c r="D82" s="22" t="s">
        <v>62</v>
      </c>
      <c r="E82" s="22" t="s">
        <v>63</v>
      </c>
      <c r="F82" s="9" t="n">
        <f>516</f>
        <v>516.0</v>
      </c>
      <c r="G82" s="10" t="n">
        <f>40</f>
        <v>40.0</v>
      </c>
      <c r="H82" s="10" t="n">
        <f>3.2</f>
        <v>3.2</v>
      </c>
      <c r="I82" s="11" t="n">
        <f>32.38</f>
        <v>32.38</v>
      </c>
      <c r="J82" s="11" t="n">
        <f>400.84</f>
        <v>400.84</v>
      </c>
      <c r="K82" s="10" t="n">
        <f>97.1</f>
        <v>97.1</v>
      </c>
      <c r="L82" s="10" t="n">
        <f>3.8</f>
        <v>3.8</v>
      </c>
      <c r="M82" s="21" t="n">
        <f>72105484667</f>
        <v>7.2105484667E10</v>
      </c>
      <c r="N82" s="21" t="n">
        <f>1825062098801</f>
        <v>1.825062098801E12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8</f>
        <v>8.0</v>
      </c>
      <c r="G85" s="10" t="n">
        <f>25.2</f>
        <v>25.2</v>
      </c>
      <c r="H85" s="10" t="n">
        <f>2.5</f>
        <v>2.5</v>
      </c>
      <c r="I85" s="11" t="n">
        <f>58.17</f>
        <v>58.17</v>
      </c>
      <c r="J85" s="11" t="n">
        <f>589.41</f>
        <v>589.41</v>
      </c>
      <c r="K85" s="10" t="n">
        <f>33.5</f>
        <v>33.5</v>
      </c>
      <c r="L85" s="10" t="n">
        <f>3.5</f>
        <v>3.5</v>
      </c>
      <c r="M85" s="21" t="n">
        <f>2818000000</f>
        <v>2.818E9</v>
      </c>
      <c r="N85" s="21" t="n">
        <f>26880000000</f>
        <v>2.688E10</v>
      </c>
    </row>
    <row r="86">
      <c r="A86" s="22" t="s">
        <v>53</v>
      </c>
      <c r="B86" s="22" t="s">
        <v>132</v>
      </c>
      <c r="C86" s="22" t="s">
        <v>133</v>
      </c>
      <c r="D86" s="22" t="s">
        <v>70</v>
      </c>
      <c r="E86" s="22" t="s">
        <v>71</v>
      </c>
      <c r="F86" s="9" t="n">
        <f>4</f>
        <v>4.0</v>
      </c>
      <c r="G86" s="10" t="str">
        <f>"－"</f>
        <v>－</v>
      </c>
      <c r="H86" s="10" t="n">
        <f>4.6</f>
        <v>4.6</v>
      </c>
      <c r="I86" s="11" t="n">
        <f>-89.12</f>
        <v>-89.12</v>
      </c>
      <c r="J86" s="11" t="n">
        <f>225.45</f>
        <v>225.45</v>
      </c>
      <c r="K86" s="10" t="str">
        <f>"－"</f>
        <v>－</v>
      </c>
      <c r="L86" s="10" t="n">
        <f>7.6</f>
        <v>7.6</v>
      </c>
      <c r="M86" s="21" t="n">
        <f>-1358000000</f>
        <v>-1.358E9</v>
      </c>
      <c r="N86" s="21" t="n">
        <f>10572000000</f>
        <v>1.0572E10</v>
      </c>
    </row>
    <row r="87">
      <c r="A87" s="22" t="s">
        <v>53</v>
      </c>
      <c r="B87" s="22" t="s">
        <v>132</v>
      </c>
      <c r="C87" s="22" t="s">
        <v>133</v>
      </c>
      <c r="D87" s="22" t="s">
        <v>72</v>
      </c>
      <c r="E87" s="22" t="s">
        <v>73</v>
      </c>
      <c r="F87" s="9" t="n">
        <f>1</f>
        <v>1.0</v>
      </c>
      <c r="G87" s="10" t="n">
        <f>27.7</f>
        <v>27.7</v>
      </c>
      <c r="H87" s="10" t="n">
        <f>12.8</f>
        <v>12.8</v>
      </c>
      <c r="I87" s="11" t="n">
        <f>140.58</f>
        <v>140.58</v>
      </c>
      <c r="J87" s="11" t="n">
        <f>303.56</f>
        <v>303.56</v>
      </c>
      <c r="K87" s="10" t="n">
        <f>27.7</f>
        <v>27.7</v>
      </c>
      <c r="L87" s="10" t="n">
        <f>12.8</f>
        <v>12.8</v>
      </c>
      <c r="M87" s="21" t="n">
        <f>1061000000</f>
        <v>1.061E9</v>
      </c>
      <c r="N87" s="21" t="n">
        <f>2291000000</f>
        <v>2.291E9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44.5</f>
        <v>44.5</v>
      </c>
      <c r="H89" s="10" t="n">
        <f>3.3</f>
        <v>3.3</v>
      </c>
      <c r="I89" s="11" t="n">
        <f>44.46</f>
        <v>44.46</v>
      </c>
      <c r="J89" s="11" t="n">
        <f>599.98</f>
        <v>599.98</v>
      </c>
      <c r="K89" s="10" t="n">
        <f>75.6</f>
        <v>75.6</v>
      </c>
      <c r="L89" s="10" t="n">
        <f>4</f>
        <v>4.0</v>
      </c>
      <c r="M89" s="21" t="n">
        <f>1623712000</f>
        <v>1.623712E9</v>
      </c>
      <c r="N89" s="21" t="n">
        <f>30812430000</f>
        <v>3.081243E10</v>
      </c>
    </row>
    <row r="90">
      <c r="A90" s="22" t="s">
        <v>53</v>
      </c>
      <c r="B90" s="22" t="s">
        <v>132</v>
      </c>
      <c r="C90" s="22" t="s">
        <v>133</v>
      </c>
      <c r="D90" s="22" t="s">
        <v>78</v>
      </c>
      <c r="E90" s="22" t="s">
        <v>79</v>
      </c>
      <c r="F90" s="9" t="n">
        <f>38</f>
        <v>38.0</v>
      </c>
      <c r="G90" s="10" t="str">
        <f>"－"</f>
        <v>－</v>
      </c>
      <c r="H90" s="10" t="n">
        <f>5.7</f>
        <v>5.7</v>
      </c>
      <c r="I90" s="11" t="n">
        <f>-36.61</f>
        <v>-36.61</v>
      </c>
      <c r="J90" s="11" t="n">
        <f>132.45</f>
        <v>132.45</v>
      </c>
      <c r="K90" s="10" t="str">
        <f>"－"</f>
        <v>－</v>
      </c>
      <c r="L90" s="10" t="n">
        <f>6</f>
        <v>6.0</v>
      </c>
      <c r="M90" s="21" t="n">
        <f>-68868000000</f>
        <v>-6.8868E10</v>
      </c>
      <c r="N90" s="21" t="n">
        <f>140460000000</f>
        <v>1.4046E11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10</f>
        <v>10.0</v>
      </c>
      <c r="H95" s="10" t="n">
        <f>1.2</f>
        <v>1.2</v>
      </c>
      <c r="I95" s="11" t="n">
        <f>97.93</f>
        <v>97.93</v>
      </c>
      <c r="J95" s="11" t="n">
        <f>841.26</f>
        <v>841.26</v>
      </c>
      <c r="K95" s="10" t="n">
        <f>13</f>
        <v>13.0</v>
      </c>
      <c r="L95" s="10" t="n">
        <f>1.1</f>
        <v>1.1</v>
      </c>
      <c r="M95" s="21" t="n">
        <f>439000000</f>
        <v>4.39E8</v>
      </c>
      <c r="N95" s="21" t="n">
        <f>5324000000</f>
        <v>5.324E9</v>
      </c>
    </row>
    <row r="96">
      <c r="A96" s="22" t="s">
        <v>53</v>
      </c>
      <c r="B96" s="22" t="s">
        <v>132</v>
      </c>
      <c r="C96" s="22" t="s">
        <v>133</v>
      </c>
      <c r="D96" s="22" t="s">
        <v>90</v>
      </c>
      <c r="E96" s="22" t="s">
        <v>91</v>
      </c>
      <c r="F96" s="9" t="n">
        <f>1</f>
        <v>1.0</v>
      </c>
      <c r="G96" s="10" t="n">
        <f>55</f>
        <v>55.0</v>
      </c>
      <c r="H96" s="10" t="n">
        <f>12.4</f>
        <v>12.4</v>
      </c>
      <c r="I96" s="11" t="n">
        <f>101.85</f>
        <v>101.85</v>
      </c>
      <c r="J96" s="11" t="n">
        <f>452.41</f>
        <v>452.41</v>
      </c>
      <c r="K96" s="10" t="n">
        <f>55</f>
        <v>55.0</v>
      </c>
      <c r="L96" s="10" t="n">
        <f>12.4</f>
        <v>12.4</v>
      </c>
      <c r="M96" s="21" t="n">
        <f>901000000</f>
        <v>9.01E8</v>
      </c>
      <c r="N96" s="21" t="n">
        <f>4002000000</f>
        <v>4.002E9</v>
      </c>
    </row>
    <row r="97">
      <c r="A97" s="22" t="s">
        <v>53</v>
      </c>
      <c r="B97" s="22" t="s">
        <v>132</v>
      </c>
      <c r="C97" s="22" t="s">
        <v>133</v>
      </c>
      <c r="D97" s="22" t="s">
        <v>92</v>
      </c>
      <c r="E97" s="22" t="s">
        <v>93</v>
      </c>
      <c r="F97" s="9" t="n">
        <f>4</f>
        <v>4.0</v>
      </c>
      <c r="G97" s="10" t="n">
        <f>601.5</f>
        <v>601.5</v>
      </c>
      <c r="H97" s="10" t="n">
        <f>4.1</f>
        <v>4.1</v>
      </c>
      <c r="I97" s="11" t="n">
        <f>1.5</f>
        <v>1.5</v>
      </c>
      <c r="J97" s="11" t="n">
        <f>221.4</f>
        <v>221.4</v>
      </c>
      <c r="K97" s="10" t="n">
        <f>157.3</f>
        <v>157.3</v>
      </c>
      <c r="L97" s="10" t="n">
        <f>3.6</f>
        <v>3.6</v>
      </c>
      <c r="M97" s="21" t="n">
        <f>351000000</f>
        <v>3.51E8</v>
      </c>
      <c r="N97" s="21" t="n">
        <f>15311000000</f>
        <v>1.5311E10</v>
      </c>
    </row>
    <row r="98">
      <c r="A98" s="22" t="s">
        <v>53</v>
      </c>
      <c r="B98" s="22" t="s">
        <v>132</v>
      </c>
      <c r="C98" s="22" t="s">
        <v>133</v>
      </c>
      <c r="D98" s="22" t="s">
        <v>94</v>
      </c>
      <c r="E98" s="22" t="s">
        <v>95</v>
      </c>
      <c r="F98" s="9" t="n">
        <f>6</f>
        <v>6.0</v>
      </c>
      <c r="G98" s="10" t="str">
        <f>"－"</f>
        <v>－</v>
      </c>
      <c r="H98" s="10" t="n">
        <f>3</f>
        <v>3.0</v>
      </c>
      <c r="I98" s="11" t="n">
        <f>-36.41</f>
        <v>-36.41</v>
      </c>
      <c r="J98" s="11" t="n">
        <f>326.19</f>
        <v>326.19</v>
      </c>
      <c r="K98" s="10" t="str">
        <f>"－"</f>
        <v>－</v>
      </c>
      <c r="L98" s="10" t="n">
        <f>2.8</f>
        <v>2.8</v>
      </c>
      <c r="M98" s="21" t="n">
        <f>-3169000000</f>
        <v>-3.169E9</v>
      </c>
      <c r="N98" s="21" t="n">
        <f>19418000000</f>
        <v>1.9418E10</v>
      </c>
    </row>
    <row r="99">
      <c r="A99" s="22" t="s">
        <v>53</v>
      </c>
      <c r="B99" s="22" t="s">
        <v>132</v>
      </c>
      <c r="C99" s="22" t="s">
        <v>133</v>
      </c>
      <c r="D99" s="22" t="s">
        <v>96</v>
      </c>
      <c r="E99" s="22" t="s">
        <v>97</v>
      </c>
      <c r="F99" s="9" t="n">
        <f>3</f>
        <v>3.0</v>
      </c>
      <c r="G99" s="10" t="n">
        <f>11.2</f>
        <v>11.2</v>
      </c>
      <c r="H99" s="10" t="n">
        <f>2.7</f>
        <v>2.7</v>
      </c>
      <c r="I99" s="11" t="n">
        <f>231.37</f>
        <v>231.37</v>
      </c>
      <c r="J99" s="11" t="n">
        <f>947.05</f>
        <v>947.05</v>
      </c>
      <c r="K99" s="10" t="n">
        <f>10.5</f>
        <v>10.5</v>
      </c>
      <c r="L99" s="10" t="n">
        <f>2.5</f>
        <v>2.5</v>
      </c>
      <c r="M99" s="21" t="n">
        <f>4346000000</f>
        <v>4.346E9</v>
      </c>
      <c r="N99" s="21" t="n">
        <f>18158000000</f>
        <v>1.8158E10</v>
      </c>
    </row>
    <row r="100">
      <c r="A100" s="22" t="s">
        <v>53</v>
      </c>
      <c r="B100" s="22" t="s">
        <v>132</v>
      </c>
      <c r="C100" s="22" t="s">
        <v>133</v>
      </c>
      <c r="D100" s="22" t="s">
        <v>98</v>
      </c>
      <c r="E100" s="22" t="s">
        <v>99</v>
      </c>
      <c r="F100" s="9" t="n">
        <f>7</f>
        <v>7.0</v>
      </c>
      <c r="G100" s="10" t="str">
        <f>"－"</f>
        <v>－</v>
      </c>
      <c r="H100" s="10" t="n">
        <f>5.8</f>
        <v>5.8</v>
      </c>
      <c r="I100" s="11" t="n">
        <f>-24.07</f>
        <v>-24.07</v>
      </c>
      <c r="J100" s="11" t="n">
        <f>191.5</f>
        <v>191.5</v>
      </c>
      <c r="K100" s="10" t="str">
        <f>"－"</f>
        <v>－</v>
      </c>
      <c r="L100" s="10" t="n">
        <f>3</f>
        <v>3.0</v>
      </c>
      <c r="M100" s="21" t="n">
        <f>-6224000000</f>
        <v>-6.224E9</v>
      </c>
      <c r="N100" s="21" t="n">
        <f>61948000000</f>
        <v>6.1948E10</v>
      </c>
    </row>
    <row r="101">
      <c r="A101" s="22" t="s">
        <v>53</v>
      </c>
      <c r="B101" s="22" t="s">
        <v>132</v>
      </c>
      <c r="C101" s="22" t="s">
        <v>133</v>
      </c>
      <c r="D101" s="22" t="s">
        <v>100</v>
      </c>
      <c r="E101" s="22" t="s">
        <v>101</v>
      </c>
      <c r="F101" s="9" t="n">
        <f>6</f>
        <v>6.0</v>
      </c>
      <c r="G101" s="10" t="n">
        <f>41.8</f>
        <v>41.8</v>
      </c>
      <c r="H101" s="10" t="n">
        <f>2.7</f>
        <v>2.7</v>
      </c>
      <c r="I101" s="11" t="n">
        <f>39.93</f>
        <v>39.93</v>
      </c>
      <c r="J101" s="11" t="n">
        <f>614.04</f>
        <v>614.04</v>
      </c>
      <c r="K101" s="10" t="n">
        <f>122.4</f>
        <v>122.4</v>
      </c>
      <c r="L101" s="10" t="n">
        <f>3.5</f>
        <v>3.5</v>
      </c>
      <c r="M101" s="21" t="n">
        <f>2224000000</f>
        <v>2.224E9</v>
      </c>
      <c r="N101" s="21" t="n">
        <f>78335000000</f>
        <v>7.8335E10</v>
      </c>
    </row>
    <row r="102">
      <c r="A102" s="22" t="s">
        <v>53</v>
      </c>
      <c r="B102" s="22" t="s">
        <v>132</v>
      </c>
      <c r="C102" s="22" t="s">
        <v>133</v>
      </c>
      <c r="D102" s="22" t="s">
        <v>102</v>
      </c>
      <c r="E102" s="22" t="s">
        <v>103</v>
      </c>
      <c r="F102" s="9" t="n">
        <f>2</f>
        <v>2.0</v>
      </c>
      <c r="G102" s="10" t="n">
        <f>48.5</f>
        <v>48.5</v>
      </c>
      <c r="H102" s="10" t="n">
        <f>28.1</f>
        <v>28.1</v>
      </c>
      <c r="I102" s="11" t="n">
        <f>127.31</f>
        <v>127.31</v>
      </c>
      <c r="J102" s="11" t="n">
        <f>220.11</f>
        <v>220.11</v>
      </c>
      <c r="K102" s="10" t="n">
        <f>35.2</f>
        <v>35.2</v>
      </c>
      <c r="L102" s="10" t="n">
        <f>12.5</f>
        <v>12.5</v>
      </c>
      <c r="M102" s="21" t="n">
        <f>2958446000</f>
        <v>2.958446E9</v>
      </c>
      <c r="N102" s="21" t="n">
        <f>8356043000</f>
        <v>8.356043E9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13.9</f>
        <v>13.9</v>
      </c>
      <c r="H105" s="10" t="n">
        <f>1.1</f>
        <v>1.1</v>
      </c>
      <c r="I105" s="11" t="n">
        <f>35.57</f>
        <v>35.57</v>
      </c>
      <c r="J105" s="11" t="n">
        <f>449.52</f>
        <v>449.52</v>
      </c>
      <c r="K105" s="10" t="n">
        <f>13.9</f>
        <v>13.9</v>
      </c>
      <c r="L105" s="10" t="n">
        <f>1.1</f>
        <v>1.1</v>
      </c>
      <c r="M105" s="21" t="n">
        <f>2146000000</f>
        <v>2.146E9</v>
      </c>
      <c r="N105" s="21" t="n">
        <f>27119000000</f>
        <v>2.7119E10</v>
      </c>
    </row>
    <row r="106">
      <c r="A106" s="22" t="s">
        <v>53</v>
      </c>
      <c r="B106" s="22" t="s">
        <v>132</v>
      </c>
      <c r="C106" s="22" t="s">
        <v>133</v>
      </c>
      <c r="D106" s="22" t="s">
        <v>110</v>
      </c>
      <c r="E106" s="22" t="s">
        <v>111</v>
      </c>
      <c r="F106" s="9" t="n">
        <f>1</f>
        <v>1.0</v>
      </c>
      <c r="G106" s="10" t="str">
        <f>"－"</f>
        <v>－</v>
      </c>
      <c r="H106" s="10" t="n">
        <f>1.8</f>
        <v>1.8</v>
      </c>
      <c r="I106" s="11" t="n">
        <f>-82.27</f>
        <v>-82.27</v>
      </c>
      <c r="J106" s="11" t="n">
        <f>202.85</f>
        <v>202.85</v>
      </c>
      <c r="K106" s="10" t="str">
        <f>"－"</f>
        <v>－</v>
      </c>
      <c r="L106" s="10" t="n">
        <f>1.8</f>
        <v>1.8</v>
      </c>
      <c r="M106" s="21" t="n">
        <f>-848000000</f>
        <v>-8.48E8</v>
      </c>
      <c r="N106" s="21" t="n">
        <f>2091000000</f>
        <v>2.091E9</v>
      </c>
    </row>
    <row r="107">
      <c r="A107" s="22" t="s">
        <v>53</v>
      </c>
      <c r="B107" s="22" t="s">
        <v>132</v>
      </c>
      <c r="C107" s="22" t="s">
        <v>133</v>
      </c>
      <c r="D107" s="22" t="s">
        <v>112</v>
      </c>
      <c r="E107" s="22" t="s">
        <v>113</v>
      </c>
      <c r="F107" s="9" t="n">
        <f>249</f>
        <v>249.0</v>
      </c>
      <c r="G107" s="10" t="n">
        <f>65</f>
        <v>65.0</v>
      </c>
      <c r="H107" s="10" t="n">
        <f>3.9</f>
        <v>3.9</v>
      </c>
      <c r="I107" s="11" t="n">
        <f>19.74</f>
        <v>19.74</v>
      </c>
      <c r="J107" s="11" t="n">
        <f>332.77</f>
        <v>332.77</v>
      </c>
      <c r="K107" s="10" t="n">
        <f>514.3</f>
        <v>514.3</v>
      </c>
      <c r="L107" s="10" t="n">
        <f>4.7</f>
        <v>4.7</v>
      </c>
      <c r="M107" s="21" t="n">
        <f>6395259667</f>
        <v>6.395259667E9</v>
      </c>
      <c r="N107" s="21" t="n">
        <f>700350213000</f>
        <v>7.00350213E11</v>
      </c>
    </row>
    <row r="108">
      <c r="A108" s="22" t="s">
        <v>53</v>
      </c>
      <c r="B108" s="22" t="s">
        <v>132</v>
      </c>
      <c r="C108" s="22" t="s">
        <v>133</v>
      </c>
      <c r="D108" s="22" t="s">
        <v>114</v>
      </c>
      <c r="E108" s="22" t="s">
        <v>115</v>
      </c>
      <c r="F108" s="9" t="n">
        <f>10</f>
        <v>10.0</v>
      </c>
      <c r="G108" s="10" t="str">
        <f>"－"</f>
        <v>－</v>
      </c>
      <c r="H108" s="10" t="n">
        <f>3.1</f>
        <v>3.1</v>
      </c>
      <c r="I108" s="11" t="n">
        <f>-5.09</f>
        <v>-5.09</v>
      </c>
      <c r="J108" s="11" t="n">
        <f>294.4</f>
        <v>294.4</v>
      </c>
      <c r="K108" s="10" t="n">
        <f>291.2</f>
        <v>291.2</v>
      </c>
      <c r="L108" s="10" t="n">
        <f>4.4</f>
        <v>4.4</v>
      </c>
      <c r="M108" s="21" t="n">
        <f>533000000</f>
        <v>5.33E8</v>
      </c>
      <c r="N108" s="21" t="n">
        <f>35339000000</f>
        <v>3.5339E10</v>
      </c>
    </row>
    <row r="109">
      <c r="A109" s="22" t="s">
        <v>53</v>
      </c>
      <c r="B109" s="22" t="s">
        <v>132</v>
      </c>
      <c r="C109" s="22" t="s">
        <v>133</v>
      </c>
      <c r="D109" s="22" t="s">
        <v>116</v>
      </c>
      <c r="E109" s="22" t="s">
        <v>117</v>
      </c>
      <c r="F109" s="9" t="n">
        <f>32</f>
        <v>32.0</v>
      </c>
      <c r="G109" s="10" t="n">
        <f>42</f>
        <v>42.0</v>
      </c>
      <c r="H109" s="10" t="n">
        <f>2.9</f>
        <v>2.9</v>
      </c>
      <c r="I109" s="11" t="n">
        <f>31.99</f>
        <v>31.99</v>
      </c>
      <c r="J109" s="11" t="n">
        <f>460.05</f>
        <v>460.05</v>
      </c>
      <c r="K109" s="10" t="n">
        <f>35.7</f>
        <v>35.7</v>
      </c>
      <c r="L109" s="10" t="n">
        <f>2.9</f>
        <v>2.9</v>
      </c>
      <c r="M109" s="21" t="n">
        <f>15484936000</f>
        <v>1.5484936E10</v>
      </c>
      <c r="N109" s="21" t="n">
        <f>191941343186</f>
        <v>1.91941343186E11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7.9</f>
        <v>7.9</v>
      </c>
      <c r="H111" s="10" t="n">
        <f>1.8</f>
        <v>1.8</v>
      </c>
      <c r="I111" s="11" t="n">
        <f>362.54</f>
        <v>362.54</v>
      </c>
      <c r="J111" s="11" t="n">
        <f>1634.28</f>
        <v>1634.28</v>
      </c>
      <c r="K111" s="10" t="n">
        <f>7.6</f>
        <v>7.6</v>
      </c>
      <c r="L111" s="10" t="n">
        <f>2</f>
        <v>2.0</v>
      </c>
      <c r="M111" s="21" t="n">
        <f>23979000000</f>
        <v>2.3979E10</v>
      </c>
      <c r="N111" s="21" t="n">
        <f>89815000000</f>
        <v>8.9815E10</v>
      </c>
    </row>
    <row r="112">
      <c r="A112" s="22" t="s">
        <v>53</v>
      </c>
      <c r="B112" s="22" t="s">
        <v>132</v>
      </c>
      <c r="C112" s="22" t="s">
        <v>133</v>
      </c>
      <c r="D112" s="22" t="s">
        <v>122</v>
      </c>
      <c r="E112" s="22" t="s">
        <v>123</v>
      </c>
      <c r="F112" s="9" t="n">
        <f>3</f>
        <v>3.0</v>
      </c>
      <c r="G112" s="10" t="n">
        <f>20.9</f>
        <v>20.9</v>
      </c>
      <c r="H112" s="10" t="n">
        <f>1.2</f>
        <v>1.2</v>
      </c>
      <c r="I112" s="11" t="n">
        <f>53.19</f>
        <v>53.19</v>
      </c>
      <c r="J112" s="11" t="n">
        <f>935.35</f>
        <v>935.35</v>
      </c>
      <c r="K112" s="10" t="n">
        <f>19.3</f>
        <v>19.3</v>
      </c>
      <c r="L112" s="10" t="n">
        <f>1</f>
        <v>1.0</v>
      </c>
      <c r="M112" s="21" t="n">
        <f>2570000000</f>
        <v>2.57E9</v>
      </c>
      <c r="N112" s="21" t="n">
        <f>50155000000</f>
        <v>5.0155E10</v>
      </c>
    </row>
    <row r="113">
      <c r="A113" s="22" t="s">
        <v>53</v>
      </c>
      <c r="B113" s="22" t="s">
        <v>132</v>
      </c>
      <c r="C113" s="22" t="s">
        <v>133</v>
      </c>
      <c r="D113" s="22" t="s">
        <v>124</v>
      </c>
      <c r="E113" s="22" t="s">
        <v>125</v>
      </c>
      <c r="F113" s="9" t="n">
        <f>4</f>
        <v>4.0</v>
      </c>
      <c r="G113" s="10" t="n">
        <f>68.5</f>
        <v>68.5</v>
      </c>
      <c r="H113" s="10" t="n">
        <f>4.1</f>
        <v>4.1</v>
      </c>
      <c r="I113" s="11" t="n">
        <f>10.77</f>
        <v>10.77</v>
      </c>
      <c r="J113" s="11" t="n">
        <f>181.77</f>
        <v>181.77</v>
      </c>
      <c r="K113" s="10" t="str">
        <f>"－"</f>
        <v>－</v>
      </c>
      <c r="L113" s="10" t="n">
        <f>3.6</f>
        <v>3.6</v>
      </c>
      <c r="M113" s="21" t="n">
        <f>-99000000</f>
        <v>-9.9E7</v>
      </c>
      <c r="N113" s="21" t="n">
        <f>8743000000</f>
        <v>8.743E9</v>
      </c>
    </row>
    <row r="114">
      <c r="A114" s="22" t="s">
        <v>53</v>
      </c>
      <c r="B114" s="22" t="s">
        <v>132</v>
      </c>
      <c r="C114" s="22" t="s">
        <v>133</v>
      </c>
      <c r="D114" s="22" t="s">
        <v>126</v>
      </c>
      <c r="E114" s="22" t="s">
        <v>127</v>
      </c>
      <c r="F114" s="9" t="n">
        <f>19</f>
        <v>19.0</v>
      </c>
      <c r="G114" s="10" t="n">
        <f>16.3</f>
        <v>16.3</v>
      </c>
      <c r="H114" s="10" t="n">
        <f>2.7</f>
        <v>2.7</v>
      </c>
      <c r="I114" s="11" t="n">
        <f>118.27</f>
        <v>118.27</v>
      </c>
      <c r="J114" s="11" t="n">
        <f>722.79</f>
        <v>722.79</v>
      </c>
      <c r="K114" s="10" t="n">
        <f>19.3</f>
        <v>19.3</v>
      </c>
      <c r="L114" s="10" t="n">
        <f>2.4</f>
        <v>2.4</v>
      </c>
      <c r="M114" s="21" t="n">
        <f>21101000000</f>
        <v>2.1101E10</v>
      </c>
      <c r="N114" s="21" t="n">
        <f>167510993615</f>
        <v>1.67510993615E11</v>
      </c>
    </row>
    <row r="115">
      <c r="A115" s="22" t="s">
        <v>53</v>
      </c>
      <c r="B115" s="22" t="s">
        <v>132</v>
      </c>
      <c r="C115" s="22" t="s">
        <v>133</v>
      </c>
      <c r="D115" s="22" t="s">
        <v>128</v>
      </c>
      <c r="E115" s="22" t="s">
        <v>129</v>
      </c>
      <c r="F115" s="9" t="n">
        <f>194</f>
        <v>194.0</v>
      </c>
      <c r="G115" s="10" t="n">
        <f>29.8</f>
        <v>29.8</v>
      </c>
      <c r="H115" s="10" t="n">
        <f>2.7</f>
        <v>2.7</v>
      </c>
      <c r="I115" s="11" t="n">
        <f>40.71</f>
        <v>40.71</v>
      </c>
      <c r="J115" s="11" t="n">
        <f>447.26</f>
        <v>447.26</v>
      </c>
      <c r="K115" s="10" t="n">
        <f>110.1</f>
        <v>110.1</v>
      </c>
      <c r="L115" s="10" t="n">
        <f>3.6</f>
        <v>3.6</v>
      </c>
      <c r="M115" s="21" t="n">
        <f>21516843000</f>
        <v>2.1516843E10</v>
      </c>
      <c r="N115" s="21" t="n">
        <f>665474506000</f>
        <v>6.65474506E11</v>
      </c>
    </row>
    <row r="116">
      <c r="A116" s="22" t="s">
        <v>53</v>
      </c>
      <c r="B116" s="22" t="s">
        <v>134</v>
      </c>
      <c r="C116" s="22" t="s">
        <v>134</v>
      </c>
      <c r="D116" s="22" t="s">
        <v>135</v>
      </c>
      <c r="E116" s="22" t="s">
        <v>136</v>
      </c>
      <c r="F116" s="9" t="n">
        <f>100</f>
        <v>100.0</v>
      </c>
      <c r="G116" s="10" t="n">
        <f>20</f>
        <v>20.0</v>
      </c>
      <c r="H116" s="10" t="n">
        <f>2.1</f>
        <v>2.1</v>
      </c>
      <c r="I116" s="11" t="n">
        <f>312.41</f>
        <v>312.41</v>
      </c>
      <c r="J116" s="11" t="n">
        <f>3031.28</f>
        <v>3031.28</v>
      </c>
      <c r="K116" s="10" t="n">
        <f>16.6</f>
        <v>16.6</v>
      </c>
      <c r="L116" s="10" t="n">
        <f>1.5</f>
        <v>1.5</v>
      </c>
      <c r="M116" s="21" t="n">
        <f>37934956000000</f>
        <v>3.7934956E13</v>
      </c>
      <c r="N116" s="21" t="n">
        <f>409406866000000</f>
        <v>4.09406866E14</v>
      </c>
    </row>
    <row r="117">
      <c r="A117" s="22" t="s">
        <v>53</v>
      </c>
      <c r="B117" s="22" t="s">
        <v>134</v>
      </c>
      <c r="C117" s="22" t="s">
        <v>134</v>
      </c>
      <c r="D117" s="22" t="s">
        <v>137</v>
      </c>
      <c r="E117" s="22" t="s">
        <v>138</v>
      </c>
      <c r="F117" s="9" t="n">
        <f>397</f>
        <v>397.0</v>
      </c>
      <c r="G117" s="10" t="n">
        <f>17.5</f>
        <v>17.5</v>
      </c>
      <c r="H117" s="10" t="n">
        <f>1.5</f>
        <v>1.5</v>
      </c>
      <c r="I117" s="11" t="n">
        <f>210.19</f>
        <v>210.19</v>
      </c>
      <c r="J117" s="11" t="n">
        <f>2521.59</f>
        <v>2521.59</v>
      </c>
      <c r="K117" s="10" t="n">
        <f>16.9</f>
        <v>16.9</v>
      </c>
      <c r="L117" s="10" t="n">
        <f>1.3</f>
        <v>1.3</v>
      </c>
      <c r="M117" s="21" t="n">
        <f>16943820769534</f>
        <v>1.6943820769534E13</v>
      </c>
      <c r="N117" s="21" t="n">
        <f>220538164397278</f>
        <v>2.20538164397278E14</v>
      </c>
    </row>
    <row r="118">
      <c r="A118" s="22" t="s">
        <v>53</v>
      </c>
      <c r="B118" s="22" t="s">
        <v>134</v>
      </c>
      <c r="C118" s="22" t="s">
        <v>134</v>
      </c>
      <c r="D118" s="22" t="s">
        <v>139</v>
      </c>
      <c r="E118" s="22" t="s">
        <v>140</v>
      </c>
      <c r="F118" s="9" t="n">
        <f>1185</f>
        <v>1185.0</v>
      </c>
      <c r="G118" s="10" t="n">
        <f>14.7</f>
        <v>14.7</v>
      </c>
      <c r="H118" s="10" t="n">
        <f>1.1</f>
        <v>1.1</v>
      </c>
      <c r="I118" s="11" t="n">
        <f>153.5</f>
        <v>153.5</v>
      </c>
      <c r="J118" s="11" t="n">
        <f>2052.46</f>
        <v>2052.46</v>
      </c>
      <c r="K118" s="10" t="n">
        <f>14.8</f>
        <v>14.8</v>
      </c>
      <c r="L118" s="10" t="n">
        <f>1.1</f>
        <v>1.1</v>
      </c>
      <c r="M118" s="21" t="n">
        <f>6748437552317</f>
        <v>6.748437552317E12</v>
      </c>
      <c r="N118" s="21" t="n">
        <f>88174115882839</f>
        <v>8.8174115882839E13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1331</f>
        <v>1331.0</v>
      </c>
      <c r="E6" s="23" t="n">
        <f>19.6</f>
        <v>19.6</v>
      </c>
      <c r="F6" s="23" t="n">
        <f>1.8</f>
        <v>1.8</v>
      </c>
      <c r="G6" s="11" t="n">
        <f>150.06</f>
        <v>150.06</v>
      </c>
      <c r="H6" s="11" t="n">
        <f>1592.86</f>
        <v>1592.86</v>
      </c>
      <c r="I6" s="23" t="n">
        <f>20.4</f>
        <v>20.4</v>
      </c>
      <c r="J6" s="23" t="n">
        <f>2.6</f>
        <v>2.6</v>
      </c>
      <c r="K6" s="24" t="n">
        <f>38198148293279</f>
        <v>3.8198148293279E13</v>
      </c>
      <c r="L6" s="24" t="n">
        <f>296169787054806</f>
        <v>2.96169787054806E14</v>
      </c>
    </row>
    <row r="7">
      <c r="A7" s="22" t="s">
        <v>53</v>
      </c>
      <c r="B7" s="22" t="s">
        <v>130</v>
      </c>
      <c r="C7" s="22" t="s">
        <v>131</v>
      </c>
      <c r="D7" s="9" t="n">
        <f>1335</f>
        <v>1335.0</v>
      </c>
      <c r="E7" s="23" t="n">
        <f>15.6</f>
        <v>15.6</v>
      </c>
      <c r="F7" s="23" t="n">
        <f>1</f>
        <v>1.0</v>
      </c>
      <c r="G7" s="11" t="n">
        <f>98.51</f>
        <v>98.51</v>
      </c>
      <c r="H7" s="11" t="n">
        <f>1520.83</f>
        <v>1520.83</v>
      </c>
      <c r="I7" s="23" t="n">
        <f>20.1</f>
        <v>20.1</v>
      </c>
      <c r="J7" s="23" t="n">
        <f>1.4</f>
        <v>1.4</v>
      </c>
      <c r="K7" s="24" t="n">
        <f>1323883624318</f>
        <v>1.323883624318E12</v>
      </c>
      <c r="L7" s="24" t="n">
        <f>18454227481218</f>
        <v>1.8454227481218E13</v>
      </c>
    </row>
    <row r="8">
      <c r="A8" s="22" t="s">
        <v>53</v>
      </c>
      <c r="B8" s="22" t="s">
        <v>132</v>
      </c>
      <c r="C8" s="22" t="s">
        <v>133</v>
      </c>
      <c r="D8" s="9" t="n">
        <f>519</f>
        <v>519.0</v>
      </c>
      <c r="E8" s="23" t="n">
        <f>52.4</f>
        <v>52.4</v>
      </c>
      <c r="F8" s="23" t="n">
        <f>3.6</f>
        <v>3.6</v>
      </c>
      <c r="G8" s="11" t="n">
        <f>23.76</f>
        <v>23.76</v>
      </c>
      <c r="H8" s="11" t="n">
        <f>348.81</f>
        <v>348.81</v>
      </c>
      <c r="I8" s="23" t="str">
        <f>"－"</f>
        <v>－</v>
      </c>
      <c r="J8" s="23" t="n">
        <f>4.5</f>
        <v>4.5</v>
      </c>
      <c r="K8" s="24" t="n">
        <f>-13819185000</f>
        <v>-1.3819185E10</v>
      </c>
      <c r="L8" s="24" t="n">
        <f>1596826266970</f>
        <v>1.59682626697E12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