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<sst xmlns="http://schemas.openxmlformats.org/spreadsheetml/2006/main" count="4674" uniqueCount="1232">
  <si>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</si>
  <si>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</si>
  <si>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</si>
  <si>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</si>
  <si>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</si>
  <si>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</si>
  <si>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</si>
  <si>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</si>
  <si>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</si>
  <si>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</si>
  <si>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</si>
  <si>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</si>
  <si>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</si>
  <si>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</si>
  <si>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</si>
  <si>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</si>
  <si>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</si>
  <si>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</si>
  <si>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</si>
  <si>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</si>
  <si>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</si>
  <si>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</si>
  <si>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</si>
  <si>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</si>
  <si>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</si>
  <si>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</si>
  <si>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</si>
  <si>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</si>
  <si>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</si>
  <si>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</si>
  <si>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</si>
  <si>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</si>
  <si>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</si>
  <si>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</si>
  <si>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</si>
  <si>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</si>
  <si>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</si>
  <si>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</si>
  <si>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</si>
  <si>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</si>
  <si>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</si>
  <si>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</si>
  <si>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2023/06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</si>
  <si>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</si>
  <si>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</si>
  <si>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</si>
  <si>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</si>
  <si>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</si>
  <si>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</si>
  <si>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29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</si>
  <si>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</si>
  <si>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</si>
  <si>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</si>
  <si>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</si>
  <si>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</si>
  <si>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</si>
  <si>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</si>
  <si>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</si>
  <si>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</si>
  <si>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</si>
  <si>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19</t>
  </si>
  <si>
    <t>6</t>
  </si>
  <si>
    <t>1311</t>
  </si>
  <si>
    <t>ＮＥＸＴ　ＦＵＮＤＳ　ＴＯＰＩＸ　Ｃｏｒｅ　３０連動型上場投信　受益証券</t>
  </si>
  <si>
    <t>NEXT FUNDS TOPIX Core 30 Exchange Traded Fund</t>
  </si>
  <si>
    <t>16</t>
  </si>
  <si>
    <t>1319</t>
  </si>
  <si>
    <t>ＮＥＸＴ　ＦＵＮＤＳ　日経３００株価指数連動型上場投信　受益証券</t>
  </si>
  <si>
    <t>NEXT FUNDS Nikkei 300 Index Exchange Traded Fund</t>
  </si>
  <si>
    <t>14</t>
  </si>
  <si>
    <t>15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</si>
  <si>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</si>
  <si>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</si>
  <si>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</si>
  <si>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</si>
  <si>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</si>
  <si>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</si>
  <si>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</si>
  <si>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</si>
  <si>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</si>
  <si>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12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</si>
  <si>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</si>
  <si>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</si>
  <si>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</si>
  <si>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</si>
  <si>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</si>
  <si>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</si>
  <si>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</si>
  <si>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</si>
  <si>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</si>
  <si>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</si>
  <si>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</si>
  <si>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</si>
  <si>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</si>
  <si>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</si>
  <si>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</si>
  <si>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</si>
  <si>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</si>
  <si>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</si>
  <si>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</si>
  <si>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</si>
  <si>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</si>
  <si>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28</t>
  </si>
  <si>
    <t>26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</si>
  <si>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</si>
  <si>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</si>
  <si>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</si>
  <si>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</si>
  <si>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</si>
  <si>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</si>
  <si>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</si>
  <si>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</si>
  <si>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</si>
  <si>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</si>
  <si>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</si>
  <si>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</si>
  <si>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20</t>
  </si>
  <si>
    <t>2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</si>
  <si>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</si>
  <si>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</si>
  <si>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</si>
  <si>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</si>
  <si>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</si>
  <si>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</si>
  <si>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</si>
  <si>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</si>
  <si>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</si>
  <si>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</si>
  <si>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</si>
  <si>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</si>
  <si>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</si>
  <si>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</si>
  <si>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</si>
  <si>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</si>
  <si>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</si>
  <si>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</si>
  <si>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</si>
  <si>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</si>
  <si>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</si>
  <si>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</si>
  <si>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</si>
  <si>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</si>
  <si>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</si>
  <si>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</si>
  <si>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</si>
  <si>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</si>
  <si>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</si>
  <si>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</si>
  <si>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</si>
  <si>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</si>
  <si>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</si>
  <si>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整</t>
  </si>
  <si>
    <t>1386</t>
  </si>
  <si>
    <t>ＵＢＳ　ＥＴＦ　欧州株（ＭＳＣＩヨーロッパ）　受益証券</t>
  </si>
  <si>
    <t>UBS ETF MSCI Europe UCITS ETF-JDR</t>
  </si>
  <si>
    <t>21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</si>
  <si>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</si>
  <si>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</si>
  <si>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</si>
  <si>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</si>
  <si>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</si>
  <si>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</si>
  <si>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</si>
  <si>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</si>
  <si>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</si>
  <si>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</si>
  <si>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</si>
  <si>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</si>
  <si>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</si>
  <si>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</si>
  <si>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</si>
  <si>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</si>
  <si>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</si>
  <si>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</si>
  <si>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</si>
  <si>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</si>
  <si>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</si>
  <si>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</si>
  <si>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</si>
  <si>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</si>
  <si>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</si>
  <si>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</si>
  <si>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</si>
  <si>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</si>
  <si>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</si>
  <si>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</si>
  <si>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5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</si>
  <si>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</si>
  <si>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</si>
  <si>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</si>
  <si>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</si>
  <si>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</si>
  <si>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</si>
  <si>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</si>
  <si>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</si>
  <si>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</si>
  <si>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</si>
  <si>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</si>
  <si>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</si>
  <si>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</si>
  <si>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</si>
  <si>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</si>
  <si>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</si>
  <si>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ｉＦｒｅｅＥＴＦ　ＪＰＸ日経４００レバレッジ・インデックス　受益証券</t>
  </si>
  <si>
    <t>iFreeETF JPX-Nikkei400 Leveraged (2x) Index</t>
  </si>
  <si>
    <t>1465</t>
  </si>
  <si>
    <t>ｉＦｒｅｅＥＴＦ　ＪＰＸ日経４００インバース・インデックス　受益証券</t>
  </si>
  <si>
    <t>iFreeETF JPX-Nikkei400 Inverse (-1x) Index</t>
  </si>
  <si>
    <t>8</t>
  </si>
  <si>
    <t>1466</t>
  </si>
  <si>
    <t>ｉＦｒｅｅＥＴＦ　ＪＰＸ日経４００ダブルインバース・インデックス　受益証券</t>
  </si>
  <si>
    <t>iFreeETF JPX-Nikkei400 Double Inverse (-2x) Index</t>
  </si>
  <si>
    <t>23</t>
  </si>
  <si>
    <t>1467</t>
  </si>
  <si>
    <t>ＪＰＸ日経４００ブル２倍上場投信（レバレッジ）　受益証券</t>
  </si>
  <si>
    <t>JPX-Nikkei 400 Bull 2x Leveraged ETF</t>
  </si>
  <si>
    <t xml:space="preserve">上場廃止  </t>
  </si>
  <si>
    <t xml:space="preserve">Removal  </t>
  </si>
  <si>
    <t xml:space="preserve">2023/06/11  </t>
  </si>
  <si>
    <t>1468</t>
  </si>
  <si>
    <t>ＪＰＸ日経４００ベア上場投信（インバース）　受益証券</t>
  </si>
  <si>
    <t>JPX-Nikkei 400 Bear -1x Inverse ETF</t>
  </si>
  <si>
    <t>9</t>
  </si>
  <si>
    <t>1469</t>
  </si>
  <si>
    <t>ＪＰＸ日経４００ベア２倍上場投信（ダブルインバース）　受益証券</t>
  </si>
  <si>
    <t>JPX-Nikkei 400 Bear -2x Double Inverse ETF</t>
  </si>
  <si>
    <t>22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</si>
  <si>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</si>
  <si>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</si>
  <si>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</si>
  <si>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</si>
  <si>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</si>
  <si>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</si>
  <si>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</si>
  <si>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</si>
  <si>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</si>
  <si>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</si>
  <si>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</si>
  <si>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</si>
  <si>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</si>
  <si>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</si>
  <si>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</si>
  <si>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</si>
  <si>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</si>
  <si>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</si>
  <si>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</si>
  <si>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</si>
  <si>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</si>
  <si>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</si>
  <si>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</si>
  <si>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</si>
  <si>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</si>
  <si>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</si>
  <si>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</si>
  <si>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</si>
  <si>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</si>
  <si>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</si>
  <si>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</si>
  <si>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</si>
  <si>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</si>
  <si>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</si>
  <si>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</si>
  <si>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</si>
  <si>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</si>
  <si>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</si>
  <si>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</si>
  <si>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</si>
  <si>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</si>
  <si>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</si>
  <si>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</si>
  <si>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</si>
  <si>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</si>
  <si>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</si>
  <si>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</si>
  <si>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</si>
  <si>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</si>
  <si>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</si>
  <si>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</si>
  <si>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</si>
  <si>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</si>
  <si>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</si>
  <si>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</si>
  <si>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</si>
  <si>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</si>
  <si>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</si>
  <si>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</si>
  <si>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</si>
  <si>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</si>
  <si>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</si>
  <si>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</si>
  <si>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</si>
  <si>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</si>
  <si>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</si>
  <si>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</si>
  <si>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</si>
  <si>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</si>
  <si>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</si>
  <si>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</si>
  <si>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</si>
  <si>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</si>
  <si>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</si>
  <si>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</si>
  <si>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</si>
  <si>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</si>
  <si>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</si>
  <si>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</si>
  <si>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</si>
  <si>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</si>
  <si>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</si>
  <si>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</si>
  <si>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</si>
  <si>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</si>
  <si>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</si>
  <si>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</si>
  <si>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7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</si>
  <si>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</si>
  <si>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</si>
  <si>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</si>
  <si>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</si>
  <si>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</si>
  <si>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</si>
  <si>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</si>
  <si>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</si>
  <si>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</si>
  <si>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</si>
  <si>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</si>
  <si>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</si>
  <si>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</si>
  <si>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</si>
  <si>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</si>
  <si>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</si>
  <si>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</si>
  <si>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</si>
  <si>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</si>
  <si>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</si>
  <si>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</si>
  <si>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</si>
  <si>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</si>
  <si>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</si>
  <si>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</si>
  <si>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</si>
  <si>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</si>
  <si>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</si>
  <si>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</si>
  <si>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</si>
  <si>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</si>
  <si>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</si>
  <si>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</si>
  <si>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</si>
  <si>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</si>
  <si>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</si>
  <si>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</si>
  <si>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</si>
  <si>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</si>
  <si>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</si>
  <si>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</si>
  <si>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</si>
  <si>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</si>
  <si>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</si>
  <si>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</si>
  <si>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</si>
  <si>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</si>
  <si>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</si>
  <si>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</si>
  <si>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</si>
  <si>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</si>
  <si>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</si>
  <si>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</si>
  <si>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</si>
  <si>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</si>
  <si>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</si>
  <si>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</si>
  <si>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</si>
  <si>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</si>
  <si>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</si>
  <si>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</si>
  <si>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</si>
  <si>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</si>
  <si>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</si>
  <si>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</si>
  <si>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</si>
  <si>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</si>
  <si>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</si>
  <si>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</si>
  <si>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</si>
  <si>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</si>
  <si>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</si>
  <si>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</si>
  <si>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</si>
  <si>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</si>
  <si>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</si>
  <si>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</si>
  <si>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</si>
  <si>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</si>
  <si>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</si>
  <si>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</si>
  <si>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</si>
  <si>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13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</si>
  <si>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</si>
  <si>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</si>
  <si>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</si>
  <si>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</si>
  <si>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</si>
  <si>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</si>
  <si>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</si>
  <si>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</si>
  <si>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</si>
  <si>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</si>
  <si>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</si>
  <si>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</si>
  <si>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</si>
  <si>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</si>
  <si>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</si>
  <si>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</si>
  <si>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</si>
  <si>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</si>
  <si>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</si>
  <si>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</si>
  <si>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</si>
  <si>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</si>
  <si>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</si>
  <si>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</si>
  <si>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</si>
  <si>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</si>
  <si>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</si>
  <si>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</si>
  <si>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</si>
  <si>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</si>
  <si>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</si>
  <si>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</si>
  <si>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</si>
  <si>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</si>
  <si>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</si>
  <si>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</si>
  <si>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</si>
  <si>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</si>
  <si>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</si>
  <si>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</si>
  <si>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</si>
  <si>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</si>
  <si>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</si>
  <si>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</si>
  <si>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</si>
  <si>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</si>
  <si>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</si>
  <si>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</si>
  <si>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</si>
  <si>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</si>
  <si>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</si>
  <si>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</si>
  <si>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</si>
  <si>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</si>
  <si>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</si>
  <si>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</si>
  <si>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</si>
  <si>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</si>
  <si>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</si>
  <si>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</si>
  <si>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</si>
  <si>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</si>
  <si>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</si>
  <si>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</si>
  <si>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</si>
  <si>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</si>
  <si>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</si>
  <si>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</si>
  <si>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</si>
  <si>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</si>
  <si>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</si>
  <si>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</si>
  <si>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</si>
  <si>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</si>
  <si>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</si>
  <si>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</si>
  <si>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</si>
  <si>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</si>
  <si>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</si>
  <si>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</si>
  <si>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</si>
  <si>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27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</si>
  <si>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</si>
  <si>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</si>
  <si>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</si>
  <si>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</si>
  <si>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</si>
  <si>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</si>
  <si>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</si>
  <si>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</si>
  <si>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</si>
  <si>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</si>
  <si>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</si>
  <si>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</si>
  <si>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</si>
  <si>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</si>
  <si>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</si>
  <si>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</si>
  <si>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</si>
  <si>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</si>
  <si>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</si>
  <si>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</si>
  <si>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</si>
  <si>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</si>
  <si>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</si>
  <si>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</si>
  <si>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</si>
  <si>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</si>
  <si>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</si>
  <si>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</si>
  <si>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</si>
  <si>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</si>
  <si>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</si>
  <si>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</si>
  <si>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</si>
  <si>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</si>
  <si>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</si>
  <si>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</si>
  <si>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</si>
  <si>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</si>
  <si>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</si>
  <si>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</si>
  <si>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</si>
  <si>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</si>
  <si>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</si>
  <si>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</si>
  <si>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</si>
  <si>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</si>
  <si>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</si>
  <si>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</si>
  <si>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</si>
  <si>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</si>
  <si>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</si>
  <si>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</si>
  <si>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</si>
  <si>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</si>
  <si>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</si>
  <si>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</si>
  <si>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</si>
  <si>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</si>
  <si>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</si>
  <si>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</si>
  <si>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</si>
  <si>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</si>
  <si>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</si>
  <si>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</si>
  <si>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</si>
  <si>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</si>
  <si>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</si>
  <si>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</si>
  <si>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</si>
  <si>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</si>
  <si>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</si>
  <si>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</si>
  <si>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</si>
  <si>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</si>
  <si>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</si>
  <si>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</si>
  <si>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</si>
  <si>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</si>
  <si>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</si>
  <si>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</si>
  <si>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</si>
  <si>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</si>
  <si>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</si>
  <si>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</si>
  <si>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</si>
  <si>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</si>
  <si>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</si>
  <si>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</si>
  <si>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</si>
  <si>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</si>
  <si>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</si>
  <si>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</si>
  <si>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</si>
  <si>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</si>
  <si>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</si>
  <si>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</si>
  <si>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</si>
  <si>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</si>
  <si>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</si>
  <si>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</si>
  <si>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</si>
  <si>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</si>
  <si>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</si>
  <si>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</si>
  <si>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</si>
  <si>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</si>
  <si>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</si>
  <si>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</si>
  <si>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</si>
  <si>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</si>
  <si>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</si>
  <si>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</si>
  <si>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</si>
  <si>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</si>
  <si>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</si>
  <si>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</si>
  <si>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</si>
  <si>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</si>
  <si>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</si>
  <si>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</si>
  <si>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</si>
  <si>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</si>
  <si>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</si>
  <si>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</si>
  <si>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</si>
  <si>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</si>
  <si>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</si>
  <si>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</si>
  <si>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</si>
  <si>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</si>
  <si>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</si>
  <si>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</si>
  <si>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</si>
  <si>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</si>
  <si>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</si>
  <si>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</si>
  <si>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</si>
  <si>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</si>
  <si>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</si>
  <si>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</si>
  <si>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</si>
  <si>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</si>
  <si>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</si>
  <si>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</si>
  <si>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</si>
  <si>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</si>
  <si>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</si>
  <si>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</si>
  <si>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</si>
  <si>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</si>
  <si>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</si>
  <si>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</si>
  <si>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</si>
  <si>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</si>
  <si>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</si>
  <si>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</si>
  <si>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</si>
  <si>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</si>
  <si>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</si>
  <si>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</si>
  <si>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</si>
  <si>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</si>
  <si>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</si>
  <si>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</si>
  <si>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</si>
  <si>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</si>
  <si>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</si>
  <si>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</si>
  <si>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</si>
  <si>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</si>
  <si>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</si>
  <si>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</si>
  <si>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</si>
  <si>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</si>
  <si>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</si>
  <si>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</si>
  <si>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</si>
  <si>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</si>
  <si>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</si>
  <si>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</si>
  <si>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</si>
  <si>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</si>
  <si>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</si>
  <si>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</si>
  <si>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</si>
  <si>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</si>
  <si>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</si>
  <si>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</si>
  <si>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</si>
  <si>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</si>
  <si>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</si>
  <si>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</si>
  <si>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</si>
  <si>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</si>
  <si>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</si>
  <si>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</si>
  <si>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</si>
  <si>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</si>
  <si>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</si>
  <si>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</si>
  <si>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</si>
  <si>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</si>
  <si>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</si>
  <si>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</si>
  <si>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</si>
  <si>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</si>
  <si>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</si>
  <si>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</si>
  <si>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</si>
  <si>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</si>
  <si>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</si>
  <si>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</si>
  <si>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</si>
  <si>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</si>
  <si>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</si>
  <si>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</si>
  <si>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</si>
  <si>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</si>
  <si>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</si>
  <si>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</si>
  <si>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</si>
  <si>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</si>
  <si>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</si>
  <si>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</si>
  <si>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</si>
  <si>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</si>
  <si>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</si>
  <si>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</si>
  <si>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</si>
  <si>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</si>
  <si>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</si>
  <si>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</si>
  <si>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</si>
  <si>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</si>
  <si>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</si>
  <si>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2250</t>
  </si>
  <si>
    <t>ｉシェアーズ　ＭＳＣＩ　ジャパン気候変動アクション　ＥＴＦ　受益証券</t>
  </si>
  <si>
    <t>iShares MSCI Japan Climate Action ETF</t>
  </si>
  <si>
    <t xml:space="preserve">新規上場  </t>
  </si>
  <si>
    <t xml:space="preserve">New Listing  </t>
  </si>
  <si>
    <t xml:space="preserve">2023/06/08  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</si>
  <si>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</si>
  <si>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</si>
  <si>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</si>
  <si>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 xml:space="preserve">2023/06/23  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</si>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</sst>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9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2276</f>
        <v>2276.0</v>
      </c>
      <c r="L7" s="34" t="s">
        <v>48</v>
      </c>
      <c r="M7" s="33" t="n">
        <f>2474.5</f>
        <v>2474.5</v>
      </c>
      <c r="N7" s="34" t="s">
        <v>49</v>
      </c>
      <c r="O7" s="33" t="n">
        <f>2274.5</f>
        <v>2274.5</v>
      </c>
      <c r="P7" s="34" t="s">
        <v>48</v>
      </c>
      <c r="Q7" s="33" t="n">
        <f>2448.5</f>
        <v>2448.5</v>
      </c>
      <c r="R7" s="34" t="s">
        <v>50</v>
      </c>
      <c r="S7" s="35" t="n">
        <f>2411.48</f>
        <v>2411.48</v>
      </c>
      <c r="T7" s="32" t="n">
        <f>34900540</f>
        <v>3.490054E7</v>
      </c>
      <c r="U7" s="32" t="n">
        <f>23982380</f>
        <v>2.398238E7</v>
      </c>
      <c r="V7" s="32" t="n">
        <f>84398280195</f>
        <v>8.4398280195E10</v>
      </c>
      <c r="W7" s="32" t="n">
        <f>57994597930</f>
        <v>5.799459793E10</v>
      </c>
      <c r="X7" s="36" t="n">
        <f>22</f>
        <v>22.0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2253.5</f>
        <v>2253.5</v>
      </c>
      <c r="L8" s="34" t="s">
        <v>48</v>
      </c>
      <c r="M8" s="33" t="n">
        <f>2447.5</f>
        <v>2447.5</v>
      </c>
      <c r="N8" s="34" t="s">
        <v>49</v>
      </c>
      <c r="O8" s="33" t="n">
        <f>2248</f>
        <v>2248.0</v>
      </c>
      <c r="P8" s="34" t="s">
        <v>48</v>
      </c>
      <c r="Q8" s="33" t="n">
        <f>2419.5</f>
        <v>2419.5</v>
      </c>
      <c r="R8" s="34" t="s">
        <v>50</v>
      </c>
      <c r="S8" s="35" t="n">
        <f>2384.52</f>
        <v>2384.52</v>
      </c>
      <c r="T8" s="32" t="n">
        <f>67897200</f>
        <v>6.78972E7</v>
      </c>
      <c r="U8" s="32" t="n">
        <f>8047320</f>
        <v>8047320.0</v>
      </c>
      <c r="V8" s="32" t="n">
        <f>162062770045</f>
        <v>1.62062770045E11</v>
      </c>
      <c r="W8" s="32" t="n">
        <f>19297055450</f>
        <v>1.929705545E10</v>
      </c>
      <c r="X8" s="36" t="n">
        <f>22</f>
        <v>22.0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2225</f>
        <v>2225.0</v>
      </c>
      <c r="L9" s="34" t="s">
        <v>48</v>
      </c>
      <c r="M9" s="33" t="n">
        <f>2418</f>
        <v>2418.0</v>
      </c>
      <c r="N9" s="34" t="s">
        <v>49</v>
      </c>
      <c r="O9" s="33" t="n">
        <f>2225</f>
        <v>2225.0</v>
      </c>
      <c r="P9" s="34" t="s">
        <v>48</v>
      </c>
      <c r="Q9" s="33" t="n">
        <f>2405</f>
        <v>2405.0</v>
      </c>
      <c r="R9" s="34" t="s">
        <v>50</v>
      </c>
      <c r="S9" s="35" t="n">
        <f>2357.89</f>
        <v>2357.89</v>
      </c>
      <c r="T9" s="32" t="n">
        <f>27718400</f>
        <v>2.77184E7</v>
      </c>
      <c r="U9" s="32" t="n">
        <f>9910400</f>
        <v>9910400.0</v>
      </c>
      <c r="V9" s="32" t="n">
        <f>64986470876</f>
        <v>6.4986470876E10</v>
      </c>
      <c r="W9" s="32" t="n">
        <f>23265873926</f>
        <v>2.3265873926E10</v>
      </c>
      <c r="X9" s="36" t="n">
        <f>22</f>
        <v>22.0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38500</f>
        <v>38500.0</v>
      </c>
      <c r="L10" s="34" t="s">
        <v>48</v>
      </c>
      <c r="M10" s="33" t="n">
        <f>39740</f>
        <v>39740.0</v>
      </c>
      <c r="N10" s="34" t="s">
        <v>60</v>
      </c>
      <c r="O10" s="33" t="n">
        <f>38060</f>
        <v>38060.0</v>
      </c>
      <c r="P10" s="34" t="s">
        <v>61</v>
      </c>
      <c r="Q10" s="33" t="n">
        <f>38840</f>
        <v>38840.0</v>
      </c>
      <c r="R10" s="34" t="s">
        <v>50</v>
      </c>
      <c r="S10" s="35" t="n">
        <f>38630</f>
        <v>38630.0</v>
      </c>
      <c r="T10" s="32" t="n">
        <f>3512</f>
        <v>3512.0</v>
      </c>
      <c r="U10" s="32" t="str">
        <f>"－"</f>
        <v>－</v>
      </c>
      <c r="V10" s="32" t="n">
        <f>135950470</f>
        <v>1.3595047E8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1077</f>
        <v>1077.0</v>
      </c>
      <c r="L11" s="34" t="s">
        <v>48</v>
      </c>
      <c r="M11" s="33" t="n">
        <f>1180</f>
        <v>1180.0</v>
      </c>
      <c r="N11" s="34" t="s">
        <v>65</v>
      </c>
      <c r="O11" s="33" t="n">
        <f>1065.5</f>
        <v>1065.5</v>
      </c>
      <c r="P11" s="34" t="s">
        <v>48</v>
      </c>
      <c r="Q11" s="33" t="n">
        <f>1166.5</f>
        <v>1166.5</v>
      </c>
      <c r="R11" s="34" t="s">
        <v>50</v>
      </c>
      <c r="S11" s="35" t="n">
        <f>1145.91</f>
        <v>1145.91</v>
      </c>
      <c r="T11" s="32" t="n">
        <f>353900</f>
        <v>353900.0</v>
      </c>
      <c r="U11" s="32" t="str">
        <f>"－"</f>
        <v>－</v>
      </c>
      <c r="V11" s="32" t="n">
        <f>405850615</f>
        <v>4.05850615E8</v>
      </c>
      <c r="W11" s="32" t="str">
        <f>"－"</f>
        <v>－</v>
      </c>
      <c r="X11" s="36" t="n">
        <f>22</f>
        <v>22.0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372</f>
        <v>372.0</v>
      </c>
      <c r="L12" s="34" t="s">
        <v>48</v>
      </c>
      <c r="M12" s="33" t="n">
        <f>389.5</f>
        <v>389.5</v>
      </c>
      <c r="N12" s="34" t="s">
        <v>69</v>
      </c>
      <c r="O12" s="33" t="n">
        <f>369.1</f>
        <v>369.1</v>
      </c>
      <c r="P12" s="34" t="s">
        <v>70</v>
      </c>
      <c r="Q12" s="33" t="n">
        <f>376</f>
        <v>376.0</v>
      </c>
      <c r="R12" s="34" t="s">
        <v>49</v>
      </c>
      <c r="S12" s="35" t="n">
        <f>376.81</f>
        <v>376.81</v>
      </c>
      <c r="T12" s="32" t="n">
        <f>245000</f>
        <v>245000.0</v>
      </c>
      <c r="U12" s="32" t="str">
        <f>"－"</f>
        <v>－</v>
      </c>
      <c r="V12" s="32" t="n">
        <f>92680800</f>
        <v>9.26808E7</v>
      </c>
      <c r="W12" s="32" t="str">
        <f>"－"</f>
        <v>－</v>
      </c>
      <c r="X12" s="36" t="n">
        <f>20</f>
        <v>20.0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32180</f>
        <v>32180.0</v>
      </c>
      <c r="L13" s="34" t="s">
        <v>48</v>
      </c>
      <c r="M13" s="33" t="n">
        <f>35230</f>
        <v>35230.0</v>
      </c>
      <c r="N13" s="34" t="s">
        <v>60</v>
      </c>
      <c r="O13" s="33" t="n">
        <f>32140</f>
        <v>32140.0</v>
      </c>
      <c r="P13" s="34" t="s">
        <v>48</v>
      </c>
      <c r="Q13" s="33" t="n">
        <f>34640</f>
        <v>34640.0</v>
      </c>
      <c r="R13" s="34" t="s">
        <v>50</v>
      </c>
      <c r="S13" s="35" t="n">
        <f>34144.09</f>
        <v>34144.09</v>
      </c>
      <c r="T13" s="32" t="n">
        <f>1837883</f>
        <v>1837883.0</v>
      </c>
      <c r="U13" s="32" t="n">
        <f>212848</f>
        <v>212848.0</v>
      </c>
      <c r="V13" s="32" t="n">
        <f>62970698379</f>
        <v>6.2970698379E10</v>
      </c>
      <c r="W13" s="32" t="n">
        <f>7406307909</f>
        <v>7.406307909E9</v>
      </c>
      <c r="X13" s="36" t="n">
        <f>22</f>
        <v>22.0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32270</f>
        <v>32270.0</v>
      </c>
      <c r="L14" s="34" t="s">
        <v>48</v>
      </c>
      <c r="M14" s="33" t="n">
        <f>35330</f>
        <v>35330.0</v>
      </c>
      <c r="N14" s="34" t="s">
        <v>60</v>
      </c>
      <c r="O14" s="33" t="n">
        <f>32240</f>
        <v>32240.0</v>
      </c>
      <c r="P14" s="34" t="s">
        <v>48</v>
      </c>
      <c r="Q14" s="33" t="n">
        <f>34740</f>
        <v>34740.0</v>
      </c>
      <c r="R14" s="34" t="s">
        <v>50</v>
      </c>
      <c r="S14" s="35" t="n">
        <f>34238.18</f>
        <v>34238.18</v>
      </c>
      <c r="T14" s="32" t="n">
        <f>10288943</f>
        <v>1.0288943E7</v>
      </c>
      <c r="U14" s="32" t="n">
        <f>212461</f>
        <v>212461.0</v>
      </c>
      <c r="V14" s="32" t="n">
        <f>352029016638</f>
        <v>3.52029016638E11</v>
      </c>
      <c r="W14" s="32" t="n">
        <f>7221429758</f>
        <v>7.221429758E9</v>
      </c>
      <c r="X14" s="36" t="n">
        <f>22</f>
        <v>22.0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7620</f>
        <v>7620.0</v>
      </c>
      <c r="L15" s="34" t="s">
        <v>48</v>
      </c>
      <c r="M15" s="33" t="n">
        <f>7850</f>
        <v>7850.0</v>
      </c>
      <c r="N15" s="34" t="s">
        <v>60</v>
      </c>
      <c r="O15" s="33" t="n">
        <f>7350</f>
        <v>7350.0</v>
      </c>
      <c r="P15" s="34" t="s">
        <v>80</v>
      </c>
      <c r="Q15" s="33" t="n">
        <f>7627</f>
        <v>7627.0</v>
      </c>
      <c r="R15" s="34" t="s">
        <v>50</v>
      </c>
      <c r="S15" s="35" t="n">
        <f>7598.05</f>
        <v>7598.05</v>
      </c>
      <c r="T15" s="32" t="n">
        <f>16920</f>
        <v>16920.0</v>
      </c>
      <c r="U15" s="32" t="n">
        <f>40</f>
        <v>40.0</v>
      </c>
      <c r="V15" s="32" t="n">
        <f>128967550</f>
        <v>1.2896755E8</v>
      </c>
      <c r="W15" s="32" t="n">
        <f>303270</f>
        <v>303270.0</v>
      </c>
      <c r="X15" s="36" t="n">
        <f>22</f>
        <v>22.0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str">
        <f>"－"</f>
        <v>－</v>
      </c>
      <c r="L16" s="34"/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5" t="str">
        <f>"－"</f>
        <v>－</v>
      </c>
      <c r="T16" s="32" t="str">
        <f>"－"</f>
        <v>－</v>
      </c>
      <c r="U16" s="32" t="str">
        <f>"－"</f>
        <v>－</v>
      </c>
      <c r="V16" s="32" t="str">
        <f>"－"</f>
        <v>－</v>
      </c>
      <c r="W16" s="32" t="str">
        <f>"－"</f>
        <v>－</v>
      </c>
      <c r="X16" s="36" t="str">
        <f>"－"</f>
        <v>－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n">
        <f>204</f>
        <v>204.0</v>
      </c>
      <c r="L17" s="34" t="s">
        <v>48</v>
      </c>
      <c r="M17" s="33" t="n">
        <f>239.5</f>
        <v>239.5</v>
      </c>
      <c r="N17" s="34" t="s">
        <v>50</v>
      </c>
      <c r="O17" s="33" t="n">
        <f>202</f>
        <v>202.0</v>
      </c>
      <c r="P17" s="34" t="s">
        <v>48</v>
      </c>
      <c r="Q17" s="33" t="n">
        <f>239.5</f>
        <v>239.5</v>
      </c>
      <c r="R17" s="34" t="s">
        <v>50</v>
      </c>
      <c r="S17" s="35" t="n">
        <f>224.15</f>
        <v>224.15</v>
      </c>
      <c r="T17" s="32" t="n">
        <f>1066300</f>
        <v>1066300.0</v>
      </c>
      <c r="U17" s="32" t="n">
        <f>700</f>
        <v>700.0</v>
      </c>
      <c r="V17" s="32" t="n">
        <f>238672030</f>
        <v>2.3867203E8</v>
      </c>
      <c r="W17" s="32" t="n">
        <f>158660</f>
        <v>158660.0</v>
      </c>
      <c r="X17" s="36" t="n">
        <f>22</f>
        <v>22.0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25420</f>
        <v>25420.0</v>
      </c>
      <c r="L18" s="34" t="s">
        <v>48</v>
      </c>
      <c r="M18" s="33" t="n">
        <f>25820</f>
        <v>25820.0</v>
      </c>
      <c r="N18" s="34" t="s">
        <v>60</v>
      </c>
      <c r="O18" s="33" t="n">
        <f>25235</f>
        <v>25235.0</v>
      </c>
      <c r="P18" s="34" t="s">
        <v>70</v>
      </c>
      <c r="Q18" s="33" t="n">
        <f>25630</f>
        <v>25630.0</v>
      </c>
      <c r="R18" s="34" t="s">
        <v>50</v>
      </c>
      <c r="S18" s="35" t="n">
        <f>25496.59</f>
        <v>25496.59</v>
      </c>
      <c r="T18" s="32" t="n">
        <f>136749</f>
        <v>136749.0</v>
      </c>
      <c r="U18" s="32" t="str">
        <f>"－"</f>
        <v>－</v>
      </c>
      <c r="V18" s="32" t="n">
        <f>3478355230</f>
        <v>3.47835523E9</v>
      </c>
      <c r="W18" s="32" t="str">
        <f>"－"</f>
        <v>－</v>
      </c>
      <c r="X18" s="36" t="n">
        <f>22</f>
        <v>22.0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10.0</v>
      </c>
      <c r="K19" s="33" t="n">
        <f>6789</f>
        <v>6789.0</v>
      </c>
      <c r="L19" s="34" t="s">
        <v>48</v>
      </c>
      <c r="M19" s="33" t="n">
        <f>6898</f>
        <v>6898.0</v>
      </c>
      <c r="N19" s="34" t="s">
        <v>60</v>
      </c>
      <c r="O19" s="33" t="n">
        <f>6742</f>
        <v>6742.0</v>
      </c>
      <c r="P19" s="34" t="s">
        <v>70</v>
      </c>
      <c r="Q19" s="33" t="n">
        <f>6839</f>
        <v>6839.0</v>
      </c>
      <c r="R19" s="34" t="s">
        <v>50</v>
      </c>
      <c r="S19" s="35" t="n">
        <f>6811.36</f>
        <v>6811.36</v>
      </c>
      <c r="T19" s="32" t="n">
        <f>240510</f>
        <v>240510.0</v>
      </c>
      <c r="U19" s="32" t="n">
        <f>410</f>
        <v>410.0</v>
      </c>
      <c r="V19" s="32" t="n">
        <f>1633861390</f>
        <v>1.63386139E9</v>
      </c>
      <c r="W19" s="32" t="n">
        <f>2800430</f>
        <v>2800430.0</v>
      </c>
      <c r="X19" s="36" t="n">
        <f>22</f>
        <v>22.0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32150</f>
        <v>32150.0</v>
      </c>
      <c r="L20" s="34" t="s">
        <v>48</v>
      </c>
      <c r="M20" s="33" t="n">
        <f>35210</f>
        <v>35210.0</v>
      </c>
      <c r="N20" s="34" t="s">
        <v>60</v>
      </c>
      <c r="O20" s="33" t="n">
        <f>32130</f>
        <v>32130.0</v>
      </c>
      <c r="P20" s="34" t="s">
        <v>48</v>
      </c>
      <c r="Q20" s="33" t="n">
        <f>34630</f>
        <v>34630.0</v>
      </c>
      <c r="R20" s="34" t="s">
        <v>50</v>
      </c>
      <c r="S20" s="35" t="n">
        <f>34117.73</f>
        <v>34117.73</v>
      </c>
      <c r="T20" s="32" t="n">
        <f>2233483</f>
        <v>2233483.0</v>
      </c>
      <c r="U20" s="32" t="n">
        <f>1300849</f>
        <v>1300849.0</v>
      </c>
      <c r="V20" s="32" t="n">
        <f>76398171068</f>
        <v>7.6398171068E10</v>
      </c>
      <c r="W20" s="32" t="n">
        <f>44563377508</f>
        <v>4.4563377508E10</v>
      </c>
      <c r="X20" s="36" t="n">
        <f>22</f>
        <v>22.0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10.0</v>
      </c>
      <c r="K21" s="33" t="n">
        <f>32300</f>
        <v>32300.0</v>
      </c>
      <c r="L21" s="34" t="s">
        <v>48</v>
      </c>
      <c r="M21" s="33" t="n">
        <f>35360</f>
        <v>35360.0</v>
      </c>
      <c r="N21" s="34" t="s">
        <v>60</v>
      </c>
      <c r="O21" s="33" t="n">
        <f>32260</f>
        <v>32260.0</v>
      </c>
      <c r="P21" s="34" t="s">
        <v>48</v>
      </c>
      <c r="Q21" s="33" t="n">
        <f>34760</f>
        <v>34760.0</v>
      </c>
      <c r="R21" s="34" t="s">
        <v>50</v>
      </c>
      <c r="S21" s="35" t="n">
        <f>34261.36</f>
        <v>34261.36</v>
      </c>
      <c r="T21" s="32" t="n">
        <f>1116290</f>
        <v>1116290.0</v>
      </c>
      <c r="U21" s="32" t="n">
        <f>118320</f>
        <v>118320.0</v>
      </c>
      <c r="V21" s="32" t="n">
        <f>38274593200</f>
        <v>3.82745932E10</v>
      </c>
      <c r="W21" s="32" t="n">
        <f>4061055800</f>
        <v>4.0610558E9</v>
      </c>
      <c r="X21" s="36" t="n">
        <f>22</f>
        <v>22.0</v>
      </c>
    </row>
    <row r="22">
      <c r="A22" s="27" t="s">
        <v>42</v>
      </c>
      <c r="B22" s="27" t="s">
        <v>99</v>
      </c>
      <c r="C22" s="27" t="s">
        <v>100</v>
      </c>
      <c r="D22" s="27" t="s">
        <v>101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1985</f>
        <v>1985.0</v>
      </c>
      <c r="L22" s="34" t="s">
        <v>48</v>
      </c>
      <c r="M22" s="33" t="n">
        <f>2015.5</f>
        <v>2015.5</v>
      </c>
      <c r="N22" s="34" t="s">
        <v>102</v>
      </c>
      <c r="O22" s="33" t="n">
        <f>1973</f>
        <v>1973.0</v>
      </c>
      <c r="P22" s="34" t="s">
        <v>103</v>
      </c>
      <c r="Q22" s="33" t="n">
        <f>2002.5</f>
        <v>2002.5</v>
      </c>
      <c r="R22" s="34" t="s">
        <v>50</v>
      </c>
      <c r="S22" s="35" t="n">
        <f>1998.5</f>
        <v>1998.5</v>
      </c>
      <c r="T22" s="32" t="n">
        <f>10679210</f>
        <v>1.067921E7</v>
      </c>
      <c r="U22" s="32" t="n">
        <f>2879620</f>
        <v>2879620.0</v>
      </c>
      <c r="V22" s="32" t="n">
        <f>21357889939</f>
        <v>2.1357889939E10</v>
      </c>
      <c r="W22" s="32" t="n">
        <f>5763806459</f>
        <v>5.763806459E9</v>
      </c>
      <c r="X22" s="36" t="n">
        <f>22</f>
        <v>22.0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1889.5</f>
        <v>1889.5</v>
      </c>
      <c r="L23" s="34" t="s">
        <v>48</v>
      </c>
      <c r="M23" s="33" t="n">
        <f>1900.5</f>
        <v>1900.5</v>
      </c>
      <c r="N23" s="34" t="s">
        <v>102</v>
      </c>
      <c r="O23" s="33" t="n">
        <f>1861</f>
        <v>1861.0</v>
      </c>
      <c r="P23" s="34" t="s">
        <v>103</v>
      </c>
      <c r="Q23" s="33" t="n">
        <f>1892</f>
        <v>1892.0</v>
      </c>
      <c r="R23" s="34" t="s">
        <v>50</v>
      </c>
      <c r="S23" s="35" t="n">
        <f>1885</f>
        <v>1885.0</v>
      </c>
      <c r="T23" s="32" t="n">
        <f>989000</f>
        <v>989000.0</v>
      </c>
      <c r="U23" s="32" t="n">
        <f>100100</f>
        <v>100100.0</v>
      </c>
      <c r="V23" s="32" t="n">
        <f>1865204150</f>
        <v>1.86520415E9</v>
      </c>
      <c r="W23" s="32" t="n">
        <f>188490900</f>
        <v>1.884909E8</v>
      </c>
      <c r="X23" s="36" t="n">
        <f>22</f>
        <v>22.0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32100</f>
        <v>32100.0</v>
      </c>
      <c r="L24" s="34" t="s">
        <v>48</v>
      </c>
      <c r="M24" s="33" t="n">
        <f>35130</f>
        <v>35130.0</v>
      </c>
      <c r="N24" s="34" t="s">
        <v>60</v>
      </c>
      <c r="O24" s="33" t="n">
        <f>32050</f>
        <v>32050.0</v>
      </c>
      <c r="P24" s="34" t="s">
        <v>48</v>
      </c>
      <c r="Q24" s="33" t="n">
        <f>34550</f>
        <v>34550.0</v>
      </c>
      <c r="R24" s="34" t="s">
        <v>50</v>
      </c>
      <c r="S24" s="35" t="n">
        <f>34046.36</f>
        <v>34046.36</v>
      </c>
      <c r="T24" s="32" t="n">
        <f>2475953</f>
        <v>2475953.0</v>
      </c>
      <c r="U24" s="32" t="n">
        <f>1946399</f>
        <v>1946399.0</v>
      </c>
      <c r="V24" s="32" t="n">
        <f>85052598019</f>
        <v>8.5052598019E10</v>
      </c>
      <c r="W24" s="32" t="n">
        <f>67012607999</f>
        <v>6.7012607999E10</v>
      </c>
      <c r="X24" s="36" t="n">
        <f>22</f>
        <v>22.0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2225.5</f>
        <v>2225.5</v>
      </c>
      <c r="L25" s="34" t="s">
        <v>48</v>
      </c>
      <c r="M25" s="33" t="n">
        <f>2420</f>
        <v>2420.0</v>
      </c>
      <c r="N25" s="34" t="s">
        <v>49</v>
      </c>
      <c r="O25" s="33" t="n">
        <f>2224</f>
        <v>2224.0</v>
      </c>
      <c r="P25" s="34" t="s">
        <v>48</v>
      </c>
      <c r="Q25" s="33" t="n">
        <f>2394</f>
        <v>2394.0</v>
      </c>
      <c r="R25" s="34" t="s">
        <v>50</v>
      </c>
      <c r="S25" s="35" t="n">
        <f>2357.91</f>
        <v>2357.91</v>
      </c>
      <c r="T25" s="32" t="n">
        <f>6759240</f>
        <v>6759240.0</v>
      </c>
      <c r="U25" s="32" t="n">
        <f>1206460</f>
        <v>1206460.0</v>
      </c>
      <c r="V25" s="32" t="n">
        <f>15967999915</f>
        <v>1.5967999915E10</v>
      </c>
      <c r="W25" s="32" t="n">
        <f>2881050575</f>
        <v>2.881050575E9</v>
      </c>
      <c r="X25" s="36" t="n">
        <f>22</f>
        <v>22.0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15000</f>
        <v>15000.0</v>
      </c>
      <c r="L26" s="34" t="s">
        <v>48</v>
      </c>
      <c r="M26" s="33" t="n">
        <f>15435</f>
        <v>15435.0</v>
      </c>
      <c r="N26" s="34" t="s">
        <v>116</v>
      </c>
      <c r="O26" s="33" t="n">
        <f>14985</f>
        <v>14985.0</v>
      </c>
      <c r="P26" s="34" t="s">
        <v>117</v>
      </c>
      <c r="Q26" s="33" t="n">
        <f>15390</f>
        <v>15390.0</v>
      </c>
      <c r="R26" s="34" t="s">
        <v>50</v>
      </c>
      <c r="S26" s="35" t="n">
        <f>15190.25</f>
        <v>15190.25</v>
      </c>
      <c r="T26" s="32" t="n">
        <f>914</f>
        <v>914.0</v>
      </c>
      <c r="U26" s="32" t="str">
        <f>"－"</f>
        <v>－</v>
      </c>
      <c r="V26" s="32" t="n">
        <f>13844625</f>
        <v>1.3844625E7</v>
      </c>
      <c r="W26" s="32" t="str">
        <f>"－"</f>
        <v>－</v>
      </c>
      <c r="X26" s="36" t="n">
        <f>20</f>
        <v>20.0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717.4</f>
        <v>717.4</v>
      </c>
      <c r="L27" s="34" t="s">
        <v>48</v>
      </c>
      <c r="M27" s="33" t="n">
        <f>720.3</f>
        <v>720.3</v>
      </c>
      <c r="N27" s="34" t="s">
        <v>48</v>
      </c>
      <c r="O27" s="33" t="n">
        <f>602.8</f>
        <v>602.8</v>
      </c>
      <c r="P27" s="34" t="s">
        <v>49</v>
      </c>
      <c r="Q27" s="33" t="n">
        <f>615.4</f>
        <v>615.4</v>
      </c>
      <c r="R27" s="34" t="s">
        <v>50</v>
      </c>
      <c r="S27" s="35" t="n">
        <f>637.44</f>
        <v>637.44</v>
      </c>
      <c r="T27" s="32" t="n">
        <f>23957890</f>
        <v>2.395789E7</v>
      </c>
      <c r="U27" s="32" t="n">
        <f>300</f>
        <v>300.0</v>
      </c>
      <c r="V27" s="32" t="n">
        <f>15341256824</f>
        <v>1.5341256824E10</v>
      </c>
      <c r="W27" s="32" t="n">
        <f>188040</f>
        <v>188040.0</v>
      </c>
      <c r="X27" s="36" t="n">
        <f>22</f>
        <v>22.0</v>
      </c>
    </row>
    <row r="28">
      <c r="A28" s="27" t="s">
        <v>42</v>
      </c>
      <c r="B28" s="27" t="s">
        <v>121</v>
      </c>
      <c r="C28" s="27" t="s">
        <v>122</v>
      </c>
      <c r="D28" s="27" t="s">
        <v>123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266</f>
        <v>266.0</v>
      </c>
      <c r="L28" s="34" t="s">
        <v>48</v>
      </c>
      <c r="M28" s="33" t="n">
        <f>267</f>
        <v>267.0</v>
      </c>
      <c r="N28" s="34" t="s">
        <v>48</v>
      </c>
      <c r="O28" s="33" t="n">
        <f>220</f>
        <v>220.0</v>
      </c>
      <c r="P28" s="34" t="s">
        <v>70</v>
      </c>
      <c r="Q28" s="33" t="n">
        <f>227</f>
        <v>227.0</v>
      </c>
      <c r="R28" s="34" t="s">
        <v>50</v>
      </c>
      <c r="S28" s="35" t="n">
        <f>234.91</f>
        <v>234.91</v>
      </c>
      <c r="T28" s="32" t="n">
        <f>2307461390</f>
        <v>2.30746139E9</v>
      </c>
      <c r="U28" s="32" t="n">
        <f>7468103</f>
        <v>7468103.0</v>
      </c>
      <c r="V28" s="32" t="n">
        <f>543134804302</f>
        <v>5.43134804302E11</v>
      </c>
      <c r="W28" s="32" t="n">
        <f>1758219809</f>
        <v>1.758219809E9</v>
      </c>
      <c r="X28" s="36" t="n">
        <f>22</f>
        <v>22.0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33500</f>
        <v>33500.0</v>
      </c>
      <c r="L29" s="34" t="s">
        <v>48</v>
      </c>
      <c r="M29" s="33" t="n">
        <f>40010</f>
        <v>40010.0</v>
      </c>
      <c r="N29" s="34" t="s">
        <v>60</v>
      </c>
      <c r="O29" s="33" t="n">
        <f>33430</f>
        <v>33430.0</v>
      </c>
      <c r="P29" s="34" t="s">
        <v>48</v>
      </c>
      <c r="Q29" s="33" t="n">
        <f>38620</f>
        <v>38620.0</v>
      </c>
      <c r="R29" s="34" t="s">
        <v>50</v>
      </c>
      <c r="S29" s="35" t="n">
        <f>37608.18</f>
        <v>37608.18</v>
      </c>
      <c r="T29" s="32" t="n">
        <f>507207</f>
        <v>507207.0</v>
      </c>
      <c r="U29" s="32" t="str">
        <f>"－"</f>
        <v>－</v>
      </c>
      <c r="V29" s="32" t="n">
        <f>19083590210</f>
        <v>1.908359021E10</v>
      </c>
      <c r="W29" s="32" t="str">
        <f>"－"</f>
        <v>－</v>
      </c>
      <c r="X29" s="36" t="n">
        <f>22</f>
        <v>22.0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649</f>
        <v>649.0</v>
      </c>
      <c r="L30" s="34" t="s">
        <v>48</v>
      </c>
      <c r="M30" s="33" t="n">
        <f>651</f>
        <v>651.0</v>
      </c>
      <c r="N30" s="34" t="s">
        <v>48</v>
      </c>
      <c r="O30" s="33" t="n">
        <f>537.8</f>
        <v>537.8</v>
      </c>
      <c r="P30" s="34" t="s">
        <v>60</v>
      </c>
      <c r="Q30" s="33" t="n">
        <f>554.8</f>
        <v>554.8</v>
      </c>
      <c r="R30" s="34" t="s">
        <v>50</v>
      </c>
      <c r="S30" s="35" t="n">
        <f>574.34</f>
        <v>574.34</v>
      </c>
      <c r="T30" s="32" t="n">
        <f>453219650</f>
        <v>4.5321965E8</v>
      </c>
      <c r="U30" s="32" t="n">
        <f>1852920</f>
        <v>1852920.0</v>
      </c>
      <c r="V30" s="32" t="n">
        <f>261639154898</f>
        <v>2.61639154898E11</v>
      </c>
      <c r="W30" s="32" t="n">
        <f>1112575778</f>
        <v>1.112575778E9</v>
      </c>
      <c r="X30" s="36" t="n">
        <f>22</f>
        <v>22.0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19905</f>
        <v>19905.0</v>
      </c>
      <c r="L31" s="34" t="s">
        <v>48</v>
      </c>
      <c r="M31" s="33" t="n">
        <f>21660</f>
        <v>21660.0</v>
      </c>
      <c r="N31" s="34" t="s">
        <v>60</v>
      </c>
      <c r="O31" s="33" t="n">
        <f>19890</f>
        <v>19890.0</v>
      </c>
      <c r="P31" s="34" t="s">
        <v>48</v>
      </c>
      <c r="Q31" s="33" t="n">
        <f>21455</f>
        <v>21455.0</v>
      </c>
      <c r="R31" s="34" t="s">
        <v>50</v>
      </c>
      <c r="S31" s="35" t="n">
        <f>21125.68</f>
        <v>21125.68</v>
      </c>
      <c r="T31" s="32" t="n">
        <f>12563</f>
        <v>12563.0</v>
      </c>
      <c r="U31" s="32" t="str">
        <f>"－"</f>
        <v>－</v>
      </c>
      <c r="V31" s="32" t="n">
        <f>265566895</f>
        <v>2.65566895E8</v>
      </c>
      <c r="W31" s="32" t="str">
        <f>"－"</f>
        <v>－</v>
      </c>
      <c r="X31" s="36" t="n">
        <f>22</f>
        <v>22.0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27835</f>
        <v>27835.0</v>
      </c>
      <c r="L32" s="34" t="s">
        <v>48</v>
      </c>
      <c r="M32" s="33" t="n">
        <f>33280</f>
        <v>33280.0</v>
      </c>
      <c r="N32" s="34" t="s">
        <v>60</v>
      </c>
      <c r="O32" s="33" t="n">
        <f>27785</f>
        <v>27785.0</v>
      </c>
      <c r="P32" s="34" t="s">
        <v>48</v>
      </c>
      <c r="Q32" s="33" t="n">
        <f>32140</f>
        <v>32140.0</v>
      </c>
      <c r="R32" s="34" t="s">
        <v>50</v>
      </c>
      <c r="S32" s="35" t="n">
        <f>31270.91</f>
        <v>31270.91</v>
      </c>
      <c r="T32" s="32" t="n">
        <f>977580</f>
        <v>977580.0</v>
      </c>
      <c r="U32" s="32" t="n">
        <f>18</f>
        <v>18.0</v>
      </c>
      <c r="V32" s="32" t="n">
        <f>30687487730</f>
        <v>3.068748773E10</v>
      </c>
      <c r="W32" s="32" t="n">
        <f>594580</f>
        <v>594580.0</v>
      </c>
      <c r="X32" s="36" t="n">
        <f>22</f>
        <v>22.0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691</f>
        <v>691.0</v>
      </c>
      <c r="L33" s="34" t="s">
        <v>48</v>
      </c>
      <c r="M33" s="33" t="n">
        <f>693</f>
        <v>693.0</v>
      </c>
      <c r="N33" s="34" t="s">
        <v>48</v>
      </c>
      <c r="O33" s="33" t="n">
        <f>572</f>
        <v>572.0</v>
      </c>
      <c r="P33" s="34" t="s">
        <v>60</v>
      </c>
      <c r="Q33" s="33" t="n">
        <f>591</f>
        <v>591.0</v>
      </c>
      <c r="R33" s="34" t="s">
        <v>50</v>
      </c>
      <c r="S33" s="35" t="n">
        <f>611.77</f>
        <v>611.77</v>
      </c>
      <c r="T33" s="32" t="n">
        <f>47447373</f>
        <v>4.7447373E7</v>
      </c>
      <c r="U33" s="32" t="n">
        <f>357550</f>
        <v>357550.0</v>
      </c>
      <c r="V33" s="32" t="n">
        <f>28955364341</f>
        <v>2.8955364341E10</v>
      </c>
      <c r="W33" s="32" t="n">
        <f>217825050</f>
        <v>2.1782505E8</v>
      </c>
      <c r="X33" s="36" t="n">
        <f>22</f>
        <v>22.0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22850</f>
        <v>22850.0</v>
      </c>
      <c r="L34" s="34" t="s">
        <v>48</v>
      </c>
      <c r="M34" s="33" t="n">
        <f>26925</f>
        <v>26925.0</v>
      </c>
      <c r="N34" s="34" t="s">
        <v>49</v>
      </c>
      <c r="O34" s="33" t="n">
        <f>22785</f>
        <v>22785.0</v>
      </c>
      <c r="P34" s="34" t="s">
        <v>48</v>
      </c>
      <c r="Q34" s="33" t="n">
        <f>26335</f>
        <v>26335.0</v>
      </c>
      <c r="R34" s="34" t="s">
        <v>50</v>
      </c>
      <c r="S34" s="35" t="n">
        <f>25601.59</f>
        <v>25601.59</v>
      </c>
      <c r="T34" s="32" t="n">
        <f>633084</f>
        <v>633084.0</v>
      </c>
      <c r="U34" s="32" t="n">
        <f>4</f>
        <v>4.0</v>
      </c>
      <c r="V34" s="32" t="n">
        <f>16232236125</f>
        <v>1.6232236125E10</v>
      </c>
      <c r="W34" s="32" t="n">
        <f>100900</f>
        <v>100900.0</v>
      </c>
      <c r="X34" s="36" t="n">
        <f>22</f>
        <v>22.0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1043</f>
        <v>1043.0</v>
      </c>
      <c r="L35" s="34" t="s">
        <v>48</v>
      </c>
      <c r="M35" s="33" t="n">
        <f>1045</f>
        <v>1045.0</v>
      </c>
      <c r="N35" s="34" t="s">
        <v>48</v>
      </c>
      <c r="O35" s="33" t="n">
        <f>874</f>
        <v>874.0</v>
      </c>
      <c r="P35" s="34" t="s">
        <v>49</v>
      </c>
      <c r="Q35" s="33" t="n">
        <f>894</f>
        <v>894.0</v>
      </c>
      <c r="R35" s="34" t="s">
        <v>50</v>
      </c>
      <c r="S35" s="35" t="n">
        <f>925.82</f>
        <v>925.82</v>
      </c>
      <c r="T35" s="32" t="n">
        <f>3279561</f>
        <v>3279561.0</v>
      </c>
      <c r="U35" s="32" t="str">
        <f>"－"</f>
        <v>－</v>
      </c>
      <c r="V35" s="32" t="n">
        <f>3033699426</f>
        <v>3.033699426E9</v>
      </c>
      <c r="W35" s="32" t="str">
        <f>"－"</f>
        <v>－</v>
      </c>
      <c r="X35" s="36" t="n">
        <f>22</f>
        <v>22.0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31180</f>
        <v>31180.0</v>
      </c>
      <c r="L36" s="34" t="s">
        <v>48</v>
      </c>
      <c r="M36" s="33" t="n">
        <f>34140</f>
        <v>34140.0</v>
      </c>
      <c r="N36" s="34" t="s">
        <v>60</v>
      </c>
      <c r="O36" s="33" t="n">
        <f>31180</f>
        <v>31180.0</v>
      </c>
      <c r="P36" s="34" t="s">
        <v>48</v>
      </c>
      <c r="Q36" s="33" t="n">
        <f>33520</f>
        <v>33520.0</v>
      </c>
      <c r="R36" s="34" t="s">
        <v>50</v>
      </c>
      <c r="S36" s="35" t="n">
        <f>33070.45</f>
        <v>33070.45</v>
      </c>
      <c r="T36" s="32" t="n">
        <f>194103</f>
        <v>194103.0</v>
      </c>
      <c r="U36" s="32" t="n">
        <f>45702</f>
        <v>45702.0</v>
      </c>
      <c r="V36" s="32" t="n">
        <f>6359544835</f>
        <v>6.359544835E9</v>
      </c>
      <c r="W36" s="32" t="n">
        <f>1498357995</f>
        <v>1.498357995E9</v>
      </c>
      <c r="X36" s="36" t="n">
        <f>22</f>
        <v>22.0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 t="s">
        <v>151</v>
      </c>
      <c r="I37" s="31"/>
      <c r="J37" s="32" t="n">
        <v>1.0</v>
      </c>
      <c r="K37" s="33" t="n">
        <f>6220</f>
        <v>6220.0</v>
      </c>
      <c r="L37" s="34" t="s">
        <v>48</v>
      </c>
      <c r="M37" s="33" t="n">
        <f>6710</f>
        <v>6710.0</v>
      </c>
      <c r="N37" s="34" t="s">
        <v>49</v>
      </c>
      <c r="O37" s="33" t="n">
        <f>6200</f>
        <v>6200.0</v>
      </c>
      <c r="P37" s="34" t="s">
        <v>48</v>
      </c>
      <c r="Q37" s="33" t="n">
        <f>6670</f>
        <v>6670.0</v>
      </c>
      <c r="R37" s="34" t="s">
        <v>50</v>
      </c>
      <c r="S37" s="35" t="n">
        <f>6460.45</f>
        <v>6460.45</v>
      </c>
      <c r="T37" s="32" t="n">
        <f>34828</f>
        <v>34828.0</v>
      </c>
      <c r="U37" s="32" t="n">
        <f>2</f>
        <v>2.0</v>
      </c>
      <c r="V37" s="32" t="n">
        <f>227383870</f>
        <v>2.2738387E8</v>
      </c>
      <c r="W37" s="32" t="n">
        <f>13060</f>
        <v>13060.0</v>
      </c>
      <c r="X37" s="36" t="n">
        <f>22</f>
        <v>22.0</v>
      </c>
    </row>
    <row r="38">
      <c r="A38" s="27" t="s">
        <v>42</v>
      </c>
      <c r="B38" s="27" t="s">
        <v>152</v>
      </c>
      <c r="C38" s="27" t="s">
        <v>153</v>
      </c>
      <c r="D38" s="27" t="s">
        <v>154</v>
      </c>
      <c r="E38" s="28" t="s">
        <v>46</v>
      </c>
      <c r="F38" s="29" t="s">
        <v>46</v>
      </c>
      <c r="G38" s="30" t="s">
        <v>46</v>
      </c>
      <c r="H38" s="31" t="s">
        <v>151</v>
      </c>
      <c r="I38" s="31"/>
      <c r="J38" s="32" t="n">
        <v>1.0</v>
      </c>
      <c r="K38" s="33" t="n">
        <f>10825</f>
        <v>10825.0</v>
      </c>
      <c r="L38" s="34" t="s">
        <v>48</v>
      </c>
      <c r="M38" s="33" t="n">
        <f>11545</f>
        <v>11545.0</v>
      </c>
      <c r="N38" s="34" t="s">
        <v>155</v>
      </c>
      <c r="O38" s="33" t="n">
        <f>10700</f>
        <v>10700.0</v>
      </c>
      <c r="P38" s="34" t="s">
        <v>48</v>
      </c>
      <c r="Q38" s="33" t="n">
        <f>11420</f>
        <v>11420.0</v>
      </c>
      <c r="R38" s="34" t="s">
        <v>50</v>
      </c>
      <c r="S38" s="35" t="n">
        <f>11191.14</f>
        <v>11191.14</v>
      </c>
      <c r="T38" s="32" t="n">
        <f>7942</f>
        <v>7942.0</v>
      </c>
      <c r="U38" s="32" t="n">
        <f>2</f>
        <v>2.0</v>
      </c>
      <c r="V38" s="32" t="n">
        <f>89282260</f>
        <v>8.928226E7</v>
      </c>
      <c r="W38" s="32" t="n">
        <f>22430</f>
        <v>22430.0</v>
      </c>
      <c r="X38" s="36" t="n">
        <f>22</f>
        <v>22.0</v>
      </c>
    </row>
    <row r="39">
      <c r="A39" s="27" t="s">
        <v>42</v>
      </c>
      <c r="B39" s="27" t="s">
        <v>156</v>
      </c>
      <c r="C39" s="27" t="s">
        <v>157</v>
      </c>
      <c r="D39" s="27" t="s">
        <v>158</v>
      </c>
      <c r="E39" s="28" t="s">
        <v>46</v>
      </c>
      <c r="F39" s="29" t="s">
        <v>46</v>
      </c>
      <c r="G39" s="30" t="s">
        <v>46</v>
      </c>
      <c r="H39" s="31" t="s">
        <v>151</v>
      </c>
      <c r="I39" s="31"/>
      <c r="J39" s="32" t="n">
        <v>1.0</v>
      </c>
      <c r="K39" s="33" t="n">
        <f>20475</f>
        <v>20475.0</v>
      </c>
      <c r="L39" s="34" t="s">
        <v>48</v>
      </c>
      <c r="M39" s="33" t="n">
        <f>22310</f>
        <v>22310.0</v>
      </c>
      <c r="N39" s="34" t="s">
        <v>49</v>
      </c>
      <c r="O39" s="33" t="n">
        <f>20475</f>
        <v>20475.0</v>
      </c>
      <c r="P39" s="34" t="s">
        <v>48</v>
      </c>
      <c r="Q39" s="33" t="n">
        <f>22280</f>
        <v>22280.0</v>
      </c>
      <c r="R39" s="34" t="s">
        <v>50</v>
      </c>
      <c r="S39" s="35" t="n">
        <f>21559.5</f>
        <v>21559.5</v>
      </c>
      <c r="T39" s="32" t="n">
        <f>935</f>
        <v>935.0</v>
      </c>
      <c r="U39" s="32" t="n">
        <f>1</f>
        <v>1.0</v>
      </c>
      <c r="V39" s="32" t="n">
        <f>20239665</f>
        <v>2.0239665E7</v>
      </c>
      <c r="W39" s="32" t="n">
        <f>21680</f>
        <v>21680.0</v>
      </c>
      <c r="X39" s="36" t="n">
        <f>20</f>
        <v>20.0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 t="s">
        <v>151</v>
      </c>
      <c r="I40" s="31"/>
      <c r="J40" s="32" t="n">
        <v>1.0</v>
      </c>
      <c r="K40" s="33" t="n">
        <f>16280</f>
        <v>16280.0</v>
      </c>
      <c r="L40" s="34" t="s">
        <v>117</v>
      </c>
      <c r="M40" s="33" t="n">
        <f>17250</f>
        <v>17250.0</v>
      </c>
      <c r="N40" s="34" t="s">
        <v>65</v>
      </c>
      <c r="O40" s="33" t="n">
        <f>16165</f>
        <v>16165.0</v>
      </c>
      <c r="P40" s="34" t="s">
        <v>117</v>
      </c>
      <c r="Q40" s="33" t="n">
        <f>17205</f>
        <v>17205.0</v>
      </c>
      <c r="R40" s="34" t="s">
        <v>50</v>
      </c>
      <c r="S40" s="35" t="n">
        <f>16901.67</f>
        <v>16901.67</v>
      </c>
      <c r="T40" s="32" t="n">
        <f>427</f>
        <v>427.0</v>
      </c>
      <c r="U40" s="32" t="str">
        <f>"－"</f>
        <v>－</v>
      </c>
      <c r="V40" s="32" t="n">
        <f>7120310</f>
        <v>7120310.0</v>
      </c>
      <c r="W40" s="32" t="str">
        <f>"－"</f>
        <v>－</v>
      </c>
      <c r="X40" s="36" t="n">
        <f>18</f>
        <v>18.0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 t="s">
        <v>151</v>
      </c>
      <c r="I41" s="31"/>
      <c r="J41" s="32" t="n">
        <v>1.0</v>
      </c>
      <c r="K41" s="33" t="n">
        <f>11610</f>
        <v>11610.0</v>
      </c>
      <c r="L41" s="34" t="s">
        <v>48</v>
      </c>
      <c r="M41" s="33" t="n">
        <f>12400</f>
        <v>12400.0</v>
      </c>
      <c r="N41" s="34" t="s">
        <v>116</v>
      </c>
      <c r="O41" s="33" t="n">
        <f>11505</f>
        <v>11505.0</v>
      </c>
      <c r="P41" s="34" t="s">
        <v>48</v>
      </c>
      <c r="Q41" s="33" t="n">
        <f>12190</f>
        <v>12190.0</v>
      </c>
      <c r="R41" s="34" t="s">
        <v>50</v>
      </c>
      <c r="S41" s="35" t="n">
        <f>11991.82</f>
        <v>11991.82</v>
      </c>
      <c r="T41" s="32" t="n">
        <f>2258</f>
        <v>2258.0</v>
      </c>
      <c r="U41" s="32" t="str">
        <f>"－"</f>
        <v>－</v>
      </c>
      <c r="V41" s="32" t="n">
        <f>27000825</f>
        <v>2.7000825E7</v>
      </c>
      <c r="W41" s="32" t="str">
        <f>"－"</f>
        <v>－</v>
      </c>
      <c r="X41" s="36" t="n">
        <f>22</f>
        <v>22.0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 t="s">
        <v>151</v>
      </c>
      <c r="I42" s="31"/>
      <c r="J42" s="32" t="n">
        <v>1.0</v>
      </c>
      <c r="K42" s="33" t="n">
        <f>5460</f>
        <v>5460.0</v>
      </c>
      <c r="L42" s="34" t="s">
        <v>48</v>
      </c>
      <c r="M42" s="33" t="n">
        <f>5870</f>
        <v>5870.0</v>
      </c>
      <c r="N42" s="34" t="s">
        <v>60</v>
      </c>
      <c r="O42" s="33" t="n">
        <f>5310</f>
        <v>5310.0</v>
      </c>
      <c r="P42" s="34" t="s">
        <v>48</v>
      </c>
      <c r="Q42" s="33" t="n">
        <f>5760</f>
        <v>5760.0</v>
      </c>
      <c r="R42" s="34" t="s">
        <v>50</v>
      </c>
      <c r="S42" s="35" t="n">
        <f>5652.73</f>
        <v>5652.73</v>
      </c>
      <c r="T42" s="32" t="n">
        <f>10030</f>
        <v>10030.0</v>
      </c>
      <c r="U42" s="32" t="n">
        <f>1</f>
        <v>1.0</v>
      </c>
      <c r="V42" s="32" t="n">
        <f>56810280</f>
        <v>5.681028E7</v>
      </c>
      <c r="W42" s="32" t="n">
        <f>5720</f>
        <v>5720.0</v>
      </c>
      <c r="X42" s="36" t="n">
        <f>22</f>
        <v>22.0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 t="s">
        <v>151</v>
      </c>
      <c r="I43" s="31"/>
      <c r="J43" s="32" t="n">
        <v>1.0</v>
      </c>
      <c r="K43" s="33" t="n">
        <f>3145</f>
        <v>3145.0</v>
      </c>
      <c r="L43" s="34" t="s">
        <v>48</v>
      </c>
      <c r="M43" s="33" t="n">
        <f>3295</f>
        <v>3295.0</v>
      </c>
      <c r="N43" s="34" t="s">
        <v>102</v>
      </c>
      <c r="O43" s="33" t="n">
        <f>3140</f>
        <v>3140.0</v>
      </c>
      <c r="P43" s="34" t="s">
        <v>48</v>
      </c>
      <c r="Q43" s="33" t="n">
        <f>3280</f>
        <v>3280.0</v>
      </c>
      <c r="R43" s="34" t="s">
        <v>50</v>
      </c>
      <c r="S43" s="35" t="n">
        <f>3224.55</f>
        <v>3224.55</v>
      </c>
      <c r="T43" s="32" t="n">
        <f>14938</f>
        <v>14938.0</v>
      </c>
      <c r="U43" s="32" t="n">
        <f>2</f>
        <v>2.0</v>
      </c>
      <c r="V43" s="32" t="n">
        <f>48207460</f>
        <v>4.820746E7</v>
      </c>
      <c r="W43" s="32" t="n">
        <f>6420</f>
        <v>6420.0</v>
      </c>
      <c r="X43" s="36" t="n">
        <f>22</f>
        <v>22.0</v>
      </c>
    </row>
    <row r="44">
      <c r="A44" s="27" t="s">
        <v>42</v>
      </c>
      <c r="B44" s="27" t="s">
        <v>171</v>
      </c>
      <c r="C44" s="27" t="s">
        <v>172</v>
      </c>
      <c r="D44" s="27" t="s">
        <v>173</v>
      </c>
      <c r="E44" s="28" t="s">
        <v>46</v>
      </c>
      <c r="F44" s="29" t="s">
        <v>46</v>
      </c>
      <c r="G44" s="30" t="s">
        <v>46</v>
      </c>
      <c r="H44" s="31" t="s">
        <v>151</v>
      </c>
      <c r="I44" s="31"/>
      <c r="J44" s="32" t="n">
        <v>1.0</v>
      </c>
      <c r="K44" s="33" t="n">
        <f>3145</f>
        <v>3145.0</v>
      </c>
      <c r="L44" s="34" t="s">
        <v>48</v>
      </c>
      <c r="M44" s="33" t="n">
        <f>3375</f>
        <v>3375.0</v>
      </c>
      <c r="N44" s="34" t="s">
        <v>60</v>
      </c>
      <c r="O44" s="33" t="n">
        <f>3140</f>
        <v>3140.0</v>
      </c>
      <c r="P44" s="34" t="s">
        <v>48</v>
      </c>
      <c r="Q44" s="33" t="n">
        <f>3315</f>
        <v>3315.0</v>
      </c>
      <c r="R44" s="34" t="s">
        <v>50</v>
      </c>
      <c r="S44" s="35" t="n">
        <f>3285.91</f>
        <v>3285.91</v>
      </c>
      <c r="T44" s="32" t="n">
        <f>5047</f>
        <v>5047.0</v>
      </c>
      <c r="U44" s="32" t="n">
        <f>1</f>
        <v>1.0</v>
      </c>
      <c r="V44" s="32" t="n">
        <f>16619900</f>
        <v>1.66199E7</v>
      </c>
      <c r="W44" s="32" t="n">
        <f>3330</f>
        <v>3330.0</v>
      </c>
      <c r="X44" s="36" t="n">
        <f>22</f>
        <v>22.0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 t="s">
        <v>151</v>
      </c>
      <c r="I45" s="31"/>
      <c r="J45" s="32" t="n">
        <v>1.0</v>
      </c>
      <c r="K45" s="33" t="n">
        <f>54310</f>
        <v>54310.0</v>
      </c>
      <c r="L45" s="34" t="s">
        <v>48</v>
      </c>
      <c r="M45" s="33" t="n">
        <f>58500</f>
        <v>58500.0</v>
      </c>
      <c r="N45" s="34" t="s">
        <v>50</v>
      </c>
      <c r="O45" s="33" t="n">
        <f>53300</f>
        <v>53300.0</v>
      </c>
      <c r="P45" s="34" t="s">
        <v>48</v>
      </c>
      <c r="Q45" s="33" t="n">
        <f>58500</f>
        <v>58500.0</v>
      </c>
      <c r="R45" s="34" t="s">
        <v>50</v>
      </c>
      <c r="S45" s="35" t="n">
        <f>56218.64</f>
        <v>56218.64</v>
      </c>
      <c r="T45" s="32" t="n">
        <f>2559</f>
        <v>2559.0</v>
      </c>
      <c r="U45" s="32" t="str">
        <f>"－"</f>
        <v>－</v>
      </c>
      <c r="V45" s="32" t="n">
        <f>143091590</f>
        <v>1.4309159E8</v>
      </c>
      <c r="W45" s="32" t="str">
        <f>"－"</f>
        <v>－</v>
      </c>
      <c r="X45" s="36" t="n">
        <f>22</f>
        <v>22.0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 t="s">
        <v>151</v>
      </c>
      <c r="I46" s="31"/>
      <c r="J46" s="32" t="n">
        <v>1.0</v>
      </c>
      <c r="K46" s="33" t="n">
        <f>37660</f>
        <v>37660.0</v>
      </c>
      <c r="L46" s="34" t="s">
        <v>48</v>
      </c>
      <c r="M46" s="33" t="n">
        <f>40870</f>
        <v>40870.0</v>
      </c>
      <c r="N46" s="34" t="s">
        <v>60</v>
      </c>
      <c r="O46" s="33" t="n">
        <f>37530</f>
        <v>37530.0</v>
      </c>
      <c r="P46" s="34" t="s">
        <v>48</v>
      </c>
      <c r="Q46" s="33" t="n">
        <f>40830</f>
        <v>40830.0</v>
      </c>
      <c r="R46" s="34" t="s">
        <v>50</v>
      </c>
      <c r="S46" s="35" t="n">
        <f>39646.25</f>
        <v>39646.25</v>
      </c>
      <c r="T46" s="32" t="n">
        <f>1065</f>
        <v>1065.0</v>
      </c>
      <c r="U46" s="32" t="str">
        <f>"－"</f>
        <v>－</v>
      </c>
      <c r="V46" s="32" t="n">
        <f>41521310</f>
        <v>4.152131E7</v>
      </c>
      <c r="W46" s="32" t="str">
        <f>"－"</f>
        <v>－</v>
      </c>
      <c r="X46" s="36" t="n">
        <f>16</f>
        <v>16.0</v>
      </c>
    </row>
    <row r="47">
      <c r="A47" s="27" t="s">
        <v>42</v>
      </c>
      <c r="B47" s="27" t="s">
        <v>180</v>
      </c>
      <c r="C47" s="27" t="s">
        <v>181</v>
      </c>
      <c r="D47" s="27" t="s">
        <v>182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31170</f>
        <v>31170.0</v>
      </c>
      <c r="L47" s="34" t="s">
        <v>48</v>
      </c>
      <c r="M47" s="33" t="n">
        <f>34080</f>
        <v>34080.0</v>
      </c>
      <c r="N47" s="34" t="s">
        <v>65</v>
      </c>
      <c r="O47" s="33" t="n">
        <f>31170</f>
        <v>31170.0</v>
      </c>
      <c r="P47" s="34" t="s">
        <v>48</v>
      </c>
      <c r="Q47" s="33" t="n">
        <f>33530</f>
        <v>33530.0</v>
      </c>
      <c r="R47" s="34" t="s">
        <v>50</v>
      </c>
      <c r="S47" s="35" t="n">
        <f>33118.57</f>
        <v>33118.57</v>
      </c>
      <c r="T47" s="32" t="n">
        <f>1275818</f>
        <v>1275818.0</v>
      </c>
      <c r="U47" s="32" t="n">
        <f>1215302</f>
        <v>1215302.0</v>
      </c>
      <c r="V47" s="32" t="n">
        <f>43044281711</f>
        <v>4.3044281711E10</v>
      </c>
      <c r="W47" s="32" t="n">
        <f>41054615911</f>
        <v>4.1054615911E10</v>
      </c>
      <c r="X47" s="36" t="n">
        <f>21</f>
        <v>21.0</v>
      </c>
    </row>
    <row r="48">
      <c r="A48" s="27" t="s">
        <v>42</v>
      </c>
      <c r="B48" s="27" t="s">
        <v>183</v>
      </c>
      <c r="C48" s="27" t="s">
        <v>184</v>
      </c>
      <c r="D48" s="27" t="s">
        <v>185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1918</f>
        <v>1918.0</v>
      </c>
      <c r="L48" s="34" t="s">
        <v>48</v>
      </c>
      <c r="M48" s="33" t="n">
        <f>1923</f>
        <v>1923.0</v>
      </c>
      <c r="N48" s="34" t="s">
        <v>186</v>
      </c>
      <c r="O48" s="33" t="n">
        <f>1875</f>
        <v>1875.0</v>
      </c>
      <c r="P48" s="34" t="s">
        <v>103</v>
      </c>
      <c r="Q48" s="33" t="n">
        <f>1904.5</f>
        <v>1904.5</v>
      </c>
      <c r="R48" s="34" t="s">
        <v>50</v>
      </c>
      <c r="S48" s="35" t="n">
        <f>1902.07</f>
        <v>1902.07</v>
      </c>
      <c r="T48" s="32" t="n">
        <f>3500020</f>
        <v>3500020.0</v>
      </c>
      <c r="U48" s="32" t="n">
        <f>307900</f>
        <v>307900.0</v>
      </c>
      <c r="V48" s="32" t="n">
        <f>6660941123</f>
        <v>6.660941123E9</v>
      </c>
      <c r="W48" s="32" t="n">
        <f>587578923</f>
        <v>5.87578923E8</v>
      </c>
      <c r="X48" s="36" t="n">
        <f>22</f>
        <v>22.0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1746</f>
        <v>1746.0</v>
      </c>
      <c r="L49" s="34" t="s">
        <v>48</v>
      </c>
      <c r="M49" s="33" t="n">
        <f>1881.5</f>
        <v>1881.5</v>
      </c>
      <c r="N49" s="34" t="s">
        <v>49</v>
      </c>
      <c r="O49" s="33" t="n">
        <f>1746</f>
        <v>1746.0</v>
      </c>
      <c r="P49" s="34" t="s">
        <v>48</v>
      </c>
      <c r="Q49" s="33" t="n">
        <f>1865</f>
        <v>1865.0</v>
      </c>
      <c r="R49" s="34" t="s">
        <v>50</v>
      </c>
      <c r="S49" s="35" t="n">
        <f>1830.45</f>
        <v>1830.45</v>
      </c>
      <c r="T49" s="32" t="n">
        <f>15470</f>
        <v>15470.0</v>
      </c>
      <c r="U49" s="32" t="str">
        <f>"－"</f>
        <v>－</v>
      </c>
      <c r="V49" s="32" t="n">
        <f>28211230</f>
        <v>2.821123E7</v>
      </c>
      <c r="W49" s="32" t="str">
        <f>"－"</f>
        <v>－</v>
      </c>
      <c r="X49" s="36" t="n">
        <f>22</f>
        <v>22.0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3570</f>
        <v>3570.0</v>
      </c>
      <c r="L50" s="34" t="s">
        <v>48</v>
      </c>
      <c r="M50" s="33" t="n">
        <f>3575</f>
        <v>3575.0</v>
      </c>
      <c r="N50" s="34" t="s">
        <v>48</v>
      </c>
      <c r="O50" s="33" t="n">
        <f>3255</f>
        <v>3255.0</v>
      </c>
      <c r="P50" s="34" t="s">
        <v>65</v>
      </c>
      <c r="Q50" s="33" t="n">
        <f>3305</f>
        <v>3305.0</v>
      </c>
      <c r="R50" s="34" t="s">
        <v>50</v>
      </c>
      <c r="S50" s="35" t="n">
        <f>3359.55</f>
        <v>3359.55</v>
      </c>
      <c r="T50" s="32" t="n">
        <f>2261637</f>
        <v>2261637.0</v>
      </c>
      <c r="U50" s="32" t="n">
        <f>917000</f>
        <v>917000.0</v>
      </c>
      <c r="V50" s="32" t="n">
        <f>7666001870</f>
        <v>7.66600187E9</v>
      </c>
      <c r="W50" s="32" t="n">
        <f>3073427200</f>
        <v>3.0734272E9</v>
      </c>
      <c r="X50" s="36" t="n">
        <f>22</f>
        <v>22.0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4290</f>
        <v>4290.0</v>
      </c>
      <c r="L51" s="34" t="s">
        <v>48</v>
      </c>
      <c r="M51" s="33" t="n">
        <f>4295</f>
        <v>4295.0</v>
      </c>
      <c r="N51" s="34" t="s">
        <v>48</v>
      </c>
      <c r="O51" s="33" t="n">
        <f>3940</f>
        <v>3940.0</v>
      </c>
      <c r="P51" s="34" t="s">
        <v>49</v>
      </c>
      <c r="Q51" s="33" t="n">
        <f>3985</f>
        <v>3985.0</v>
      </c>
      <c r="R51" s="34" t="s">
        <v>50</v>
      </c>
      <c r="S51" s="35" t="n">
        <f>4048.64</f>
        <v>4048.64</v>
      </c>
      <c r="T51" s="32" t="n">
        <f>95729</f>
        <v>95729.0</v>
      </c>
      <c r="U51" s="32" t="n">
        <f>40000</f>
        <v>40000.0</v>
      </c>
      <c r="V51" s="32" t="n">
        <f>384969630</f>
        <v>3.8496963E8</v>
      </c>
      <c r="W51" s="32" t="n">
        <f>159084000</f>
        <v>1.59084E8</v>
      </c>
      <c r="X51" s="36" t="n">
        <f>22</f>
        <v>22.0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21200</f>
        <v>21200.0</v>
      </c>
      <c r="L52" s="34" t="s">
        <v>48</v>
      </c>
      <c r="M52" s="33" t="n">
        <f>25350</f>
        <v>25350.0</v>
      </c>
      <c r="N52" s="34" t="s">
        <v>60</v>
      </c>
      <c r="O52" s="33" t="n">
        <f>21150</f>
        <v>21150.0</v>
      </c>
      <c r="P52" s="34" t="s">
        <v>48</v>
      </c>
      <c r="Q52" s="33" t="n">
        <f>24490</f>
        <v>24490.0</v>
      </c>
      <c r="R52" s="34" t="s">
        <v>50</v>
      </c>
      <c r="S52" s="35" t="n">
        <f>23820.23</f>
        <v>23820.23</v>
      </c>
      <c r="T52" s="32" t="n">
        <f>12610267</f>
        <v>1.2610267E7</v>
      </c>
      <c r="U52" s="32" t="n">
        <f>20303</f>
        <v>20303.0</v>
      </c>
      <c r="V52" s="32" t="n">
        <f>299341754200</f>
        <v>2.993417542E11</v>
      </c>
      <c r="W52" s="32" t="n">
        <f>510708905</f>
        <v>5.10708905E8</v>
      </c>
      <c r="X52" s="36" t="n">
        <f>22</f>
        <v>22.0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1069</f>
        <v>1069.0</v>
      </c>
      <c r="L53" s="34" t="s">
        <v>48</v>
      </c>
      <c r="M53" s="33" t="n">
        <f>1072</f>
        <v>1072.0</v>
      </c>
      <c r="N53" s="34" t="s">
        <v>48</v>
      </c>
      <c r="O53" s="33" t="n">
        <f>885</f>
        <v>885.0</v>
      </c>
      <c r="P53" s="34" t="s">
        <v>60</v>
      </c>
      <c r="Q53" s="33" t="n">
        <f>913</f>
        <v>913.0</v>
      </c>
      <c r="R53" s="34" t="s">
        <v>50</v>
      </c>
      <c r="S53" s="35" t="n">
        <f>945.41</f>
        <v>945.41</v>
      </c>
      <c r="T53" s="32" t="n">
        <f>338561934</f>
        <v>3.38561934E8</v>
      </c>
      <c r="U53" s="32" t="n">
        <f>500447</f>
        <v>500447.0</v>
      </c>
      <c r="V53" s="32" t="n">
        <f>319657703227</f>
        <v>3.19657703227E11</v>
      </c>
      <c r="W53" s="32" t="n">
        <f>491478159</f>
        <v>4.91478159E8</v>
      </c>
      <c r="X53" s="36" t="n">
        <f>22</f>
        <v>22.0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18435</f>
        <v>18435.0</v>
      </c>
      <c r="L54" s="34" t="s">
        <v>48</v>
      </c>
      <c r="M54" s="33" t="n">
        <f>22500</f>
        <v>22500.0</v>
      </c>
      <c r="N54" s="34" t="s">
        <v>65</v>
      </c>
      <c r="O54" s="33" t="n">
        <f>18435</f>
        <v>18435.0</v>
      </c>
      <c r="P54" s="34" t="s">
        <v>48</v>
      </c>
      <c r="Q54" s="33" t="n">
        <f>21155</f>
        <v>21155.0</v>
      </c>
      <c r="R54" s="34" t="s">
        <v>50</v>
      </c>
      <c r="S54" s="35" t="n">
        <f>20713.86</f>
        <v>20713.86</v>
      </c>
      <c r="T54" s="32" t="n">
        <f>5877</f>
        <v>5877.0</v>
      </c>
      <c r="U54" s="32" t="str">
        <f>"－"</f>
        <v>－</v>
      </c>
      <c r="V54" s="32" t="n">
        <f>122510485</f>
        <v>1.22510485E8</v>
      </c>
      <c r="W54" s="32" t="str">
        <f>"－"</f>
        <v>－</v>
      </c>
      <c r="X54" s="36" t="n">
        <f>22</f>
        <v>22.0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3985</f>
        <v>3985.0</v>
      </c>
      <c r="L55" s="34" t="s">
        <v>186</v>
      </c>
      <c r="M55" s="33" t="n">
        <f>4030</f>
        <v>4030.0</v>
      </c>
      <c r="N55" s="34" t="s">
        <v>208</v>
      </c>
      <c r="O55" s="33" t="n">
        <f>3745</f>
        <v>3745.0</v>
      </c>
      <c r="P55" s="34" t="s">
        <v>70</v>
      </c>
      <c r="Q55" s="33" t="n">
        <f>3850</f>
        <v>3850.0</v>
      </c>
      <c r="R55" s="34" t="s">
        <v>50</v>
      </c>
      <c r="S55" s="35" t="n">
        <f>3871.18</f>
        <v>3871.18</v>
      </c>
      <c r="T55" s="32" t="n">
        <f>3389</f>
        <v>3389.0</v>
      </c>
      <c r="U55" s="32" t="str">
        <f>"－"</f>
        <v>－</v>
      </c>
      <c r="V55" s="32" t="n">
        <f>13053855</f>
        <v>1.3053855E7</v>
      </c>
      <c r="W55" s="32" t="str">
        <f>"－"</f>
        <v>－</v>
      </c>
      <c r="X55" s="36" t="n">
        <f>17</f>
        <v>17.0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1320</f>
        <v>1320.0</v>
      </c>
      <c r="L56" s="34" t="s">
        <v>48</v>
      </c>
      <c r="M56" s="33" t="n">
        <f>1320</f>
        <v>1320.0</v>
      </c>
      <c r="N56" s="34" t="s">
        <v>48</v>
      </c>
      <c r="O56" s="33" t="n">
        <f>1111</f>
        <v>1111.0</v>
      </c>
      <c r="P56" s="34" t="s">
        <v>212</v>
      </c>
      <c r="Q56" s="33" t="n">
        <f>1140</f>
        <v>1140.0</v>
      </c>
      <c r="R56" s="34" t="s">
        <v>50</v>
      </c>
      <c r="S56" s="35" t="n">
        <f>1170.64</f>
        <v>1170.64</v>
      </c>
      <c r="T56" s="32" t="n">
        <f>66176</f>
        <v>66176.0</v>
      </c>
      <c r="U56" s="32" t="str">
        <f>"－"</f>
        <v>－</v>
      </c>
      <c r="V56" s="32" t="n">
        <f>77802343</f>
        <v>7.7802343E7</v>
      </c>
      <c r="W56" s="32" t="str">
        <f>"－"</f>
        <v>－</v>
      </c>
      <c r="X56" s="36" t="n">
        <f>22</f>
        <v>22.0</v>
      </c>
    </row>
    <row r="57">
      <c r="A57" s="27" t="s">
        <v>42</v>
      </c>
      <c r="B57" s="27" t="s">
        <v>213</v>
      </c>
      <c r="C57" s="27" t="s">
        <v>214</v>
      </c>
      <c r="D57" s="27" t="s">
        <v>215</v>
      </c>
      <c r="E57" s="28" t="s">
        <v>216</v>
      </c>
      <c r="F57" s="29" t="s">
        <v>217</v>
      </c>
      <c r="G57" s="30" t="s">
        <v>218</v>
      </c>
      <c r="H57" s="31" t="s">
        <v>151</v>
      </c>
      <c r="I57" s="31"/>
      <c r="J57" s="32" t="n">
        <v>10.0</v>
      </c>
      <c r="K57" s="33" t="n">
        <f>17450</f>
        <v>17450.0</v>
      </c>
      <c r="L57" s="34" t="s">
        <v>48</v>
      </c>
      <c r="M57" s="33" t="n">
        <f>19000</f>
        <v>19000.0</v>
      </c>
      <c r="N57" s="34" t="s">
        <v>61</v>
      </c>
      <c r="O57" s="33" t="n">
        <f>17180</f>
        <v>17180.0</v>
      </c>
      <c r="P57" s="34" t="s">
        <v>117</v>
      </c>
      <c r="Q57" s="33" t="n">
        <f>17915</f>
        <v>17915.0</v>
      </c>
      <c r="R57" s="34" t="s">
        <v>208</v>
      </c>
      <c r="S57" s="35" t="n">
        <f>18126.67</f>
        <v>18126.67</v>
      </c>
      <c r="T57" s="32" t="n">
        <f>1400</f>
        <v>1400.0</v>
      </c>
      <c r="U57" s="32" t="str">
        <f>"－"</f>
        <v>－</v>
      </c>
      <c r="V57" s="32" t="n">
        <f>25239150</f>
        <v>2.523915E7</v>
      </c>
      <c r="W57" s="32" t="str">
        <f>"－"</f>
        <v>－</v>
      </c>
      <c r="X57" s="36" t="n">
        <f>6</f>
        <v>6.0</v>
      </c>
    </row>
    <row r="58">
      <c r="A58" s="27" t="s">
        <v>42</v>
      </c>
      <c r="B58" s="27" t="s">
        <v>219</v>
      </c>
      <c r="C58" s="27" t="s">
        <v>220</v>
      </c>
      <c r="D58" s="27" t="s">
        <v>221</v>
      </c>
      <c r="E58" s="28" t="s">
        <v>216</v>
      </c>
      <c r="F58" s="29" t="s">
        <v>217</v>
      </c>
      <c r="G58" s="30" t="s">
        <v>218</v>
      </c>
      <c r="H58" s="31" t="s">
        <v>151</v>
      </c>
      <c r="I58" s="31"/>
      <c r="J58" s="32" t="n">
        <v>10.0</v>
      </c>
      <c r="K58" s="33" t="n">
        <f>3291</f>
        <v>3291.0</v>
      </c>
      <c r="L58" s="34" t="s">
        <v>117</v>
      </c>
      <c r="M58" s="33" t="n">
        <f>3390</f>
        <v>3390.0</v>
      </c>
      <c r="N58" s="34" t="s">
        <v>186</v>
      </c>
      <c r="O58" s="33" t="n">
        <f>3250</f>
        <v>3250.0</v>
      </c>
      <c r="P58" s="34" t="s">
        <v>186</v>
      </c>
      <c r="Q58" s="33" t="n">
        <f>3370</f>
        <v>3370.0</v>
      </c>
      <c r="R58" s="34" t="s">
        <v>222</v>
      </c>
      <c r="S58" s="35" t="n">
        <f>3306.83</f>
        <v>3306.83</v>
      </c>
      <c r="T58" s="32" t="n">
        <f>690</f>
        <v>690.0</v>
      </c>
      <c r="U58" s="32" t="str">
        <f>"－"</f>
        <v>－</v>
      </c>
      <c r="V58" s="32" t="n">
        <f>2275810</f>
        <v>2275810.0</v>
      </c>
      <c r="W58" s="32" t="str">
        <f>"－"</f>
        <v>－</v>
      </c>
      <c r="X58" s="36" t="n">
        <f>6</f>
        <v>6.0</v>
      </c>
    </row>
    <row r="59">
      <c r="A59" s="27" t="s">
        <v>42</v>
      </c>
      <c r="B59" s="27" t="s">
        <v>223</v>
      </c>
      <c r="C59" s="27" t="s">
        <v>224</v>
      </c>
      <c r="D59" s="27" t="s">
        <v>225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1305</f>
        <v>1305.0</v>
      </c>
      <c r="L59" s="34" t="s">
        <v>48</v>
      </c>
      <c r="M59" s="33" t="n">
        <f>1305</f>
        <v>1305.0</v>
      </c>
      <c r="N59" s="34" t="s">
        <v>48</v>
      </c>
      <c r="O59" s="33" t="n">
        <f>1079.5</f>
        <v>1079.5</v>
      </c>
      <c r="P59" s="34" t="s">
        <v>226</v>
      </c>
      <c r="Q59" s="33" t="n">
        <f>1112</f>
        <v>1112.0</v>
      </c>
      <c r="R59" s="34" t="s">
        <v>50</v>
      </c>
      <c r="S59" s="35" t="n">
        <f>1152</f>
        <v>1152.0</v>
      </c>
      <c r="T59" s="32" t="n">
        <f>166210</f>
        <v>166210.0</v>
      </c>
      <c r="U59" s="32" t="str">
        <f>"－"</f>
        <v>－</v>
      </c>
      <c r="V59" s="32" t="n">
        <f>190827630</f>
        <v>1.9082763E8</v>
      </c>
      <c r="W59" s="32" t="str">
        <f>"－"</f>
        <v>－</v>
      </c>
      <c r="X59" s="36" t="n">
        <f>22</f>
        <v>22.0</v>
      </c>
    </row>
    <row r="60">
      <c r="A60" s="27" t="s">
        <v>42</v>
      </c>
      <c r="B60" s="27" t="s">
        <v>227</v>
      </c>
      <c r="C60" s="27" t="s">
        <v>228</v>
      </c>
      <c r="D60" s="27" t="s">
        <v>229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525</f>
        <v>525.0</v>
      </c>
      <c r="L60" s="34" t="s">
        <v>48</v>
      </c>
      <c r="M60" s="33" t="n">
        <f>527</f>
        <v>527.0</v>
      </c>
      <c r="N60" s="34" t="s">
        <v>48</v>
      </c>
      <c r="O60" s="33" t="n">
        <f>446</f>
        <v>446.0</v>
      </c>
      <c r="P60" s="34" t="s">
        <v>70</v>
      </c>
      <c r="Q60" s="33" t="n">
        <f>454</f>
        <v>454.0</v>
      </c>
      <c r="R60" s="34" t="s">
        <v>50</v>
      </c>
      <c r="S60" s="35" t="n">
        <f>470.41</f>
        <v>470.41</v>
      </c>
      <c r="T60" s="32" t="n">
        <f>89536</f>
        <v>89536.0</v>
      </c>
      <c r="U60" s="32" t="str">
        <f>"－"</f>
        <v>－</v>
      </c>
      <c r="V60" s="32" t="n">
        <f>42398935</f>
        <v>4.2398935E7</v>
      </c>
      <c r="W60" s="32" t="str">
        <f>"－"</f>
        <v>－</v>
      </c>
      <c r="X60" s="36" t="n">
        <f>22</f>
        <v>22.0</v>
      </c>
    </row>
    <row r="61">
      <c r="A61" s="27" t="s">
        <v>42</v>
      </c>
      <c r="B61" s="27" t="s">
        <v>230</v>
      </c>
      <c r="C61" s="27" t="s">
        <v>231</v>
      </c>
      <c r="D61" s="27" t="s">
        <v>232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2181</f>
        <v>2181.0</v>
      </c>
      <c r="L61" s="34" t="s">
        <v>48</v>
      </c>
      <c r="M61" s="33" t="n">
        <f>2370</f>
        <v>2370.0</v>
      </c>
      <c r="N61" s="34" t="s">
        <v>49</v>
      </c>
      <c r="O61" s="33" t="n">
        <f>2181</f>
        <v>2181.0</v>
      </c>
      <c r="P61" s="34" t="s">
        <v>48</v>
      </c>
      <c r="Q61" s="33" t="n">
        <f>2345.5</f>
        <v>2345.5</v>
      </c>
      <c r="R61" s="34" t="s">
        <v>50</v>
      </c>
      <c r="S61" s="35" t="n">
        <f>2311.8</f>
        <v>2311.8</v>
      </c>
      <c r="T61" s="32" t="n">
        <f>2360330</f>
        <v>2360330.0</v>
      </c>
      <c r="U61" s="32" t="n">
        <f>448500</f>
        <v>448500.0</v>
      </c>
      <c r="V61" s="32" t="n">
        <f>5418256855</f>
        <v>5.418256855E9</v>
      </c>
      <c r="W61" s="32" t="n">
        <f>1022735060</f>
        <v>1.02273506E9</v>
      </c>
      <c r="X61" s="36" t="n">
        <f>22</f>
        <v>22.0</v>
      </c>
    </row>
    <row r="62">
      <c r="A62" s="27" t="s">
        <v>42</v>
      </c>
      <c r="B62" s="27" t="s">
        <v>233</v>
      </c>
      <c r="C62" s="27" t="s">
        <v>234</v>
      </c>
      <c r="D62" s="27" t="s">
        <v>235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19675</f>
        <v>19675.0</v>
      </c>
      <c r="L62" s="34" t="s">
        <v>48</v>
      </c>
      <c r="M62" s="33" t="n">
        <f>21800</f>
        <v>21800.0</v>
      </c>
      <c r="N62" s="34" t="s">
        <v>212</v>
      </c>
      <c r="O62" s="33" t="n">
        <f>19675</f>
        <v>19675.0</v>
      </c>
      <c r="P62" s="34" t="s">
        <v>48</v>
      </c>
      <c r="Q62" s="33" t="n">
        <f>21170</f>
        <v>21170.0</v>
      </c>
      <c r="R62" s="34" t="s">
        <v>50</v>
      </c>
      <c r="S62" s="35" t="n">
        <f>20896.59</f>
        <v>20896.59</v>
      </c>
      <c r="T62" s="32" t="n">
        <f>10883</f>
        <v>10883.0</v>
      </c>
      <c r="U62" s="32" t="str">
        <f>"－"</f>
        <v>－</v>
      </c>
      <c r="V62" s="32" t="n">
        <f>229598095</f>
        <v>2.29598095E8</v>
      </c>
      <c r="W62" s="32" t="str">
        <f>"－"</f>
        <v>－</v>
      </c>
      <c r="X62" s="36" t="n">
        <f>22</f>
        <v>22.0</v>
      </c>
    </row>
    <row r="63">
      <c r="A63" s="27" t="s">
        <v>42</v>
      </c>
      <c r="B63" s="27" t="s">
        <v>236</v>
      </c>
      <c r="C63" s="27" t="s">
        <v>237</v>
      </c>
      <c r="D63" s="27" t="s">
        <v>238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2201</f>
        <v>2201.0</v>
      </c>
      <c r="L63" s="34" t="s">
        <v>48</v>
      </c>
      <c r="M63" s="33" t="n">
        <f>2391</f>
        <v>2391.0</v>
      </c>
      <c r="N63" s="34" t="s">
        <v>49</v>
      </c>
      <c r="O63" s="33" t="n">
        <f>2197</f>
        <v>2197.0</v>
      </c>
      <c r="P63" s="34" t="s">
        <v>48</v>
      </c>
      <c r="Q63" s="33" t="n">
        <f>2389</f>
        <v>2389.0</v>
      </c>
      <c r="R63" s="34" t="s">
        <v>50</v>
      </c>
      <c r="S63" s="35" t="n">
        <f>2331.73</f>
        <v>2331.73</v>
      </c>
      <c r="T63" s="32" t="n">
        <f>25283929</f>
        <v>2.5283929E7</v>
      </c>
      <c r="U63" s="32" t="n">
        <f>7668759</f>
        <v>7668759.0</v>
      </c>
      <c r="V63" s="32" t="n">
        <f>59226898984</f>
        <v>5.9226898984E10</v>
      </c>
      <c r="W63" s="32" t="n">
        <f>17998802523</f>
        <v>1.7998802523E10</v>
      </c>
      <c r="X63" s="36" t="n">
        <f>22</f>
        <v>22.0</v>
      </c>
    </row>
    <row r="64">
      <c r="A64" s="27" t="s">
        <v>42</v>
      </c>
      <c r="B64" s="27" t="s">
        <v>239</v>
      </c>
      <c r="C64" s="27" t="s">
        <v>240</v>
      </c>
      <c r="D64" s="27" t="s">
        <v>241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1920</f>
        <v>1920.0</v>
      </c>
      <c r="L64" s="34" t="s">
        <v>48</v>
      </c>
      <c r="M64" s="33" t="n">
        <f>1931</f>
        <v>1931.0</v>
      </c>
      <c r="N64" s="34" t="s">
        <v>49</v>
      </c>
      <c r="O64" s="33" t="n">
        <f>1890</f>
        <v>1890.0</v>
      </c>
      <c r="P64" s="34" t="s">
        <v>103</v>
      </c>
      <c r="Q64" s="33" t="n">
        <f>1918</f>
        <v>1918.0</v>
      </c>
      <c r="R64" s="34" t="s">
        <v>50</v>
      </c>
      <c r="S64" s="35" t="n">
        <f>1915.32</f>
        <v>1915.32</v>
      </c>
      <c r="T64" s="32" t="n">
        <f>3322974</f>
        <v>3322974.0</v>
      </c>
      <c r="U64" s="32" t="n">
        <f>1512070</f>
        <v>1512070.0</v>
      </c>
      <c r="V64" s="32" t="n">
        <f>6372067146</f>
        <v>6.372067146E9</v>
      </c>
      <c r="W64" s="32" t="n">
        <f>2904699717</f>
        <v>2.904699717E9</v>
      </c>
      <c r="X64" s="36" t="n">
        <f>22</f>
        <v>22.0</v>
      </c>
    </row>
    <row r="65">
      <c r="A65" s="27" t="s">
        <v>42</v>
      </c>
      <c r="B65" s="27" t="s">
        <v>242</v>
      </c>
      <c r="C65" s="27" t="s">
        <v>243</v>
      </c>
      <c r="D65" s="27" t="s">
        <v>244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2082</f>
        <v>2082.0</v>
      </c>
      <c r="L65" s="34" t="s">
        <v>48</v>
      </c>
      <c r="M65" s="33" t="n">
        <f>2235</f>
        <v>2235.0</v>
      </c>
      <c r="N65" s="34" t="s">
        <v>103</v>
      </c>
      <c r="O65" s="33" t="n">
        <f>2082</f>
        <v>2082.0</v>
      </c>
      <c r="P65" s="34" t="s">
        <v>48</v>
      </c>
      <c r="Q65" s="33" t="n">
        <f>2192</f>
        <v>2192.0</v>
      </c>
      <c r="R65" s="34" t="s">
        <v>50</v>
      </c>
      <c r="S65" s="35" t="n">
        <f>2179.18</f>
        <v>2179.18</v>
      </c>
      <c r="T65" s="32" t="n">
        <f>91250</f>
        <v>91250.0</v>
      </c>
      <c r="U65" s="32" t="n">
        <f>32421</f>
        <v>32421.0</v>
      </c>
      <c r="V65" s="32" t="n">
        <f>196403594</f>
        <v>1.96403594E8</v>
      </c>
      <c r="W65" s="32" t="n">
        <f>71401706</f>
        <v>7.1401706E7</v>
      </c>
      <c r="X65" s="36" t="n">
        <f>22</f>
        <v>22.0</v>
      </c>
    </row>
    <row r="66">
      <c r="A66" s="27" t="s">
        <v>42</v>
      </c>
      <c r="B66" s="27" t="s">
        <v>245</v>
      </c>
      <c r="C66" s="27" t="s">
        <v>246</v>
      </c>
      <c r="D66" s="27" t="s">
        <v>247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2682</f>
        <v>2682.0</v>
      </c>
      <c r="L66" s="34" t="s">
        <v>48</v>
      </c>
      <c r="M66" s="33" t="n">
        <f>2999</f>
        <v>2999.0</v>
      </c>
      <c r="N66" s="34" t="s">
        <v>49</v>
      </c>
      <c r="O66" s="33" t="n">
        <f>2680</f>
        <v>2680.0</v>
      </c>
      <c r="P66" s="34" t="s">
        <v>48</v>
      </c>
      <c r="Q66" s="33" t="n">
        <f>2943</f>
        <v>2943.0</v>
      </c>
      <c r="R66" s="34" t="s">
        <v>50</v>
      </c>
      <c r="S66" s="35" t="n">
        <f>2865.5</f>
        <v>2865.5</v>
      </c>
      <c r="T66" s="32" t="n">
        <f>676473</f>
        <v>676473.0</v>
      </c>
      <c r="U66" s="32" t="n">
        <f>223042</f>
        <v>223042.0</v>
      </c>
      <c r="V66" s="32" t="n">
        <f>1957675558</f>
        <v>1.957675558E9</v>
      </c>
      <c r="W66" s="32" t="n">
        <f>651158288</f>
        <v>6.51158288E8</v>
      </c>
      <c r="X66" s="36" t="n">
        <f>22</f>
        <v>22.0</v>
      </c>
    </row>
    <row r="67">
      <c r="A67" s="27" t="s">
        <v>42</v>
      </c>
      <c r="B67" s="27" t="s">
        <v>248</v>
      </c>
      <c r="C67" s="27" t="s">
        <v>249</v>
      </c>
      <c r="D67" s="27" t="s">
        <v>250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27260</f>
        <v>27260.0</v>
      </c>
      <c r="L67" s="34" t="s">
        <v>117</v>
      </c>
      <c r="M67" s="33" t="n">
        <f>29195</f>
        <v>29195.0</v>
      </c>
      <c r="N67" s="34" t="s">
        <v>70</v>
      </c>
      <c r="O67" s="33" t="n">
        <f>27260</f>
        <v>27260.0</v>
      </c>
      <c r="P67" s="34" t="s">
        <v>117</v>
      </c>
      <c r="Q67" s="33" t="n">
        <f>28860</f>
        <v>28860.0</v>
      </c>
      <c r="R67" s="34" t="s">
        <v>102</v>
      </c>
      <c r="S67" s="35" t="n">
        <f>28482.67</f>
        <v>28482.67</v>
      </c>
      <c r="T67" s="32" t="n">
        <f>600</f>
        <v>600.0</v>
      </c>
      <c r="U67" s="32" t="str">
        <f>"－"</f>
        <v>－</v>
      </c>
      <c r="V67" s="32" t="n">
        <f>17210745</f>
        <v>1.7210745E7</v>
      </c>
      <c r="W67" s="32" t="str">
        <f>"－"</f>
        <v>－</v>
      </c>
      <c r="X67" s="36" t="n">
        <f>15</f>
        <v>15.0</v>
      </c>
    </row>
    <row r="68">
      <c r="A68" s="27" t="s">
        <v>42</v>
      </c>
      <c r="B68" s="27" t="s">
        <v>251</v>
      </c>
      <c r="C68" s="27" t="s">
        <v>252</v>
      </c>
      <c r="D68" s="27" t="s">
        <v>253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22250</f>
        <v>22250.0</v>
      </c>
      <c r="L68" s="34" t="s">
        <v>117</v>
      </c>
      <c r="M68" s="33" t="n">
        <f>23445</f>
        <v>23445.0</v>
      </c>
      <c r="N68" s="34" t="s">
        <v>226</v>
      </c>
      <c r="O68" s="33" t="n">
        <f>22250</f>
        <v>22250.0</v>
      </c>
      <c r="P68" s="34" t="s">
        <v>117</v>
      </c>
      <c r="Q68" s="33" t="n">
        <f>23230</f>
        <v>23230.0</v>
      </c>
      <c r="R68" s="34" t="s">
        <v>49</v>
      </c>
      <c r="S68" s="35" t="n">
        <f>22845.45</f>
        <v>22845.45</v>
      </c>
      <c r="T68" s="32" t="n">
        <f>75</f>
        <v>75.0</v>
      </c>
      <c r="U68" s="32" t="str">
        <f>"－"</f>
        <v>－</v>
      </c>
      <c r="V68" s="32" t="n">
        <f>1724720</f>
        <v>1724720.0</v>
      </c>
      <c r="W68" s="32" t="str">
        <f>"－"</f>
        <v>－</v>
      </c>
      <c r="X68" s="36" t="n">
        <f>11</f>
        <v>11.0</v>
      </c>
    </row>
    <row r="69">
      <c r="A69" s="27" t="s">
        <v>42</v>
      </c>
      <c r="B69" s="27" t="s">
        <v>254</v>
      </c>
      <c r="C69" s="27" t="s">
        <v>255</v>
      </c>
      <c r="D69" s="27" t="s">
        <v>256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2230</f>
        <v>2230.0</v>
      </c>
      <c r="L69" s="34" t="s">
        <v>48</v>
      </c>
      <c r="M69" s="33" t="n">
        <f>2418</f>
        <v>2418.0</v>
      </c>
      <c r="N69" s="34" t="s">
        <v>49</v>
      </c>
      <c r="O69" s="33" t="n">
        <f>2230</f>
        <v>2230.0</v>
      </c>
      <c r="P69" s="34" t="s">
        <v>48</v>
      </c>
      <c r="Q69" s="33" t="n">
        <f>2382</f>
        <v>2382.0</v>
      </c>
      <c r="R69" s="34" t="s">
        <v>50</v>
      </c>
      <c r="S69" s="35" t="n">
        <f>2357.73</f>
        <v>2357.73</v>
      </c>
      <c r="T69" s="32" t="n">
        <f>3052</f>
        <v>3052.0</v>
      </c>
      <c r="U69" s="32" t="str">
        <f>"－"</f>
        <v>－</v>
      </c>
      <c r="V69" s="32" t="n">
        <f>7199988</f>
        <v>7199988.0</v>
      </c>
      <c r="W69" s="32" t="str">
        <f>"－"</f>
        <v>－</v>
      </c>
      <c r="X69" s="36" t="n">
        <f>22</f>
        <v>22.0</v>
      </c>
    </row>
    <row r="70">
      <c r="A70" s="27" t="s">
        <v>42</v>
      </c>
      <c r="B70" s="27" t="s">
        <v>257</v>
      </c>
      <c r="C70" s="27" t="s">
        <v>258</v>
      </c>
      <c r="D70" s="27" t="s">
        <v>259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1903</f>
        <v>1903.0</v>
      </c>
      <c r="L70" s="34" t="s">
        <v>48</v>
      </c>
      <c r="M70" s="33" t="n">
        <f>1903</f>
        <v>1903.0</v>
      </c>
      <c r="N70" s="34" t="s">
        <v>48</v>
      </c>
      <c r="O70" s="33" t="n">
        <f>1855</f>
        <v>1855.0</v>
      </c>
      <c r="P70" s="34" t="s">
        <v>50</v>
      </c>
      <c r="Q70" s="33" t="n">
        <f>1859</f>
        <v>1859.0</v>
      </c>
      <c r="R70" s="34" t="s">
        <v>50</v>
      </c>
      <c r="S70" s="35" t="n">
        <f>1875.27</f>
        <v>1875.27</v>
      </c>
      <c r="T70" s="32" t="n">
        <f>10134834</f>
        <v>1.0134834E7</v>
      </c>
      <c r="U70" s="32" t="n">
        <f>8762777</f>
        <v>8762777.0</v>
      </c>
      <c r="V70" s="32" t="n">
        <f>18955135761</f>
        <v>1.8955135761E10</v>
      </c>
      <c r="W70" s="32" t="n">
        <f>16386673924</f>
        <v>1.6386673924E10</v>
      </c>
      <c r="X70" s="36" t="n">
        <f>22</f>
        <v>22.0</v>
      </c>
    </row>
    <row r="71">
      <c r="A71" s="27" t="s">
        <v>42</v>
      </c>
      <c r="B71" s="27" t="s">
        <v>260</v>
      </c>
      <c r="C71" s="27" t="s">
        <v>261</v>
      </c>
      <c r="D71" s="27" t="s">
        <v>262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2210</f>
        <v>2210.0</v>
      </c>
      <c r="L71" s="34" t="s">
        <v>48</v>
      </c>
      <c r="M71" s="33" t="n">
        <f>2493</f>
        <v>2493.0</v>
      </c>
      <c r="N71" s="34" t="s">
        <v>212</v>
      </c>
      <c r="O71" s="33" t="n">
        <f>2210</f>
        <v>2210.0</v>
      </c>
      <c r="P71" s="34" t="s">
        <v>48</v>
      </c>
      <c r="Q71" s="33" t="n">
        <f>2392</f>
        <v>2392.0</v>
      </c>
      <c r="R71" s="34" t="s">
        <v>50</v>
      </c>
      <c r="S71" s="35" t="n">
        <f>2344.95</f>
        <v>2344.95</v>
      </c>
      <c r="T71" s="32" t="n">
        <f>2754</f>
        <v>2754.0</v>
      </c>
      <c r="U71" s="32" t="str">
        <f>"－"</f>
        <v>－</v>
      </c>
      <c r="V71" s="32" t="n">
        <f>6466054</f>
        <v>6466054.0</v>
      </c>
      <c r="W71" s="32" t="str">
        <f>"－"</f>
        <v>－</v>
      </c>
      <c r="X71" s="36" t="n">
        <f>22</f>
        <v>22.0</v>
      </c>
    </row>
    <row r="72">
      <c r="A72" s="27" t="s">
        <v>42</v>
      </c>
      <c r="B72" s="27" t="s">
        <v>263</v>
      </c>
      <c r="C72" s="27" t="s">
        <v>264</v>
      </c>
      <c r="D72" s="27" t="s">
        <v>265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10.0</v>
      </c>
      <c r="K72" s="33" t="n">
        <f>2221</f>
        <v>2221.0</v>
      </c>
      <c r="L72" s="34" t="s">
        <v>48</v>
      </c>
      <c r="M72" s="33" t="n">
        <f>2375</f>
        <v>2375.0</v>
      </c>
      <c r="N72" s="34" t="s">
        <v>212</v>
      </c>
      <c r="O72" s="33" t="n">
        <f>2220</f>
        <v>2220.0</v>
      </c>
      <c r="P72" s="34" t="s">
        <v>48</v>
      </c>
      <c r="Q72" s="33" t="n">
        <f>2348.5</f>
        <v>2348.5</v>
      </c>
      <c r="R72" s="34" t="s">
        <v>50</v>
      </c>
      <c r="S72" s="35" t="n">
        <f>2325.95</f>
        <v>2325.95</v>
      </c>
      <c r="T72" s="32" t="n">
        <f>79630</f>
        <v>79630.0</v>
      </c>
      <c r="U72" s="32" t="str">
        <f>"－"</f>
        <v>－</v>
      </c>
      <c r="V72" s="32" t="n">
        <f>183626715</f>
        <v>1.83626715E8</v>
      </c>
      <c r="W72" s="32" t="str">
        <f>"－"</f>
        <v>－</v>
      </c>
      <c r="X72" s="36" t="n">
        <f>22</f>
        <v>22.0</v>
      </c>
    </row>
    <row r="73">
      <c r="A73" s="27" t="s">
        <v>42</v>
      </c>
      <c r="B73" s="27" t="s">
        <v>266</v>
      </c>
      <c r="C73" s="27" t="s">
        <v>267</v>
      </c>
      <c r="D73" s="27" t="s">
        <v>268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32950</f>
        <v>32950.0</v>
      </c>
      <c r="L73" s="34" t="s">
        <v>186</v>
      </c>
      <c r="M73" s="33" t="n">
        <f>36010</f>
        <v>36010.0</v>
      </c>
      <c r="N73" s="34" t="s">
        <v>69</v>
      </c>
      <c r="O73" s="33" t="n">
        <f>32250</f>
        <v>32250.0</v>
      </c>
      <c r="P73" s="34" t="s">
        <v>186</v>
      </c>
      <c r="Q73" s="33" t="n">
        <f>35610</f>
        <v>35610.0</v>
      </c>
      <c r="R73" s="34" t="s">
        <v>50</v>
      </c>
      <c r="S73" s="35" t="n">
        <f>34780.91</f>
        <v>34780.91</v>
      </c>
      <c r="T73" s="32" t="n">
        <f>114</f>
        <v>114.0</v>
      </c>
      <c r="U73" s="32" t="n">
        <f>1</f>
        <v>1.0</v>
      </c>
      <c r="V73" s="32" t="n">
        <f>3989410</f>
        <v>3989410.0</v>
      </c>
      <c r="W73" s="32" t="n">
        <f>34210</f>
        <v>34210.0</v>
      </c>
      <c r="X73" s="36" t="n">
        <f>11</f>
        <v>11.0</v>
      </c>
    </row>
    <row r="74">
      <c r="A74" s="27" t="s">
        <v>42</v>
      </c>
      <c r="B74" s="27" t="s">
        <v>269</v>
      </c>
      <c r="C74" s="27" t="s">
        <v>270</v>
      </c>
      <c r="D74" s="27" t="s">
        <v>271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22725</f>
        <v>22725.0</v>
      </c>
      <c r="L74" s="34" t="s">
        <v>48</v>
      </c>
      <c r="M74" s="33" t="n">
        <f>23440</f>
        <v>23440.0</v>
      </c>
      <c r="N74" s="34" t="s">
        <v>49</v>
      </c>
      <c r="O74" s="33" t="n">
        <f>22230</f>
        <v>22230.0</v>
      </c>
      <c r="P74" s="34" t="s">
        <v>48</v>
      </c>
      <c r="Q74" s="33" t="n">
        <f>23245</f>
        <v>23245.0</v>
      </c>
      <c r="R74" s="34" t="s">
        <v>50</v>
      </c>
      <c r="S74" s="35" t="n">
        <f>22843.64</f>
        <v>22843.64</v>
      </c>
      <c r="T74" s="32" t="n">
        <f>844663</f>
        <v>844663.0</v>
      </c>
      <c r="U74" s="32" t="n">
        <f>701963</f>
        <v>701963.0</v>
      </c>
      <c r="V74" s="32" t="n">
        <f>19335097779</f>
        <v>1.9335097779E10</v>
      </c>
      <c r="W74" s="32" t="n">
        <f>16073887329</f>
        <v>1.6073887329E10</v>
      </c>
      <c r="X74" s="36" t="n">
        <f>22</f>
        <v>22.0</v>
      </c>
    </row>
    <row r="75">
      <c r="A75" s="27" t="s">
        <v>42</v>
      </c>
      <c r="B75" s="27" t="s">
        <v>272</v>
      </c>
      <c r="C75" s="27" t="s">
        <v>273</v>
      </c>
      <c r="D75" s="27" t="s">
        <v>274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14655</f>
        <v>14655.0</v>
      </c>
      <c r="L75" s="34" t="s">
        <v>48</v>
      </c>
      <c r="M75" s="33" t="n">
        <f>14655</f>
        <v>14655.0</v>
      </c>
      <c r="N75" s="34" t="s">
        <v>48</v>
      </c>
      <c r="O75" s="33" t="n">
        <f>14310</f>
        <v>14310.0</v>
      </c>
      <c r="P75" s="34" t="s">
        <v>50</v>
      </c>
      <c r="Q75" s="33" t="n">
        <f>14335</f>
        <v>14335.0</v>
      </c>
      <c r="R75" s="34" t="s">
        <v>50</v>
      </c>
      <c r="S75" s="35" t="n">
        <f>14465.91</f>
        <v>14465.91</v>
      </c>
      <c r="T75" s="32" t="n">
        <f>843077</f>
        <v>843077.0</v>
      </c>
      <c r="U75" s="32" t="n">
        <f>514076</f>
        <v>514076.0</v>
      </c>
      <c r="V75" s="32" t="n">
        <f>12204040690</f>
        <v>1.220404069E10</v>
      </c>
      <c r="W75" s="32" t="n">
        <f>7443444665</f>
        <v>7.443444665E9</v>
      </c>
      <c r="X75" s="36" t="n">
        <f>22</f>
        <v>22.0</v>
      </c>
    </row>
    <row r="76">
      <c r="A76" s="27" t="s">
        <v>42</v>
      </c>
      <c r="B76" s="27" t="s">
        <v>275</v>
      </c>
      <c r="C76" s="27" t="s">
        <v>276</v>
      </c>
      <c r="D76" s="27" t="s">
        <v>277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10.0</v>
      </c>
      <c r="K76" s="33" t="n">
        <f>1920</f>
        <v>1920.0</v>
      </c>
      <c r="L76" s="34" t="s">
        <v>48</v>
      </c>
      <c r="M76" s="33" t="n">
        <f>1928</f>
        <v>1928.0</v>
      </c>
      <c r="N76" s="34" t="s">
        <v>102</v>
      </c>
      <c r="O76" s="33" t="n">
        <f>1888</f>
        <v>1888.0</v>
      </c>
      <c r="P76" s="34" t="s">
        <v>103</v>
      </c>
      <c r="Q76" s="33" t="n">
        <f>1919</f>
        <v>1919.0</v>
      </c>
      <c r="R76" s="34" t="s">
        <v>50</v>
      </c>
      <c r="S76" s="35" t="n">
        <f>1912.27</f>
        <v>1912.27</v>
      </c>
      <c r="T76" s="32" t="n">
        <f>1573250</f>
        <v>1573250.0</v>
      </c>
      <c r="U76" s="32" t="n">
        <f>159840</f>
        <v>159840.0</v>
      </c>
      <c r="V76" s="32" t="n">
        <f>3018354077</f>
        <v>3.018354077E9</v>
      </c>
      <c r="W76" s="32" t="n">
        <f>305414177</f>
        <v>3.05414177E8</v>
      </c>
      <c r="X76" s="36" t="n">
        <f>22</f>
        <v>22.0</v>
      </c>
    </row>
    <row r="77">
      <c r="A77" s="27" t="s">
        <v>42</v>
      </c>
      <c r="B77" s="27" t="s">
        <v>278</v>
      </c>
      <c r="C77" s="27" t="s">
        <v>279</v>
      </c>
      <c r="D77" s="27" t="s">
        <v>280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46770</f>
        <v>46770.0</v>
      </c>
      <c r="L77" s="34" t="s">
        <v>48</v>
      </c>
      <c r="M77" s="33" t="n">
        <f>52190</f>
        <v>52190.0</v>
      </c>
      <c r="N77" s="34" t="s">
        <v>49</v>
      </c>
      <c r="O77" s="33" t="n">
        <f>46710</f>
        <v>46710.0</v>
      </c>
      <c r="P77" s="34" t="s">
        <v>48</v>
      </c>
      <c r="Q77" s="33" t="n">
        <f>51960</f>
        <v>51960.0</v>
      </c>
      <c r="R77" s="34" t="s">
        <v>50</v>
      </c>
      <c r="S77" s="35" t="n">
        <f>50113.18</f>
        <v>50113.18</v>
      </c>
      <c r="T77" s="32" t="n">
        <f>421091</f>
        <v>421091.0</v>
      </c>
      <c r="U77" s="32" t="n">
        <f>12129</f>
        <v>12129.0</v>
      </c>
      <c r="V77" s="32" t="n">
        <f>21083103222</f>
        <v>2.1083103222E10</v>
      </c>
      <c r="W77" s="32" t="n">
        <f>601953212</f>
        <v>6.01953212E8</v>
      </c>
      <c r="X77" s="36" t="n">
        <f>22</f>
        <v>22.0</v>
      </c>
    </row>
    <row r="78">
      <c r="A78" s="27" t="s">
        <v>42</v>
      </c>
      <c r="B78" s="27" t="s">
        <v>281</v>
      </c>
      <c r="C78" s="27" t="s">
        <v>282</v>
      </c>
      <c r="D78" s="27" t="s">
        <v>283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10.0</v>
      </c>
      <c r="K78" s="33" t="n">
        <f>7556</f>
        <v>7556.0</v>
      </c>
      <c r="L78" s="34" t="s">
        <v>61</v>
      </c>
      <c r="M78" s="33" t="n">
        <f>7636</f>
        <v>7636.0</v>
      </c>
      <c r="N78" s="34" t="s">
        <v>102</v>
      </c>
      <c r="O78" s="33" t="n">
        <f>7556</f>
        <v>7556.0</v>
      </c>
      <c r="P78" s="34" t="s">
        <v>61</v>
      </c>
      <c r="Q78" s="33" t="n">
        <f>7636</f>
        <v>7636.0</v>
      </c>
      <c r="R78" s="34" t="s">
        <v>102</v>
      </c>
      <c r="S78" s="35" t="n">
        <f>7586.33</f>
        <v>7586.33</v>
      </c>
      <c r="T78" s="32" t="n">
        <f>40</f>
        <v>40.0</v>
      </c>
      <c r="U78" s="32" t="str">
        <f>"－"</f>
        <v>－</v>
      </c>
      <c r="V78" s="32" t="n">
        <f>303150</f>
        <v>303150.0</v>
      </c>
      <c r="W78" s="32" t="str">
        <f>"－"</f>
        <v>－</v>
      </c>
      <c r="X78" s="36" t="n">
        <f>3</f>
        <v>3.0</v>
      </c>
    </row>
    <row r="79">
      <c r="A79" s="27" t="s">
        <v>42</v>
      </c>
      <c r="B79" s="27" t="s">
        <v>284</v>
      </c>
      <c r="C79" s="27" t="s">
        <v>285</v>
      </c>
      <c r="D79" s="27" t="s">
        <v>286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16375</f>
        <v>16375.0</v>
      </c>
      <c r="L79" s="34" t="s">
        <v>48</v>
      </c>
      <c r="M79" s="33" t="n">
        <f>17500</f>
        <v>17500.0</v>
      </c>
      <c r="N79" s="34" t="s">
        <v>155</v>
      </c>
      <c r="O79" s="33" t="n">
        <f>16270</f>
        <v>16270.0</v>
      </c>
      <c r="P79" s="34" t="s">
        <v>117</v>
      </c>
      <c r="Q79" s="33" t="n">
        <f>17150</f>
        <v>17150.0</v>
      </c>
      <c r="R79" s="34" t="s">
        <v>50</v>
      </c>
      <c r="S79" s="35" t="n">
        <f>16947.73</f>
        <v>16947.73</v>
      </c>
      <c r="T79" s="32" t="n">
        <f>1475</f>
        <v>1475.0</v>
      </c>
      <c r="U79" s="32" t="str">
        <f>"－"</f>
        <v>－</v>
      </c>
      <c r="V79" s="32" t="n">
        <f>25063320</f>
        <v>2.506332E7</v>
      </c>
      <c r="W79" s="32" t="str">
        <f>"－"</f>
        <v>－</v>
      </c>
      <c r="X79" s="36" t="n">
        <f>22</f>
        <v>22.0</v>
      </c>
    </row>
    <row r="80">
      <c r="A80" s="27" t="s">
        <v>42</v>
      </c>
      <c r="B80" s="27" t="s">
        <v>287</v>
      </c>
      <c r="C80" s="27" t="s">
        <v>288</v>
      </c>
      <c r="D80" s="27" t="s">
        <v>289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16050</f>
        <v>16050.0</v>
      </c>
      <c r="L80" s="34" t="s">
        <v>48</v>
      </c>
      <c r="M80" s="33" t="n">
        <f>17170</f>
        <v>17170.0</v>
      </c>
      <c r="N80" s="34" t="s">
        <v>226</v>
      </c>
      <c r="O80" s="33" t="n">
        <f>16030</f>
        <v>16030.0</v>
      </c>
      <c r="P80" s="34" t="s">
        <v>48</v>
      </c>
      <c r="Q80" s="33" t="n">
        <f>16905</f>
        <v>16905.0</v>
      </c>
      <c r="R80" s="34" t="s">
        <v>50</v>
      </c>
      <c r="S80" s="35" t="n">
        <f>16716.59</f>
        <v>16716.59</v>
      </c>
      <c r="T80" s="32" t="n">
        <f>2865</f>
        <v>2865.0</v>
      </c>
      <c r="U80" s="32" t="str">
        <f>"－"</f>
        <v>－</v>
      </c>
      <c r="V80" s="32" t="n">
        <f>47680440</f>
        <v>4.768044E7</v>
      </c>
      <c r="W80" s="32" t="str">
        <f>"－"</f>
        <v>－</v>
      </c>
      <c r="X80" s="36" t="n">
        <f>22</f>
        <v>22.0</v>
      </c>
    </row>
    <row r="81">
      <c r="A81" s="27" t="s">
        <v>42</v>
      </c>
      <c r="B81" s="27" t="s">
        <v>290</v>
      </c>
      <c r="C81" s="27" t="s">
        <v>291</v>
      </c>
      <c r="D81" s="27" t="s">
        <v>292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22750</f>
        <v>22750.0</v>
      </c>
      <c r="L81" s="34" t="s">
        <v>48</v>
      </c>
      <c r="M81" s="33" t="n">
        <f>24610</f>
        <v>24610.0</v>
      </c>
      <c r="N81" s="34" t="s">
        <v>49</v>
      </c>
      <c r="O81" s="33" t="n">
        <f>22730</f>
        <v>22730.0</v>
      </c>
      <c r="P81" s="34" t="s">
        <v>48</v>
      </c>
      <c r="Q81" s="33" t="n">
        <f>24520</f>
        <v>24520.0</v>
      </c>
      <c r="R81" s="34" t="s">
        <v>50</v>
      </c>
      <c r="S81" s="35" t="n">
        <f>23864.32</f>
        <v>23864.32</v>
      </c>
      <c r="T81" s="32" t="n">
        <f>67855</f>
        <v>67855.0</v>
      </c>
      <c r="U81" s="32" t="n">
        <f>52283</f>
        <v>52283.0</v>
      </c>
      <c r="V81" s="32" t="n">
        <f>1607027555</f>
        <v>1.607027555E9</v>
      </c>
      <c r="W81" s="32" t="n">
        <f>1234527650</f>
        <v>1.23452765E9</v>
      </c>
      <c r="X81" s="36" t="n">
        <f>22</f>
        <v>22.0</v>
      </c>
    </row>
    <row r="82">
      <c r="A82" s="27" t="s">
        <v>42</v>
      </c>
      <c r="B82" s="27" t="s">
        <v>293</v>
      </c>
      <c r="C82" s="27" t="s">
        <v>294</v>
      </c>
      <c r="D82" s="27" t="s">
        <v>295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10470</f>
        <v>10470.0</v>
      </c>
      <c r="L82" s="34" t="s">
        <v>48</v>
      </c>
      <c r="M82" s="33" t="n">
        <f>10800</f>
        <v>10800.0</v>
      </c>
      <c r="N82" s="34" t="s">
        <v>49</v>
      </c>
      <c r="O82" s="33" t="n">
        <f>10390</f>
        <v>10390.0</v>
      </c>
      <c r="P82" s="34" t="s">
        <v>222</v>
      </c>
      <c r="Q82" s="33" t="n">
        <f>10750</f>
        <v>10750.0</v>
      </c>
      <c r="R82" s="34" t="s">
        <v>50</v>
      </c>
      <c r="S82" s="35" t="n">
        <f>10580.68</f>
        <v>10580.68</v>
      </c>
      <c r="T82" s="32" t="n">
        <f>18650</f>
        <v>18650.0</v>
      </c>
      <c r="U82" s="32" t="n">
        <f>10000</f>
        <v>10000.0</v>
      </c>
      <c r="V82" s="32" t="n">
        <f>198297700</f>
        <v>1.982977E8</v>
      </c>
      <c r="W82" s="32" t="n">
        <f>106768000</f>
        <v>1.06768E8</v>
      </c>
      <c r="X82" s="36" t="n">
        <f>22</f>
        <v>22.0</v>
      </c>
    </row>
    <row r="83">
      <c r="A83" s="27" t="s">
        <v>42</v>
      </c>
      <c r="B83" s="27" t="s">
        <v>296</v>
      </c>
      <c r="C83" s="27" t="s">
        <v>297</v>
      </c>
      <c r="D83" s="27" t="s">
        <v>298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1960</f>
        <v>1960.0</v>
      </c>
      <c r="L83" s="34" t="s">
        <v>48</v>
      </c>
      <c r="M83" s="33" t="n">
        <f>1978</f>
        <v>1978.0</v>
      </c>
      <c r="N83" s="34" t="s">
        <v>186</v>
      </c>
      <c r="O83" s="33" t="n">
        <f>1933</f>
        <v>1933.0</v>
      </c>
      <c r="P83" s="34" t="s">
        <v>208</v>
      </c>
      <c r="Q83" s="33" t="n">
        <f>1949</f>
        <v>1949.0</v>
      </c>
      <c r="R83" s="34" t="s">
        <v>50</v>
      </c>
      <c r="S83" s="35" t="n">
        <f>1951.55</f>
        <v>1951.55</v>
      </c>
      <c r="T83" s="32" t="n">
        <f>1487245</f>
        <v>1487245.0</v>
      </c>
      <c r="U83" s="32" t="n">
        <f>1139450</f>
        <v>1139450.0</v>
      </c>
      <c r="V83" s="32" t="n">
        <f>2901240698</f>
        <v>2.901240698E9</v>
      </c>
      <c r="W83" s="32" t="n">
        <f>2222416095</f>
        <v>2.222416095E9</v>
      </c>
      <c r="X83" s="36" t="n">
        <f>22</f>
        <v>22.0</v>
      </c>
    </row>
    <row r="84">
      <c r="A84" s="27" t="s">
        <v>42</v>
      </c>
      <c r="B84" s="27" t="s">
        <v>299</v>
      </c>
      <c r="C84" s="27" t="s">
        <v>300</v>
      </c>
      <c r="D84" s="27" t="s">
        <v>301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1910</f>
        <v>1910.0</v>
      </c>
      <c r="L84" s="34" t="s">
        <v>48</v>
      </c>
      <c r="M84" s="33" t="n">
        <f>1923</f>
        <v>1923.0</v>
      </c>
      <c r="N84" s="34" t="s">
        <v>116</v>
      </c>
      <c r="O84" s="33" t="n">
        <f>1891</f>
        <v>1891.0</v>
      </c>
      <c r="P84" s="34" t="s">
        <v>48</v>
      </c>
      <c r="Q84" s="33" t="n">
        <f>1912</f>
        <v>1912.0</v>
      </c>
      <c r="R84" s="34" t="s">
        <v>50</v>
      </c>
      <c r="S84" s="35" t="n">
        <f>1910.41</f>
        <v>1910.41</v>
      </c>
      <c r="T84" s="32" t="n">
        <f>544976</f>
        <v>544976.0</v>
      </c>
      <c r="U84" s="32" t="n">
        <f>10000</f>
        <v>10000.0</v>
      </c>
      <c r="V84" s="32" t="n">
        <f>1039839011</f>
        <v>1.039839011E9</v>
      </c>
      <c r="W84" s="32" t="n">
        <f>18956500</f>
        <v>1.89565E7</v>
      </c>
      <c r="X84" s="36" t="n">
        <f>22</f>
        <v>22.0</v>
      </c>
    </row>
    <row r="85">
      <c r="A85" s="27" t="s">
        <v>42</v>
      </c>
      <c r="B85" s="27" t="s">
        <v>302</v>
      </c>
      <c r="C85" s="27" t="s">
        <v>303</v>
      </c>
      <c r="D85" s="27" t="s">
        <v>304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16570</f>
        <v>16570.0</v>
      </c>
      <c r="L85" s="34" t="s">
        <v>48</v>
      </c>
      <c r="M85" s="33" t="n">
        <f>18080</f>
        <v>18080.0</v>
      </c>
      <c r="N85" s="34" t="s">
        <v>49</v>
      </c>
      <c r="O85" s="33" t="n">
        <f>16570</f>
        <v>16570.0</v>
      </c>
      <c r="P85" s="34" t="s">
        <v>48</v>
      </c>
      <c r="Q85" s="33" t="n">
        <f>17905</f>
        <v>17905.0</v>
      </c>
      <c r="R85" s="34" t="s">
        <v>50</v>
      </c>
      <c r="S85" s="35" t="n">
        <f>17597.73</f>
        <v>17597.73</v>
      </c>
      <c r="T85" s="32" t="n">
        <f>40222</f>
        <v>40222.0</v>
      </c>
      <c r="U85" s="32" t="n">
        <f>35000</f>
        <v>35000.0</v>
      </c>
      <c r="V85" s="32" t="n">
        <f>706031010</f>
        <v>7.0603101E8</v>
      </c>
      <c r="W85" s="32" t="n">
        <f>614589700</f>
        <v>6.145897E8</v>
      </c>
      <c r="X85" s="36" t="n">
        <f>22</f>
        <v>22.0</v>
      </c>
    </row>
    <row r="86">
      <c r="A86" s="27" t="s">
        <v>42</v>
      </c>
      <c r="B86" s="27" t="s">
        <v>305</v>
      </c>
      <c r="C86" s="27" t="s">
        <v>306</v>
      </c>
      <c r="D86" s="27" t="s">
        <v>307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8770</f>
        <v>8770.0</v>
      </c>
      <c r="L86" s="34" t="s">
        <v>48</v>
      </c>
      <c r="M86" s="33" t="n">
        <f>9000</f>
        <v>9000.0</v>
      </c>
      <c r="N86" s="34" t="s">
        <v>102</v>
      </c>
      <c r="O86" s="33" t="n">
        <f>8686</f>
        <v>8686.0</v>
      </c>
      <c r="P86" s="34" t="s">
        <v>117</v>
      </c>
      <c r="Q86" s="33" t="n">
        <f>8960</f>
        <v>8960.0</v>
      </c>
      <c r="R86" s="34" t="s">
        <v>50</v>
      </c>
      <c r="S86" s="35" t="n">
        <f>8862.14</f>
        <v>8862.14</v>
      </c>
      <c r="T86" s="32" t="n">
        <f>2889</f>
        <v>2889.0</v>
      </c>
      <c r="U86" s="32" t="n">
        <f>4</f>
        <v>4.0</v>
      </c>
      <c r="V86" s="32" t="n">
        <f>25586874</f>
        <v>2.5586874E7</v>
      </c>
      <c r="W86" s="32" t="n">
        <f>35267</f>
        <v>35267.0</v>
      </c>
      <c r="X86" s="36" t="n">
        <f>22</f>
        <v>22.0</v>
      </c>
    </row>
    <row r="87">
      <c r="A87" s="27" t="s">
        <v>42</v>
      </c>
      <c r="B87" s="27" t="s">
        <v>308</v>
      </c>
      <c r="C87" s="27" t="s">
        <v>309</v>
      </c>
      <c r="D87" s="27" t="s">
        <v>310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8369</f>
        <v>8369.0</v>
      </c>
      <c r="L87" s="34" t="s">
        <v>48</v>
      </c>
      <c r="M87" s="33" t="n">
        <f>8467</f>
        <v>8467.0</v>
      </c>
      <c r="N87" s="34" t="s">
        <v>60</v>
      </c>
      <c r="O87" s="33" t="n">
        <f>8306</f>
        <v>8306.0</v>
      </c>
      <c r="P87" s="34" t="s">
        <v>70</v>
      </c>
      <c r="Q87" s="33" t="n">
        <f>8417</f>
        <v>8417.0</v>
      </c>
      <c r="R87" s="34" t="s">
        <v>50</v>
      </c>
      <c r="S87" s="35" t="n">
        <f>8379.36</f>
        <v>8379.36</v>
      </c>
      <c r="T87" s="32" t="n">
        <f>1950230</f>
        <v>1950230.0</v>
      </c>
      <c r="U87" s="32" t="n">
        <f>29332</f>
        <v>29332.0</v>
      </c>
      <c r="V87" s="32" t="n">
        <f>16334352269</f>
        <v>1.6334352269E10</v>
      </c>
      <c r="W87" s="32" t="n">
        <f>246186199</f>
        <v>2.46186199E8</v>
      </c>
      <c r="X87" s="36" t="n">
        <f>22</f>
        <v>22.0</v>
      </c>
    </row>
    <row r="88">
      <c r="A88" s="27" t="s">
        <v>42</v>
      </c>
      <c r="B88" s="27" t="s">
        <v>311</v>
      </c>
      <c r="C88" s="27" t="s">
        <v>312</v>
      </c>
      <c r="D88" s="27" t="s">
        <v>313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4175</f>
        <v>4175.0</v>
      </c>
      <c r="L88" s="34" t="s">
        <v>48</v>
      </c>
      <c r="M88" s="33" t="n">
        <f>4295</f>
        <v>4295.0</v>
      </c>
      <c r="N88" s="34" t="s">
        <v>314</v>
      </c>
      <c r="O88" s="33" t="n">
        <f>3930</f>
        <v>3930.0</v>
      </c>
      <c r="P88" s="34" t="s">
        <v>50</v>
      </c>
      <c r="Q88" s="33" t="n">
        <f>3950</f>
        <v>3950.0</v>
      </c>
      <c r="R88" s="34" t="s">
        <v>50</v>
      </c>
      <c r="S88" s="35" t="n">
        <f>4134.55</f>
        <v>4134.55</v>
      </c>
      <c r="T88" s="32" t="n">
        <f>481173</f>
        <v>481173.0</v>
      </c>
      <c r="U88" s="32" t="n">
        <f>30</f>
        <v>30.0</v>
      </c>
      <c r="V88" s="32" t="n">
        <f>1966455645</f>
        <v>1.966455645E9</v>
      </c>
      <c r="W88" s="32" t="n">
        <f>114000</f>
        <v>114000.0</v>
      </c>
      <c r="X88" s="36" t="n">
        <f>22</f>
        <v>22.0</v>
      </c>
    </row>
    <row r="89">
      <c r="A89" s="27" t="s">
        <v>42</v>
      </c>
      <c r="B89" s="27" t="s">
        <v>315</v>
      </c>
      <c r="C89" s="27" t="s">
        <v>316</v>
      </c>
      <c r="D89" s="27" t="s">
        <v>317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9525</f>
        <v>9525.0</v>
      </c>
      <c r="L89" s="34" t="s">
        <v>48</v>
      </c>
      <c r="M89" s="33" t="n">
        <f>9887</f>
        <v>9887.0</v>
      </c>
      <c r="N89" s="34" t="s">
        <v>60</v>
      </c>
      <c r="O89" s="33" t="n">
        <f>9260</f>
        <v>9260.0</v>
      </c>
      <c r="P89" s="34" t="s">
        <v>212</v>
      </c>
      <c r="Q89" s="33" t="n">
        <f>9448</f>
        <v>9448.0</v>
      </c>
      <c r="R89" s="34" t="s">
        <v>50</v>
      </c>
      <c r="S89" s="35" t="n">
        <f>9608.82</f>
        <v>9608.82</v>
      </c>
      <c r="T89" s="32" t="n">
        <f>128438</f>
        <v>128438.0</v>
      </c>
      <c r="U89" s="32" t="str">
        <f>"－"</f>
        <v>－</v>
      </c>
      <c r="V89" s="32" t="n">
        <f>1230272975</f>
        <v>1.230272975E9</v>
      </c>
      <c r="W89" s="32" t="str">
        <f>"－"</f>
        <v>－</v>
      </c>
      <c r="X89" s="36" t="n">
        <f>22</f>
        <v>22.0</v>
      </c>
    </row>
    <row r="90">
      <c r="A90" s="27" t="s">
        <v>42</v>
      </c>
      <c r="B90" s="27" t="s">
        <v>318</v>
      </c>
      <c r="C90" s="27" t="s">
        <v>319</v>
      </c>
      <c r="D90" s="27" t="s">
        <v>320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57260</f>
        <v>57260.0</v>
      </c>
      <c r="L90" s="34" t="s">
        <v>48</v>
      </c>
      <c r="M90" s="33" t="n">
        <f>59200</f>
        <v>59200.0</v>
      </c>
      <c r="N90" s="34" t="s">
        <v>60</v>
      </c>
      <c r="O90" s="33" t="n">
        <f>53450</f>
        <v>53450.0</v>
      </c>
      <c r="P90" s="34" t="s">
        <v>50</v>
      </c>
      <c r="Q90" s="33" t="n">
        <f>54450</f>
        <v>54450.0</v>
      </c>
      <c r="R90" s="34" t="s">
        <v>50</v>
      </c>
      <c r="S90" s="35" t="n">
        <f>56922.73</f>
        <v>56922.73</v>
      </c>
      <c r="T90" s="32" t="n">
        <f>10044</f>
        <v>10044.0</v>
      </c>
      <c r="U90" s="32" t="n">
        <f>19</f>
        <v>19.0</v>
      </c>
      <c r="V90" s="32" t="n">
        <f>561978460</f>
        <v>5.6197846E8</v>
      </c>
      <c r="W90" s="32" t="n">
        <f>996290</f>
        <v>996290.0</v>
      </c>
      <c r="X90" s="36" t="n">
        <f>22</f>
        <v>22.0</v>
      </c>
    </row>
    <row r="91">
      <c r="A91" s="27" t="s">
        <v>42</v>
      </c>
      <c r="B91" s="27" t="s">
        <v>321</v>
      </c>
      <c r="C91" s="27" t="s">
        <v>322</v>
      </c>
      <c r="D91" s="27" t="s">
        <v>323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20195</f>
        <v>20195.0</v>
      </c>
      <c r="L91" s="34" t="s">
        <v>48</v>
      </c>
      <c r="M91" s="33" t="n">
        <f>22080</f>
        <v>22080.0</v>
      </c>
      <c r="N91" s="34" t="s">
        <v>50</v>
      </c>
      <c r="O91" s="33" t="n">
        <f>20140</f>
        <v>20140.0</v>
      </c>
      <c r="P91" s="34" t="s">
        <v>48</v>
      </c>
      <c r="Q91" s="33" t="n">
        <f>22045</f>
        <v>22045.0</v>
      </c>
      <c r="R91" s="34" t="s">
        <v>50</v>
      </c>
      <c r="S91" s="35" t="n">
        <f>21232.95</f>
        <v>21232.95</v>
      </c>
      <c r="T91" s="32" t="n">
        <f>1276021</f>
        <v>1276021.0</v>
      </c>
      <c r="U91" s="32" t="n">
        <f>1036</f>
        <v>1036.0</v>
      </c>
      <c r="V91" s="32" t="n">
        <f>27031120844</f>
        <v>2.7031120844E10</v>
      </c>
      <c r="W91" s="32" t="n">
        <f>22776314</f>
        <v>2.2776314E7</v>
      </c>
      <c r="X91" s="36" t="n">
        <f>22</f>
        <v>22.0</v>
      </c>
    </row>
    <row r="92">
      <c r="A92" s="27" t="s">
        <v>42</v>
      </c>
      <c r="B92" s="27" t="s">
        <v>324</v>
      </c>
      <c r="C92" s="27" t="s">
        <v>325</v>
      </c>
      <c r="D92" s="27" t="s">
        <v>326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45040</f>
        <v>45040.0</v>
      </c>
      <c r="L92" s="34" t="s">
        <v>48</v>
      </c>
      <c r="M92" s="33" t="n">
        <f>48660</f>
        <v>48660.0</v>
      </c>
      <c r="N92" s="34" t="s">
        <v>50</v>
      </c>
      <c r="O92" s="33" t="n">
        <f>44960</f>
        <v>44960.0</v>
      </c>
      <c r="P92" s="34" t="s">
        <v>48</v>
      </c>
      <c r="Q92" s="33" t="n">
        <f>48570</f>
        <v>48570.0</v>
      </c>
      <c r="R92" s="34" t="s">
        <v>50</v>
      </c>
      <c r="S92" s="35" t="n">
        <f>47031.36</f>
        <v>47031.36</v>
      </c>
      <c r="T92" s="32" t="n">
        <f>123836</f>
        <v>123836.0</v>
      </c>
      <c r="U92" s="32" t="n">
        <f>13001</f>
        <v>13001.0</v>
      </c>
      <c r="V92" s="32" t="n">
        <f>5803068695</f>
        <v>5.803068695E9</v>
      </c>
      <c r="W92" s="32" t="n">
        <f>603753845</f>
        <v>6.03753845E8</v>
      </c>
      <c r="X92" s="36" t="n">
        <f>22</f>
        <v>22.0</v>
      </c>
    </row>
    <row r="93">
      <c r="A93" s="27" t="s">
        <v>42</v>
      </c>
      <c r="B93" s="27" t="s">
        <v>327</v>
      </c>
      <c r="C93" s="27" t="s">
        <v>328</v>
      </c>
      <c r="D93" s="27" t="s">
        <v>329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6352</f>
        <v>6352.0</v>
      </c>
      <c r="L93" s="34" t="s">
        <v>48</v>
      </c>
      <c r="M93" s="33" t="n">
        <f>6960</f>
        <v>6960.0</v>
      </c>
      <c r="N93" s="34" t="s">
        <v>50</v>
      </c>
      <c r="O93" s="33" t="n">
        <f>6342</f>
        <v>6342.0</v>
      </c>
      <c r="P93" s="34" t="s">
        <v>48</v>
      </c>
      <c r="Q93" s="33" t="n">
        <f>6948</f>
        <v>6948.0</v>
      </c>
      <c r="R93" s="34" t="s">
        <v>50</v>
      </c>
      <c r="S93" s="35" t="n">
        <f>6680.73</f>
        <v>6680.73</v>
      </c>
      <c r="T93" s="32" t="n">
        <f>1066360</f>
        <v>1066360.0</v>
      </c>
      <c r="U93" s="32" t="n">
        <f>31800</f>
        <v>31800.0</v>
      </c>
      <c r="V93" s="32" t="n">
        <f>7084937218</f>
        <v>7.084937218E9</v>
      </c>
      <c r="W93" s="32" t="n">
        <f>206632458</f>
        <v>2.06632458E8</v>
      </c>
      <c r="X93" s="36" t="n">
        <f>22</f>
        <v>22.0</v>
      </c>
    </row>
    <row r="94">
      <c r="A94" s="27" t="s">
        <v>42</v>
      </c>
      <c r="B94" s="27" t="s">
        <v>330</v>
      </c>
      <c r="C94" s="27" t="s">
        <v>331</v>
      </c>
      <c r="D94" s="27" t="s">
        <v>332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4058</f>
        <v>4058.0</v>
      </c>
      <c r="L94" s="34" t="s">
        <v>48</v>
      </c>
      <c r="M94" s="33" t="n">
        <f>4384</f>
        <v>4384.0</v>
      </c>
      <c r="N94" s="34" t="s">
        <v>50</v>
      </c>
      <c r="O94" s="33" t="n">
        <f>4052</f>
        <v>4052.0</v>
      </c>
      <c r="P94" s="34" t="s">
        <v>48</v>
      </c>
      <c r="Q94" s="33" t="n">
        <f>4372</f>
        <v>4372.0</v>
      </c>
      <c r="R94" s="34" t="s">
        <v>50</v>
      </c>
      <c r="S94" s="35" t="n">
        <f>4226.45</f>
        <v>4226.45</v>
      </c>
      <c r="T94" s="32" t="n">
        <f>133180</f>
        <v>133180.0</v>
      </c>
      <c r="U94" s="32" t="str">
        <f>"－"</f>
        <v>－</v>
      </c>
      <c r="V94" s="32" t="n">
        <f>561317480</f>
        <v>5.6131748E8</v>
      </c>
      <c r="W94" s="32" t="str">
        <f>"－"</f>
        <v>－</v>
      </c>
      <c r="X94" s="36" t="n">
        <f>22</f>
        <v>22.0</v>
      </c>
    </row>
    <row r="95">
      <c r="A95" s="27" t="s">
        <v>42</v>
      </c>
      <c r="B95" s="27" t="s">
        <v>333</v>
      </c>
      <c r="C95" s="27" t="s">
        <v>334</v>
      </c>
      <c r="D95" s="27" t="s">
        <v>335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4439</f>
        <v>4439.0</v>
      </c>
      <c r="L95" s="34" t="s">
        <v>117</v>
      </c>
      <c r="M95" s="33" t="n">
        <f>4578</f>
        <v>4578.0</v>
      </c>
      <c r="N95" s="34" t="s">
        <v>212</v>
      </c>
      <c r="O95" s="33" t="n">
        <f>4381</f>
        <v>4381.0</v>
      </c>
      <c r="P95" s="34" t="s">
        <v>65</v>
      </c>
      <c r="Q95" s="33" t="n">
        <f>4491</f>
        <v>4491.0</v>
      </c>
      <c r="R95" s="34" t="s">
        <v>50</v>
      </c>
      <c r="S95" s="35" t="n">
        <f>4484.1</f>
        <v>4484.1</v>
      </c>
      <c r="T95" s="32" t="n">
        <f>5050</f>
        <v>5050.0</v>
      </c>
      <c r="U95" s="32" t="str">
        <f>"－"</f>
        <v>－</v>
      </c>
      <c r="V95" s="32" t="n">
        <f>22631390</f>
        <v>2.263139E7</v>
      </c>
      <c r="W95" s="32" t="str">
        <f>"－"</f>
        <v>－</v>
      </c>
      <c r="X95" s="36" t="n">
        <f>20</f>
        <v>20.0</v>
      </c>
    </row>
    <row r="96">
      <c r="A96" s="27" t="s">
        <v>42</v>
      </c>
      <c r="B96" s="27" t="s">
        <v>336</v>
      </c>
      <c r="C96" s="27" t="s">
        <v>337</v>
      </c>
      <c r="D96" s="27" t="s">
        <v>338</v>
      </c>
      <c r="E96" s="28" t="s">
        <v>46</v>
      </c>
      <c r="F96" s="29" t="s">
        <v>46</v>
      </c>
      <c r="G96" s="30" t="s">
        <v>46</v>
      </c>
      <c r="H96" s="31" t="s">
        <v>339</v>
      </c>
      <c r="I96" s="31" t="s">
        <v>47</v>
      </c>
      <c r="J96" s="32" t="n">
        <v>1.0</v>
      </c>
      <c r="K96" s="33" t="n">
        <f>948</f>
        <v>948.0</v>
      </c>
      <c r="L96" s="34" t="s">
        <v>48</v>
      </c>
      <c r="M96" s="33" t="n">
        <f>957</f>
        <v>957.0</v>
      </c>
      <c r="N96" s="34" t="s">
        <v>48</v>
      </c>
      <c r="O96" s="33" t="n">
        <f>708</f>
        <v>708.0</v>
      </c>
      <c r="P96" s="34" t="s">
        <v>49</v>
      </c>
      <c r="Q96" s="33" t="n">
        <f>723</f>
        <v>723.0</v>
      </c>
      <c r="R96" s="34" t="s">
        <v>50</v>
      </c>
      <c r="S96" s="35" t="n">
        <f>787.82</f>
        <v>787.82</v>
      </c>
      <c r="T96" s="32" t="n">
        <f>47288687</f>
        <v>4.7288687E7</v>
      </c>
      <c r="U96" s="32" t="n">
        <f>1281</f>
        <v>1281.0</v>
      </c>
      <c r="V96" s="32" t="n">
        <f>37934815797</f>
        <v>3.7934815797E10</v>
      </c>
      <c r="W96" s="32" t="n">
        <f>1002764</f>
        <v>1002764.0</v>
      </c>
      <c r="X96" s="36" t="n">
        <f>22</f>
        <v>22.0</v>
      </c>
    </row>
    <row r="97">
      <c r="A97" s="27" t="s">
        <v>42</v>
      </c>
      <c r="B97" s="27" t="s">
        <v>340</v>
      </c>
      <c r="C97" s="27" t="s">
        <v>341</v>
      </c>
      <c r="D97" s="27" t="s">
        <v>342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3370</f>
        <v>3370.0</v>
      </c>
      <c r="L97" s="34" t="s">
        <v>48</v>
      </c>
      <c r="M97" s="33" t="n">
        <f>3677</f>
        <v>3677.0</v>
      </c>
      <c r="N97" s="34" t="s">
        <v>50</v>
      </c>
      <c r="O97" s="33" t="n">
        <f>3335</f>
        <v>3335.0</v>
      </c>
      <c r="P97" s="34" t="s">
        <v>48</v>
      </c>
      <c r="Q97" s="33" t="n">
        <f>3674</f>
        <v>3674.0</v>
      </c>
      <c r="R97" s="34" t="s">
        <v>50</v>
      </c>
      <c r="S97" s="35" t="n">
        <f>3544.77</f>
        <v>3544.77</v>
      </c>
      <c r="T97" s="32" t="n">
        <f>126090</f>
        <v>126090.0</v>
      </c>
      <c r="U97" s="32" t="n">
        <f>28510</f>
        <v>28510.0</v>
      </c>
      <c r="V97" s="32" t="n">
        <f>447516150</f>
        <v>4.4751615E8</v>
      </c>
      <c r="W97" s="32" t="n">
        <f>100766200</f>
        <v>1.007662E8</v>
      </c>
      <c r="X97" s="36" t="n">
        <f>22</f>
        <v>22.0</v>
      </c>
    </row>
    <row r="98">
      <c r="A98" s="27" t="s">
        <v>42</v>
      </c>
      <c r="B98" s="27" t="s">
        <v>343</v>
      </c>
      <c r="C98" s="27" t="s">
        <v>344</v>
      </c>
      <c r="D98" s="27" t="s">
        <v>345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1651.5</f>
        <v>1651.5</v>
      </c>
      <c r="L98" s="34" t="s">
        <v>48</v>
      </c>
      <c r="M98" s="33" t="n">
        <f>1785.5</f>
        <v>1785.5</v>
      </c>
      <c r="N98" s="34" t="s">
        <v>116</v>
      </c>
      <c r="O98" s="33" t="n">
        <f>1649</f>
        <v>1649.0</v>
      </c>
      <c r="P98" s="34" t="s">
        <v>48</v>
      </c>
      <c r="Q98" s="33" t="n">
        <f>1743.5</f>
        <v>1743.5</v>
      </c>
      <c r="R98" s="34" t="s">
        <v>50</v>
      </c>
      <c r="S98" s="35" t="n">
        <f>1709.7</f>
        <v>1709.7</v>
      </c>
      <c r="T98" s="32" t="n">
        <f>226250</f>
        <v>226250.0</v>
      </c>
      <c r="U98" s="32" t="n">
        <f>60060</f>
        <v>60060.0</v>
      </c>
      <c r="V98" s="32" t="n">
        <f>387994630</f>
        <v>3.8799463E8</v>
      </c>
      <c r="W98" s="32" t="n">
        <f>103446995</f>
        <v>1.03446995E8</v>
      </c>
      <c r="X98" s="36" t="n">
        <f>22</f>
        <v>22.0</v>
      </c>
    </row>
    <row r="99">
      <c r="A99" s="27" t="s">
        <v>42</v>
      </c>
      <c r="B99" s="27" t="s">
        <v>346</v>
      </c>
      <c r="C99" s="27" t="s">
        <v>347</v>
      </c>
      <c r="D99" s="27" t="s">
        <v>348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58270</f>
        <v>58270.0</v>
      </c>
      <c r="L99" s="34" t="s">
        <v>48</v>
      </c>
      <c r="M99" s="33" t="n">
        <f>63620</f>
        <v>63620.0</v>
      </c>
      <c r="N99" s="34" t="s">
        <v>50</v>
      </c>
      <c r="O99" s="33" t="n">
        <f>58150</f>
        <v>58150.0</v>
      </c>
      <c r="P99" s="34" t="s">
        <v>48</v>
      </c>
      <c r="Q99" s="33" t="n">
        <f>63530</f>
        <v>63530.0</v>
      </c>
      <c r="R99" s="34" t="s">
        <v>50</v>
      </c>
      <c r="S99" s="35" t="n">
        <f>61179.09</f>
        <v>61179.09</v>
      </c>
      <c r="T99" s="32" t="n">
        <f>101523</f>
        <v>101523.0</v>
      </c>
      <c r="U99" s="32" t="n">
        <f>11</f>
        <v>11.0</v>
      </c>
      <c r="V99" s="32" t="n">
        <f>6196885095</f>
        <v>6.196885095E9</v>
      </c>
      <c r="W99" s="32" t="n">
        <f>678015</f>
        <v>678015.0</v>
      </c>
      <c r="X99" s="36" t="n">
        <f>22</f>
        <v>22.0</v>
      </c>
    </row>
    <row r="100">
      <c r="A100" s="27" t="s">
        <v>42</v>
      </c>
      <c r="B100" s="27" t="s">
        <v>349</v>
      </c>
      <c r="C100" s="27" t="s">
        <v>350</v>
      </c>
      <c r="D100" s="27" t="s">
        <v>351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3415</f>
        <v>3415.0</v>
      </c>
      <c r="L100" s="34" t="s">
        <v>48</v>
      </c>
      <c r="M100" s="33" t="n">
        <f>3430</f>
        <v>3430.0</v>
      </c>
      <c r="N100" s="34" t="s">
        <v>49</v>
      </c>
      <c r="O100" s="33" t="n">
        <f>3260</f>
        <v>3260.0</v>
      </c>
      <c r="P100" s="34" t="s">
        <v>186</v>
      </c>
      <c r="Q100" s="33" t="n">
        <f>3420</f>
        <v>3420.0</v>
      </c>
      <c r="R100" s="34" t="s">
        <v>50</v>
      </c>
      <c r="S100" s="35" t="n">
        <f>3388.86</f>
        <v>3388.86</v>
      </c>
      <c r="T100" s="32" t="n">
        <f>6844</f>
        <v>6844.0</v>
      </c>
      <c r="U100" s="32" t="str">
        <f>"－"</f>
        <v>－</v>
      </c>
      <c r="V100" s="32" t="n">
        <f>23098715</f>
        <v>2.3098715E7</v>
      </c>
      <c r="W100" s="32" t="str">
        <f>"－"</f>
        <v>－</v>
      </c>
      <c r="X100" s="36" t="n">
        <f>22</f>
        <v>22.0</v>
      </c>
    </row>
    <row r="101">
      <c r="A101" s="27" t="s">
        <v>42</v>
      </c>
      <c r="B101" s="27" t="s">
        <v>352</v>
      </c>
      <c r="C101" s="27" t="s">
        <v>353</v>
      </c>
      <c r="D101" s="27" t="s">
        <v>354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4285</f>
        <v>4285.0</v>
      </c>
      <c r="L101" s="34" t="s">
        <v>48</v>
      </c>
      <c r="M101" s="33" t="n">
        <f>4375</f>
        <v>4375.0</v>
      </c>
      <c r="N101" s="34" t="s">
        <v>102</v>
      </c>
      <c r="O101" s="33" t="n">
        <f>4190</f>
        <v>4190.0</v>
      </c>
      <c r="P101" s="34" t="s">
        <v>222</v>
      </c>
      <c r="Q101" s="33" t="n">
        <f>4325</f>
        <v>4325.0</v>
      </c>
      <c r="R101" s="34" t="s">
        <v>50</v>
      </c>
      <c r="S101" s="35" t="n">
        <f>4262.05</f>
        <v>4262.05</v>
      </c>
      <c r="T101" s="32" t="n">
        <f>5139</f>
        <v>5139.0</v>
      </c>
      <c r="U101" s="32" t="str">
        <f>"－"</f>
        <v>－</v>
      </c>
      <c r="V101" s="32" t="n">
        <f>21901890</f>
        <v>2.190189E7</v>
      </c>
      <c r="W101" s="32" t="str">
        <f>"－"</f>
        <v>－</v>
      </c>
      <c r="X101" s="36" t="n">
        <f>22</f>
        <v>22.0</v>
      </c>
    </row>
    <row r="102">
      <c r="A102" s="27" t="s">
        <v>42</v>
      </c>
      <c r="B102" s="27" t="s">
        <v>355</v>
      </c>
      <c r="C102" s="27" t="s">
        <v>356</v>
      </c>
      <c r="D102" s="27" t="s">
        <v>357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2557</f>
        <v>2557.0</v>
      </c>
      <c r="L102" s="34" t="s">
        <v>48</v>
      </c>
      <c r="M102" s="33" t="n">
        <f>3090</f>
        <v>3090.0</v>
      </c>
      <c r="N102" s="34" t="s">
        <v>155</v>
      </c>
      <c r="O102" s="33" t="n">
        <f>2522</f>
        <v>2522.0</v>
      </c>
      <c r="P102" s="34" t="s">
        <v>48</v>
      </c>
      <c r="Q102" s="33" t="n">
        <f>2691</f>
        <v>2691.0</v>
      </c>
      <c r="R102" s="34" t="s">
        <v>50</v>
      </c>
      <c r="S102" s="35" t="n">
        <f>2777.68</f>
        <v>2777.68</v>
      </c>
      <c r="T102" s="32" t="n">
        <f>2154126</f>
        <v>2154126.0</v>
      </c>
      <c r="U102" s="32" t="n">
        <f>3979</f>
        <v>3979.0</v>
      </c>
      <c r="V102" s="32" t="n">
        <f>6086302303</f>
        <v>6.086302303E9</v>
      </c>
      <c r="W102" s="32" t="n">
        <f>10829530</f>
        <v>1.082953E7</v>
      </c>
      <c r="X102" s="36" t="n">
        <f>22</f>
        <v>22.0</v>
      </c>
    </row>
    <row r="103">
      <c r="A103" s="27" t="s">
        <v>42</v>
      </c>
      <c r="B103" s="27" t="s">
        <v>358</v>
      </c>
      <c r="C103" s="27" t="s">
        <v>359</v>
      </c>
      <c r="D103" s="27" t="s">
        <v>360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45320</f>
        <v>45320.0</v>
      </c>
      <c r="L103" s="34" t="s">
        <v>48</v>
      </c>
      <c r="M103" s="33" t="n">
        <f>47710</f>
        <v>47710.0</v>
      </c>
      <c r="N103" s="34" t="s">
        <v>102</v>
      </c>
      <c r="O103" s="33" t="n">
        <f>45100</f>
        <v>45100.0</v>
      </c>
      <c r="P103" s="34" t="s">
        <v>48</v>
      </c>
      <c r="Q103" s="33" t="n">
        <f>47600</f>
        <v>47600.0</v>
      </c>
      <c r="R103" s="34" t="s">
        <v>50</v>
      </c>
      <c r="S103" s="35" t="n">
        <f>46457.73</f>
        <v>46457.73</v>
      </c>
      <c r="T103" s="32" t="n">
        <f>13219</f>
        <v>13219.0</v>
      </c>
      <c r="U103" s="32" t="n">
        <f>10</f>
        <v>10.0</v>
      </c>
      <c r="V103" s="32" t="n">
        <f>615850670</f>
        <v>6.1585067E8</v>
      </c>
      <c r="W103" s="32" t="n">
        <f>491860</f>
        <v>491860.0</v>
      </c>
      <c r="X103" s="36" t="n">
        <f>22</f>
        <v>22.0</v>
      </c>
    </row>
    <row r="104">
      <c r="A104" s="27" t="s">
        <v>42</v>
      </c>
      <c r="B104" s="27" t="s">
        <v>361</v>
      </c>
      <c r="C104" s="27" t="s">
        <v>362</v>
      </c>
      <c r="D104" s="27" t="s">
        <v>363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29385</f>
        <v>29385.0</v>
      </c>
      <c r="L104" s="34" t="s">
        <v>48</v>
      </c>
      <c r="M104" s="33" t="n">
        <f>34670</f>
        <v>34670.0</v>
      </c>
      <c r="N104" s="34" t="s">
        <v>49</v>
      </c>
      <c r="O104" s="33" t="n">
        <f>29325</f>
        <v>29325.0</v>
      </c>
      <c r="P104" s="34" t="s">
        <v>48</v>
      </c>
      <c r="Q104" s="33" t="n">
        <f>33920</f>
        <v>33920.0</v>
      </c>
      <c r="R104" s="34" t="s">
        <v>50</v>
      </c>
      <c r="S104" s="35" t="n">
        <f>32944.32</f>
        <v>32944.32</v>
      </c>
      <c r="T104" s="32" t="n">
        <f>2457680</f>
        <v>2457680.0</v>
      </c>
      <c r="U104" s="32" t="n">
        <f>8000</f>
        <v>8000.0</v>
      </c>
      <c r="V104" s="32" t="n">
        <f>81290756350</f>
        <v>8.129075635E10</v>
      </c>
      <c r="W104" s="32" t="n">
        <f>261440000</f>
        <v>2.6144E8</v>
      </c>
      <c r="X104" s="36" t="n">
        <f>22</f>
        <v>22.0</v>
      </c>
    </row>
    <row r="105">
      <c r="A105" s="27" t="s">
        <v>42</v>
      </c>
      <c r="B105" s="27" t="s">
        <v>364</v>
      </c>
      <c r="C105" s="27" t="s">
        <v>365</v>
      </c>
      <c r="D105" s="27" t="s">
        <v>366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1798</f>
        <v>1798.0</v>
      </c>
      <c r="L105" s="34" t="s">
        <v>48</v>
      </c>
      <c r="M105" s="33" t="n">
        <f>1800</f>
        <v>1800.0</v>
      </c>
      <c r="N105" s="34" t="s">
        <v>48</v>
      </c>
      <c r="O105" s="33" t="n">
        <f>1648.5</f>
        <v>1648.5</v>
      </c>
      <c r="P105" s="34" t="s">
        <v>49</v>
      </c>
      <c r="Q105" s="33" t="n">
        <f>1667</f>
        <v>1667.0</v>
      </c>
      <c r="R105" s="34" t="s">
        <v>50</v>
      </c>
      <c r="S105" s="35" t="n">
        <f>1694.66</f>
        <v>1694.66</v>
      </c>
      <c r="T105" s="32" t="n">
        <f>691690</f>
        <v>691690.0</v>
      </c>
      <c r="U105" s="32" t="str">
        <f>"－"</f>
        <v>－</v>
      </c>
      <c r="V105" s="32" t="n">
        <f>1175810120</f>
        <v>1.17581012E9</v>
      </c>
      <c r="W105" s="32" t="str">
        <f>"－"</f>
        <v>－</v>
      </c>
      <c r="X105" s="36" t="n">
        <f>22</f>
        <v>22.0</v>
      </c>
    </row>
    <row r="106">
      <c r="A106" s="27" t="s">
        <v>42</v>
      </c>
      <c r="B106" s="27" t="s">
        <v>367</v>
      </c>
      <c r="C106" s="27" t="s">
        <v>368</v>
      </c>
      <c r="D106" s="27" t="s">
        <v>369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18040</f>
        <v>18040.0</v>
      </c>
      <c r="L106" s="34" t="s">
        <v>48</v>
      </c>
      <c r="M106" s="33" t="n">
        <f>21570</f>
        <v>21570.0</v>
      </c>
      <c r="N106" s="34" t="s">
        <v>60</v>
      </c>
      <c r="O106" s="33" t="n">
        <f>17985</f>
        <v>17985.0</v>
      </c>
      <c r="P106" s="34" t="s">
        <v>48</v>
      </c>
      <c r="Q106" s="33" t="n">
        <f>20825</f>
        <v>20825.0</v>
      </c>
      <c r="R106" s="34" t="s">
        <v>50</v>
      </c>
      <c r="S106" s="35" t="n">
        <f>20267.05</f>
        <v>20267.05</v>
      </c>
      <c r="T106" s="32" t="n">
        <f>176272362</f>
        <v>1.76272362E8</v>
      </c>
      <c r="U106" s="32" t="n">
        <f>216041</f>
        <v>216041.0</v>
      </c>
      <c r="V106" s="32" t="n">
        <f>3573221457148</f>
        <v>3.573221457148E12</v>
      </c>
      <c r="W106" s="32" t="n">
        <f>4293929978</f>
        <v>4.293929978E9</v>
      </c>
      <c r="X106" s="36" t="n">
        <f>22</f>
        <v>22.0</v>
      </c>
    </row>
    <row r="107">
      <c r="A107" s="27" t="s">
        <v>42</v>
      </c>
      <c r="B107" s="27" t="s">
        <v>370</v>
      </c>
      <c r="C107" s="27" t="s">
        <v>371</v>
      </c>
      <c r="D107" s="27" t="s">
        <v>372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833</f>
        <v>833.0</v>
      </c>
      <c r="L107" s="34" t="s">
        <v>48</v>
      </c>
      <c r="M107" s="33" t="n">
        <f>834</f>
        <v>834.0</v>
      </c>
      <c r="N107" s="34" t="s">
        <v>48</v>
      </c>
      <c r="O107" s="33" t="n">
        <f>759</f>
        <v>759.0</v>
      </c>
      <c r="P107" s="34" t="s">
        <v>70</v>
      </c>
      <c r="Q107" s="33" t="n">
        <f>770</f>
        <v>770.0</v>
      </c>
      <c r="R107" s="34" t="s">
        <v>50</v>
      </c>
      <c r="S107" s="35" t="n">
        <f>783.27</f>
        <v>783.27</v>
      </c>
      <c r="T107" s="32" t="n">
        <f>79568921</f>
        <v>7.9568921E7</v>
      </c>
      <c r="U107" s="32" t="n">
        <f>1725678</f>
        <v>1725678.0</v>
      </c>
      <c r="V107" s="32" t="n">
        <f>62505594936</f>
        <v>6.2505594936E10</v>
      </c>
      <c r="W107" s="32" t="n">
        <f>1400699929</f>
        <v>1.400699929E9</v>
      </c>
      <c r="X107" s="36" t="n">
        <f>22</f>
        <v>22.0</v>
      </c>
    </row>
    <row r="108">
      <c r="A108" s="27" t="s">
        <v>42</v>
      </c>
      <c r="B108" s="27" t="s">
        <v>373</v>
      </c>
      <c r="C108" s="27" t="s">
        <v>374</v>
      </c>
      <c r="D108" s="27" t="s">
        <v>375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3903</f>
        <v>3903.0</v>
      </c>
      <c r="L108" s="34" t="s">
        <v>48</v>
      </c>
      <c r="M108" s="33" t="n">
        <f>4996</f>
        <v>4996.0</v>
      </c>
      <c r="N108" s="34" t="s">
        <v>60</v>
      </c>
      <c r="O108" s="33" t="n">
        <f>3903</f>
        <v>3903.0</v>
      </c>
      <c r="P108" s="34" t="s">
        <v>48</v>
      </c>
      <c r="Q108" s="33" t="n">
        <f>4492</f>
        <v>4492.0</v>
      </c>
      <c r="R108" s="34" t="s">
        <v>50</v>
      </c>
      <c r="S108" s="35" t="n">
        <f>4509.32</f>
        <v>4509.32</v>
      </c>
      <c r="T108" s="32" t="n">
        <f>259040</f>
        <v>259040.0</v>
      </c>
      <c r="U108" s="32" t="n">
        <f>110</f>
        <v>110.0</v>
      </c>
      <c r="V108" s="32" t="n">
        <f>1174221580</f>
        <v>1.17422158E9</v>
      </c>
      <c r="W108" s="32" t="n">
        <f>501240</f>
        <v>501240.0</v>
      </c>
      <c r="X108" s="36" t="n">
        <f>22</f>
        <v>22.0</v>
      </c>
    </row>
    <row r="109">
      <c r="A109" s="27" t="s">
        <v>42</v>
      </c>
      <c r="B109" s="27" t="s">
        <v>376</v>
      </c>
      <c r="C109" s="27" t="s">
        <v>377</v>
      </c>
      <c r="D109" s="27" t="s">
        <v>378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11830</f>
        <v>11830.0</v>
      </c>
      <c r="L109" s="34" t="s">
        <v>48</v>
      </c>
      <c r="M109" s="33" t="n">
        <f>11830</f>
        <v>11830.0</v>
      </c>
      <c r="N109" s="34" t="s">
        <v>48</v>
      </c>
      <c r="O109" s="33" t="n">
        <f>10390</f>
        <v>10390.0</v>
      </c>
      <c r="P109" s="34" t="s">
        <v>65</v>
      </c>
      <c r="Q109" s="33" t="n">
        <f>11315</f>
        <v>11315.0</v>
      </c>
      <c r="R109" s="34" t="s">
        <v>50</v>
      </c>
      <c r="S109" s="35" t="n">
        <f>11033.41</f>
        <v>11033.41</v>
      </c>
      <c r="T109" s="32" t="n">
        <f>24090</f>
        <v>24090.0</v>
      </c>
      <c r="U109" s="32" t="str">
        <f>"－"</f>
        <v>－</v>
      </c>
      <c r="V109" s="32" t="n">
        <f>265819350</f>
        <v>2.6581935E8</v>
      </c>
      <c r="W109" s="32" t="str">
        <f>"－"</f>
        <v>－</v>
      </c>
      <c r="X109" s="36" t="n">
        <f>22</f>
        <v>22.0</v>
      </c>
    </row>
    <row r="110">
      <c r="A110" s="27" t="s">
        <v>42</v>
      </c>
      <c r="B110" s="27" t="s">
        <v>379</v>
      </c>
      <c r="C110" s="27" t="s">
        <v>380</v>
      </c>
      <c r="D110" s="27" t="s">
        <v>381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26725</f>
        <v>26725.0</v>
      </c>
      <c r="L110" s="34" t="s">
        <v>48</v>
      </c>
      <c r="M110" s="33" t="n">
        <f>29570</f>
        <v>29570.0</v>
      </c>
      <c r="N110" s="34" t="s">
        <v>49</v>
      </c>
      <c r="O110" s="33" t="n">
        <f>26725</f>
        <v>26725.0</v>
      </c>
      <c r="P110" s="34" t="s">
        <v>48</v>
      </c>
      <c r="Q110" s="33" t="n">
        <f>29260</f>
        <v>29260.0</v>
      </c>
      <c r="R110" s="34" t="s">
        <v>50</v>
      </c>
      <c r="S110" s="35" t="n">
        <f>28454.32</f>
        <v>28454.32</v>
      </c>
      <c r="T110" s="32" t="n">
        <f>92532</f>
        <v>92532.0</v>
      </c>
      <c r="U110" s="32" t="n">
        <f>29973</f>
        <v>29973.0</v>
      </c>
      <c r="V110" s="32" t="n">
        <f>2628873505</f>
        <v>2.628873505E9</v>
      </c>
      <c r="W110" s="32" t="n">
        <f>849796020</f>
        <v>8.4979602E8</v>
      </c>
      <c r="X110" s="36" t="n">
        <f>22</f>
        <v>22.0</v>
      </c>
    </row>
    <row r="111">
      <c r="A111" s="27" t="s">
        <v>42</v>
      </c>
      <c r="B111" s="27" t="s">
        <v>382</v>
      </c>
      <c r="C111" s="27" t="s">
        <v>383</v>
      </c>
      <c r="D111" s="27" t="s">
        <v>384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2483</f>
        <v>2483.0</v>
      </c>
      <c r="L111" s="34" t="s">
        <v>48</v>
      </c>
      <c r="M111" s="33" t="n">
        <f>2717</f>
        <v>2717.0</v>
      </c>
      <c r="N111" s="34" t="s">
        <v>60</v>
      </c>
      <c r="O111" s="33" t="n">
        <f>2478</f>
        <v>2478.0</v>
      </c>
      <c r="P111" s="34" t="s">
        <v>48</v>
      </c>
      <c r="Q111" s="33" t="n">
        <f>2669</f>
        <v>2669.0</v>
      </c>
      <c r="R111" s="34" t="s">
        <v>50</v>
      </c>
      <c r="S111" s="35" t="n">
        <f>2632.73</f>
        <v>2632.73</v>
      </c>
      <c r="T111" s="32" t="n">
        <f>559669</f>
        <v>559669.0</v>
      </c>
      <c r="U111" s="32" t="n">
        <f>500000</f>
        <v>500000.0</v>
      </c>
      <c r="V111" s="32" t="n">
        <f>1469035347</f>
        <v>1.469035347E9</v>
      </c>
      <c r="W111" s="32" t="n">
        <f>1312309000</f>
        <v>1.312309E9</v>
      </c>
      <c r="X111" s="36" t="n">
        <f>22</f>
        <v>22.0</v>
      </c>
    </row>
    <row r="112">
      <c r="A112" s="27" t="s">
        <v>42</v>
      </c>
      <c r="B112" s="27" t="s">
        <v>385</v>
      </c>
      <c r="C112" s="27" t="s">
        <v>386</v>
      </c>
      <c r="D112" s="27" t="s">
        <v>387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19280</f>
        <v>19280.0</v>
      </c>
      <c r="L112" s="34" t="s">
        <v>48</v>
      </c>
      <c r="M112" s="33" t="n">
        <f>23045</f>
        <v>23045.0</v>
      </c>
      <c r="N112" s="34" t="s">
        <v>60</v>
      </c>
      <c r="O112" s="33" t="n">
        <f>19230</f>
        <v>19230.0</v>
      </c>
      <c r="P112" s="34" t="s">
        <v>48</v>
      </c>
      <c r="Q112" s="33" t="n">
        <f>22250</f>
        <v>22250.0</v>
      </c>
      <c r="R112" s="34" t="s">
        <v>50</v>
      </c>
      <c r="S112" s="35" t="n">
        <f>21649.77</f>
        <v>21649.77</v>
      </c>
      <c r="T112" s="32" t="n">
        <f>16723570</f>
        <v>1.672357E7</v>
      </c>
      <c r="U112" s="32" t="n">
        <f>44160</f>
        <v>44160.0</v>
      </c>
      <c r="V112" s="32" t="n">
        <f>361741813825</f>
        <v>3.61741813825E11</v>
      </c>
      <c r="W112" s="32" t="n">
        <f>998342175</f>
        <v>9.98342175E8</v>
      </c>
      <c r="X112" s="36" t="n">
        <f>22</f>
        <v>22.0</v>
      </c>
    </row>
    <row r="113">
      <c r="A113" s="27" t="s">
        <v>42</v>
      </c>
      <c r="B113" s="27" t="s">
        <v>388</v>
      </c>
      <c r="C113" s="27" t="s">
        <v>389</v>
      </c>
      <c r="D113" s="27" t="s">
        <v>390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2208</f>
        <v>2208.0</v>
      </c>
      <c r="L113" s="34" t="s">
        <v>48</v>
      </c>
      <c r="M113" s="33" t="n">
        <f>2212</f>
        <v>2212.0</v>
      </c>
      <c r="N113" s="34" t="s">
        <v>48</v>
      </c>
      <c r="O113" s="33" t="n">
        <f>2012.5</f>
        <v>2012.5</v>
      </c>
      <c r="P113" s="34" t="s">
        <v>60</v>
      </c>
      <c r="Q113" s="33" t="n">
        <f>2044.5</f>
        <v>2044.5</v>
      </c>
      <c r="R113" s="34" t="s">
        <v>50</v>
      </c>
      <c r="S113" s="35" t="n">
        <f>2079.09</f>
        <v>2079.09</v>
      </c>
      <c r="T113" s="32" t="n">
        <f>4784430</f>
        <v>4784430.0</v>
      </c>
      <c r="U113" s="32" t="n">
        <f>135000</f>
        <v>135000.0</v>
      </c>
      <c r="V113" s="32" t="n">
        <f>9880296905</f>
        <v>9.880296905E9</v>
      </c>
      <c r="W113" s="32" t="n">
        <f>283257240</f>
        <v>2.8325724E8</v>
      </c>
      <c r="X113" s="36" t="n">
        <f>22</f>
        <v>22.0</v>
      </c>
    </row>
    <row r="114">
      <c r="A114" s="27" t="s">
        <v>42</v>
      </c>
      <c r="B114" s="27" t="s">
        <v>391</v>
      </c>
      <c r="C114" s="27" t="s">
        <v>392</v>
      </c>
      <c r="D114" s="27" t="s">
        <v>393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1696</f>
        <v>1696.0</v>
      </c>
      <c r="L114" s="34" t="s">
        <v>117</v>
      </c>
      <c r="M114" s="33" t="n">
        <f>1800</f>
        <v>1800.0</v>
      </c>
      <c r="N114" s="34" t="s">
        <v>49</v>
      </c>
      <c r="O114" s="33" t="n">
        <f>1696</f>
        <v>1696.0</v>
      </c>
      <c r="P114" s="34" t="s">
        <v>117</v>
      </c>
      <c r="Q114" s="33" t="n">
        <f>1800</f>
        <v>1800.0</v>
      </c>
      <c r="R114" s="34" t="s">
        <v>49</v>
      </c>
      <c r="S114" s="35" t="n">
        <f>1755.35</f>
        <v>1755.35</v>
      </c>
      <c r="T114" s="32" t="n">
        <f>4270</f>
        <v>4270.0</v>
      </c>
      <c r="U114" s="32" t="str">
        <f>"－"</f>
        <v>－</v>
      </c>
      <c r="V114" s="32" t="n">
        <f>7536040</f>
        <v>7536040.0</v>
      </c>
      <c r="W114" s="32" t="str">
        <f>"－"</f>
        <v>－</v>
      </c>
      <c r="X114" s="36" t="n">
        <f>10</f>
        <v>10.0</v>
      </c>
    </row>
    <row r="115">
      <c r="A115" s="27" t="s">
        <v>42</v>
      </c>
      <c r="B115" s="27" t="s">
        <v>394</v>
      </c>
      <c r="C115" s="27" t="s">
        <v>395</v>
      </c>
      <c r="D115" s="27" t="s">
        <v>396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1781</f>
        <v>1781.0</v>
      </c>
      <c r="L115" s="34" t="s">
        <v>48</v>
      </c>
      <c r="M115" s="33" t="n">
        <f>1940</f>
        <v>1940.0</v>
      </c>
      <c r="N115" s="34" t="s">
        <v>397</v>
      </c>
      <c r="O115" s="33" t="n">
        <f>1766</f>
        <v>1766.0</v>
      </c>
      <c r="P115" s="34" t="s">
        <v>48</v>
      </c>
      <c r="Q115" s="33" t="n">
        <f>1885</f>
        <v>1885.0</v>
      </c>
      <c r="R115" s="34" t="s">
        <v>50</v>
      </c>
      <c r="S115" s="35" t="n">
        <f>1872.91</f>
        <v>1872.91</v>
      </c>
      <c r="T115" s="32" t="n">
        <f>210847</f>
        <v>210847.0</v>
      </c>
      <c r="U115" s="32" t="n">
        <f>200000</f>
        <v>200000.0</v>
      </c>
      <c r="V115" s="32" t="n">
        <f>388509101</f>
        <v>3.88509101E8</v>
      </c>
      <c r="W115" s="32" t="n">
        <f>368360000</f>
        <v>3.6836E8</v>
      </c>
      <c r="X115" s="36" t="n">
        <f>22</f>
        <v>22.0</v>
      </c>
    </row>
    <row r="116">
      <c r="A116" s="27" t="s">
        <v>42</v>
      </c>
      <c r="B116" s="27" t="s">
        <v>398</v>
      </c>
      <c r="C116" s="27" t="s">
        <v>399</v>
      </c>
      <c r="D116" s="27" t="s">
        <v>400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19370</f>
        <v>19370.0</v>
      </c>
      <c r="L116" s="34" t="s">
        <v>48</v>
      </c>
      <c r="M116" s="33" t="n">
        <f>21115</f>
        <v>21115.0</v>
      </c>
      <c r="N116" s="34" t="s">
        <v>226</v>
      </c>
      <c r="O116" s="33" t="n">
        <f>19370</f>
        <v>19370.0</v>
      </c>
      <c r="P116" s="34" t="s">
        <v>48</v>
      </c>
      <c r="Q116" s="33" t="n">
        <f>20810</f>
        <v>20810.0</v>
      </c>
      <c r="R116" s="34" t="s">
        <v>50</v>
      </c>
      <c r="S116" s="35" t="n">
        <f>20566.36</f>
        <v>20566.36</v>
      </c>
      <c r="T116" s="32" t="n">
        <f>85803</f>
        <v>85803.0</v>
      </c>
      <c r="U116" s="32" t="n">
        <f>43500</f>
        <v>43500.0</v>
      </c>
      <c r="V116" s="32" t="n">
        <f>1761902520</f>
        <v>1.76190252E9</v>
      </c>
      <c r="W116" s="32" t="n">
        <f>897645200</f>
        <v>8.976452E8</v>
      </c>
      <c r="X116" s="36" t="n">
        <f>22</f>
        <v>22.0</v>
      </c>
    </row>
    <row r="117">
      <c r="A117" s="27" t="s">
        <v>42</v>
      </c>
      <c r="B117" s="27" t="s">
        <v>401</v>
      </c>
      <c r="C117" s="27" t="s">
        <v>402</v>
      </c>
      <c r="D117" s="27" t="s">
        <v>403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1790</f>
        <v>1790.0</v>
      </c>
      <c r="L117" s="34" t="s">
        <v>48</v>
      </c>
      <c r="M117" s="33" t="n">
        <f>1949</f>
        <v>1949.0</v>
      </c>
      <c r="N117" s="34" t="s">
        <v>60</v>
      </c>
      <c r="O117" s="33" t="n">
        <f>1788</f>
        <v>1788.0</v>
      </c>
      <c r="P117" s="34" t="s">
        <v>48</v>
      </c>
      <c r="Q117" s="33" t="n">
        <f>1924</f>
        <v>1924.0</v>
      </c>
      <c r="R117" s="34" t="s">
        <v>50</v>
      </c>
      <c r="S117" s="35" t="n">
        <f>1900.45</f>
        <v>1900.45</v>
      </c>
      <c r="T117" s="32" t="n">
        <f>406478</f>
        <v>406478.0</v>
      </c>
      <c r="U117" s="32" t="n">
        <f>336594</f>
        <v>336594.0</v>
      </c>
      <c r="V117" s="32" t="n">
        <f>766086879</f>
        <v>7.66086879E8</v>
      </c>
      <c r="W117" s="32" t="n">
        <f>633886989</f>
        <v>6.33886989E8</v>
      </c>
      <c r="X117" s="36" t="n">
        <f>22</f>
        <v>22.0</v>
      </c>
    </row>
    <row r="118">
      <c r="A118" s="27" t="s">
        <v>42</v>
      </c>
      <c r="B118" s="27" t="s">
        <v>404</v>
      </c>
      <c r="C118" s="27" t="s">
        <v>405</v>
      </c>
      <c r="D118" s="27" t="s">
        <v>406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19935</f>
        <v>19935.0</v>
      </c>
      <c r="L118" s="34" t="s">
        <v>48</v>
      </c>
      <c r="M118" s="33" t="n">
        <f>21780</f>
        <v>21780.0</v>
      </c>
      <c r="N118" s="34" t="s">
        <v>226</v>
      </c>
      <c r="O118" s="33" t="n">
        <f>19935</f>
        <v>19935.0</v>
      </c>
      <c r="P118" s="34" t="s">
        <v>48</v>
      </c>
      <c r="Q118" s="33" t="n">
        <f>21510</f>
        <v>21510.0</v>
      </c>
      <c r="R118" s="34" t="s">
        <v>50</v>
      </c>
      <c r="S118" s="35" t="n">
        <f>21229.32</f>
        <v>21229.32</v>
      </c>
      <c r="T118" s="32" t="n">
        <f>39260</f>
        <v>39260.0</v>
      </c>
      <c r="U118" s="32" t="n">
        <f>25165</f>
        <v>25165.0</v>
      </c>
      <c r="V118" s="32" t="n">
        <f>840466889</f>
        <v>8.40466889E8</v>
      </c>
      <c r="W118" s="32" t="n">
        <f>541160019</f>
        <v>5.41160019E8</v>
      </c>
      <c r="X118" s="36" t="n">
        <f>22</f>
        <v>22.0</v>
      </c>
    </row>
    <row r="119">
      <c r="A119" s="27" t="s">
        <v>42</v>
      </c>
      <c r="B119" s="27" t="s">
        <v>407</v>
      </c>
      <c r="C119" s="27" t="s">
        <v>408</v>
      </c>
      <c r="D119" s="27" t="s">
        <v>409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1910.5</f>
        <v>1910.5</v>
      </c>
      <c r="L119" s="34" t="s">
        <v>48</v>
      </c>
      <c r="M119" s="33" t="n">
        <f>1916</f>
        <v>1916.0</v>
      </c>
      <c r="N119" s="34" t="s">
        <v>102</v>
      </c>
      <c r="O119" s="33" t="n">
        <f>1873</f>
        <v>1873.0</v>
      </c>
      <c r="P119" s="34" t="s">
        <v>103</v>
      </c>
      <c r="Q119" s="33" t="n">
        <f>1904.5</f>
        <v>1904.5</v>
      </c>
      <c r="R119" s="34" t="s">
        <v>50</v>
      </c>
      <c r="S119" s="35" t="n">
        <f>1898.07</f>
        <v>1898.07</v>
      </c>
      <c r="T119" s="32" t="n">
        <f>3015160</f>
        <v>3015160.0</v>
      </c>
      <c r="U119" s="32" t="n">
        <f>1229000</f>
        <v>1229000.0</v>
      </c>
      <c r="V119" s="32" t="n">
        <f>5730114690</f>
        <v>5.73011469E9</v>
      </c>
      <c r="W119" s="32" t="n">
        <f>2329585700</f>
        <v>2.3295857E9</v>
      </c>
      <c r="X119" s="36" t="n">
        <f>22</f>
        <v>22.0</v>
      </c>
    </row>
    <row r="120">
      <c r="A120" s="27" t="s">
        <v>42</v>
      </c>
      <c r="B120" s="27" t="s">
        <v>410</v>
      </c>
      <c r="C120" s="27" t="s">
        <v>411</v>
      </c>
      <c r="D120" s="27" t="s">
        <v>412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1872</f>
        <v>1872.0</v>
      </c>
      <c r="L120" s="34" t="s">
        <v>117</v>
      </c>
      <c r="M120" s="33" t="n">
        <f>2000</f>
        <v>2000.0</v>
      </c>
      <c r="N120" s="34" t="s">
        <v>70</v>
      </c>
      <c r="O120" s="33" t="n">
        <f>1872</f>
        <v>1872.0</v>
      </c>
      <c r="P120" s="34" t="s">
        <v>117</v>
      </c>
      <c r="Q120" s="33" t="n">
        <f>1948</f>
        <v>1948.0</v>
      </c>
      <c r="R120" s="34" t="s">
        <v>70</v>
      </c>
      <c r="S120" s="35" t="n">
        <f>1910</f>
        <v>1910.0</v>
      </c>
      <c r="T120" s="32" t="n">
        <f>3010</f>
        <v>3010.0</v>
      </c>
      <c r="U120" s="32" t="str">
        <f>"－"</f>
        <v>－</v>
      </c>
      <c r="V120" s="32" t="n">
        <f>5994990</f>
        <v>5994990.0</v>
      </c>
      <c r="W120" s="32" t="str">
        <f>"－"</f>
        <v>－</v>
      </c>
      <c r="X120" s="36" t="n">
        <f>2</f>
        <v>2.0</v>
      </c>
    </row>
    <row r="121">
      <c r="A121" s="27" t="s">
        <v>42</v>
      </c>
      <c r="B121" s="27" t="s">
        <v>413</v>
      </c>
      <c r="C121" s="27" t="s">
        <v>414</v>
      </c>
      <c r="D121" s="27" t="s">
        <v>415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1927</f>
        <v>1927.0</v>
      </c>
      <c r="L121" s="34" t="s">
        <v>48</v>
      </c>
      <c r="M121" s="33" t="n">
        <f>1941</f>
        <v>1941.0</v>
      </c>
      <c r="N121" s="34" t="s">
        <v>61</v>
      </c>
      <c r="O121" s="33" t="n">
        <f>1878</f>
        <v>1878.0</v>
      </c>
      <c r="P121" s="34" t="s">
        <v>103</v>
      </c>
      <c r="Q121" s="33" t="n">
        <f>1908.5</f>
        <v>1908.5</v>
      </c>
      <c r="R121" s="34" t="s">
        <v>50</v>
      </c>
      <c r="S121" s="35" t="n">
        <f>1905.98</f>
        <v>1905.98</v>
      </c>
      <c r="T121" s="32" t="n">
        <f>3141240</f>
        <v>3141240.0</v>
      </c>
      <c r="U121" s="32" t="n">
        <f>961500</f>
        <v>961500.0</v>
      </c>
      <c r="V121" s="32" t="n">
        <f>5994579454</f>
        <v>5.994579454E9</v>
      </c>
      <c r="W121" s="32" t="n">
        <f>1829573759</f>
        <v>1.829573759E9</v>
      </c>
      <c r="X121" s="36" t="n">
        <f>22</f>
        <v>22.0</v>
      </c>
    </row>
    <row r="122">
      <c r="A122" s="27" t="s">
        <v>42</v>
      </c>
      <c r="B122" s="27" t="s">
        <v>416</v>
      </c>
      <c r="C122" s="27" t="s">
        <v>417</v>
      </c>
      <c r="D122" s="27" t="s">
        <v>418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19995</f>
        <v>19995.0</v>
      </c>
      <c r="L122" s="34" t="s">
        <v>48</v>
      </c>
      <c r="M122" s="33" t="n">
        <f>21525</f>
        <v>21525.0</v>
      </c>
      <c r="N122" s="34" t="s">
        <v>70</v>
      </c>
      <c r="O122" s="33" t="n">
        <f>19995</f>
        <v>19995.0</v>
      </c>
      <c r="P122" s="34" t="s">
        <v>48</v>
      </c>
      <c r="Q122" s="33" t="n">
        <f>21275</f>
        <v>21275.0</v>
      </c>
      <c r="R122" s="34" t="s">
        <v>50</v>
      </c>
      <c r="S122" s="35" t="n">
        <f>21031.88</f>
        <v>21031.88</v>
      </c>
      <c r="T122" s="32" t="n">
        <f>20964</f>
        <v>20964.0</v>
      </c>
      <c r="U122" s="32" t="n">
        <f>17428</f>
        <v>17428.0</v>
      </c>
      <c r="V122" s="32" t="n">
        <f>444655635</f>
        <v>4.44655635E8</v>
      </c>
      <c r="W122" s="32" t="n">
        <f>369952870</f>
        <v>3.6995287E8</v>
      </c>
      <c r="X122" s="36" t="n">
        <f>16</f>
        <v>16.0</v>
      </c>
    </row>
    <row r="123">
      <c r="A123" s="27" t="s">
        <v>42</v>
      </c>
      <c r="B123" s="27" t="s">
        <v>419</v>
      </c>
      <c r="C123" s="27" t="s">
        <v>420</v>
      </c>
      <c r="D123" s="27" t="s">
        <v>421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100.0</v>
      </c>
      <c r="K123" s="33" t="n">
        <f>213.6</f>
        <v>213.6</v>
      </c>
      <c r="L123" s="34" t="s">
        <v>48</v>
      </c>
      <c r="M123" s="33" t="n">
        <f>235.4</f>
        <v>235.4</v>
      </c>
      <c r="N123" s="34" t="s">
        <v>49</v>
      </c>
      <c r="O123" s="33" t="n">
        <f>213</f>
        <v>213.0</v>
      </c>
      <c r="P123" s="34" t="s">
        <v>48</v>
      </c>
      <c r="Q123" s="33" t="n">
        <f>233.9</f>
        <v>233.9</v>
      </c>
      <c r="R123" s="34" t="s">
        <v>50</v>
      </c>
      <c r="S123" s="35" t="n">
        <f>223.47</f>
        <v>223.47</v>
      </c>
      <c r="T123" s="32" t="n">
        <f>62041100</f>
        <v>6.20411E7</v>
      </c>
      <c r="U123" s="32" t="n">
        <f>10273700</f>
        <v>1.02737E7</v>
      </c>
      <c r="V123" s="32" t="n">
        <f>13892871756</f>
        <v>1.3892871756E10</v>
      </c>
      <c r="W123" s="32" t="n">
        <f>2277627056</f>
        <v>2.277627056E9</v>
      </c>
      <c r="X123" s="36" t="n">
        <f>22</f>
        <v>22.0</v>
      </c>
    </row>
    <row r="124">
      <c r="A124" s="27" t="s">
        <v>42</v>
      </c>
      <c r="B124" s="27" t="s">
        <v>422</v>
      </c>
      <c r="C124" s="27" t="s">
        <v>423</v>
      </c>
      <c r="D124" s="27" t="s">
        <v>424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33030</f>
        <v>33030.0</v>
      </c>
      <c r="L124" s="34" t="s">
        <v>48</v>
      </c>
      <c r="M124" s="33" t="n">
        <f>34650</f>
        <v>34650.0</v>
      </c>
      <c r="N124" s="34" t="s">
        <v>60</v>
      </c>
      <c r="O124" s="33" t="n">
        <f>33030</f>
        <v>33030.0</v>
      </c>
      <c r="P124" s="34" t="s">
        <v>48</v>
      </c>
      <c r="Q124" s="33" t="n">
        <f>34090</f>
        <v>34090.0</v>
      </c>
      <c r="R124" s="34" t="s">
        <v>50</v>
      </c>
      <c r="S124" s="35" t="n">
        <f>34101.36</f>
        <v>34101.36</v>
      </c>
      <c r="T124" s="32" t="n">
        <f>3766</f>
        <v>3766.0</v>
      </c>
      <c r="U124" s="32" t="str">
        <f>"－"</f>
        <v>－</v>
      </c>
      <c r="V124" s="32" t="n">
        <f>127606190</f>
        <v>1.2760619E8</v>
      </c>
      <c r="W124" s="32" t="str">
        <f>"－"</f>
        <v>－</v>
      </c>
      <c r="X124" s="36" t="n">
        <f>22</f>
        <v>22.0</v>
      </c>
    </row>
    <row r="125">
      <c r="A125" s="27" t="s">
        <v>42</v>
      </c>
      <c r="B125" s="27" t="s">
        <v>425</v>
      </c>
      <c r="C125" s="27" t="s">
        <v>426</v>
      </c>
      <c r="D125" s="27" t="s">
        <v>427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13290</f>
        <v>13290.0</v>
      </c>
      <c r="L125" s="34" t="s">
        <v>48</v>
      </c>
      <c r="M125" s="33" t="n">
        <f>14390</f>
        <v>14390.0</v>
      </c>
      <c r="N125" s="34" t="s">
        <v>60</v>
      </c>
      <c r="O125" s="33" t="n">
        <f>13280</f>
        <v>13280.0</v>
      </c>
      <c r="P125" s="34" t="s">
        <v>48</v>
      </c>
      <c r="Q125" s="33" t="n">
        <f>14280</f>
        <v>14280.0</v>
      </c>
      <c r="R125" s="34" t="s">
        <v>50</v>
      </c>
      <c r="S125" s="35" t="n">
        <f>14049.55</f>
        <v>14049.55</v>
      </c>
      <c r="T125" s="32" t="n">
        <f>10690</f>
        <v>10690.0</v>
      </c>
      <c r="U125" s="32" t="str">
        <f>"－"</f>
        <v>－</v>
      </c>
      <c r="V125" s="32" t="n">
        <f>150158725</f>
        <v>1.50158725E8</v>
      </c>
      <c r="W125" s="32" t="str">
        <f>"－"</f>
        <v>－</v>
      </c>
      <c r="X125" s="36" t="n">
        <f>22</f>
        <v>22.0</v>
      </c>
    </row>
    <row r="126">
      <c r="A126" s="27" t="s">
        <v>42</v>
      </c>
      <c r="B126" s="27" t="s">
        <v>428</v>
      </c>
      <c r="C126" s="27" t="s">
        <v>429</v>
      </c>
      <c r="D126" s="27" t="s">
        <v>430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23750</f>
        <v>23750.0</v>
      </c>
      <c r="L126" s="34" t="s">
        <v>48</v>
      </c>
      <c r="M126" s="33" t="n">
        <f>25770</f>
        <v>25770.0</v>
      </c>
      <c r="N126" s="34" t="s">
        <v>49</v>
      </c>
      <c r="O126" s="33" t="n">
        <f>23750</f>
        <v>23750.0</v>
      </c>
      <c r="P126" s="34" t="s">
        <v>48</v>
      </c>
      <c r="Q126" s="33" t="n">
        <f>25425</f>
        <v>25425.0</v>
      </c>
      <c r="R126" s="34" t="s">
        <v>50</v>
      </c>
      <c r="S126" s="35" t="n">
        <f>24849.32</f>
        <v>24849.32</v>
      </c>
      <c r="T126" s="32" t="n">
        <f>1730</f>
        <v>1730.0</v>
      </c>
      <c r="U126" s="32" t="str">
        <f>"－"</f>
        <v>－</v>
      </c>
      <c r="V126" s="32" t="n">
        <f>43144290</f>
        <v>4.314429E7</v>
      </c>
      <c r="W126" s="32" t="str">
        <f>"－"</f>
        <v>－</v>
      </c>
      <c r="X126" s="36" t="n">
        <f>22</f>
        <v>22.0</v>
      </c>
    </row>
    <row r="127">
      <c r="A127" s="27" t="s">
        <v>42</v>
      </c>
      <c r="B127" s="27" t="s">
        <v>431</v>
      </c>
      <c r="C127" s="27" t="s">
        <v>432</v>
      </c>
      <c r="D127" s="27" t="s">
        <v>433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26505</f>
        <v>26505.0</v>
      </c>
      <c r="L127" s="34" t="s">
        <v>48</v>
      </c>
      <c r="M127" s="33" t="n">
        <f>28800</f>
        <v>28800.0</v>
      </c>
      <c r="N127" s="34" t="s">
        <v>65</v>
      </c>
      <c r="O127" s="33" t="n">
        <f>26200</f>
        <v>26200.0</v>
      </c>
      <c r="P127" s="34" t="s">
        <v>48</v>
      </c>
      <c r="Q127" s="33" t="n">
        <f>28430</f>
        <v>28430.0</v>
      </c>
      <c r="R127" s="34" t="s">
        <v>50</v>
      </c>
      <c r="S127" s="35" t="n">
        <f>27971.14</f>
        <v>27971.14</v>
      </c>
      <c r="T127" s="32" t="n">
        <f>2634</f>
        <v>2634.0</v>
      </c>
      <c r="U127" s="32" t="str">
        <f>"－"</f>
        <v>－</v>
      </c>
      <c r="V127" s="32" t="n">
        <f>73900870</f>
        <v>7.390087E7</v>
      </c>
      <c r="W127" s="32" t="str">
        <f>"－"</f>
        <v>－</v>
      </c>
      <c r="X127" s="36" t="n">
        <f>22</f>
        <v>22.0</v>
      </c>
    </row>
    <row r="128">
      <c r="A128" s="27" t="s">
        <v>42</v>
      </c>
      <c r="B128" s="27" t="s">
        <v>434</v>
      </c>
      <c r="C128" s="27" t="s">
        <v>435</v>
      </c>
      <c r="D128" s="27" t="s">
        <v>436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27315</f>
        <v>27315.0</v>
      </c>
      <c r="L128" s="34" t="s">
        <v>48</v>
      </c>
      <c r="M128" s="33" t="n">
        <f>29185</f>
        <v>29185.0</v>
      </c>
      <c r="N128" s="34" t="s">
        <v>397</v>
      </c>
      <c r="O128" s="33" t="n">
        <f>27315</f>
        <v>27315.0</v>
      </c>
      <c r="P128" s="34" t="s">
        <v>48</v>
      </c>
      <c r="Q128" s="33" t="n">
        <f>27660</f>
        <v>27660.0</v>
      </c>
      <c r="R128" s="34" t="s">
        <v>50</v>
      </c>
      <c r="S128" s="35" t="n">
        <f>28317.05</f>
        <v>28317.05</v>
      </c>
      <c r="T128" s="32" t="n">
        <f>4582</f>
        <v>4582.0</v>
      </c>
      <c r="U128" s="32" t="str">
        <f>"－"</f>
        <v>－</v>
      </c>
      <c r="V128" s="32" t="n">
        <f>129907515</f>
        <v>1.29907515E8</v>
      </c>
      <c r="W128" s="32" t="str">
        <f>"－"</f>
        <v>－</v>
      </c>
      <c r="X128" s="36" t="n">
        <f>22</f>
        <v>22.0</v>
      </c>
    </row>
    <row r="129">
      <c r="A129" s="27" t="s">
        <v>42</v>
      </c>
      <c r="B129" s="27" t="s">
        <v>437</v>
      </c>
      <c r="C129" s="27" t="s">
        <v>438</v>
      </c>
      <c r="D129" s="27" t="s">
        <v>439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24760</f>
        <v>24760.0</v>
      </c>
      <c r="L129" s="34" t="s">
        <v>48</v>
      </c>
      <c r="M129" s="33" t="n">
        <f>28760</f>
        <v>28760.0</v>
      </c>
      <c r="N129" s="34" t="s">
        <v>60</v>
      </c>
      <c r="O129" s="33" t="n">
        <f>24720</f>
        <v>24720.0</v>
      </c>
      <c r="P129" s="34" t="s">
        <v>48</v>
      </c>
      <c r="Q129" s="33" t="n">
        <f>28390</f>
        <v>28390.0</v>
      </c>
      <c r="R129" s="34" t="s">
        <v>50</v>
      </c>
      <c r="S129" s="35" t="n">
        <f>27170.23</f>
        <v>27170.23</v>
      </c>
      <c r="T129" s="32" t="n">
        <f>11650</f>
        <v>11650.0</v>
      </c>
      <c r="U129" s="32" t="str">
        <f>"－"</f>
        <v>－</v>
      </c>
      <c r="V129" s="32" t="n">
        <f>322012680</f>
        <v>3.2201268E8</v>
      </c>
      <c r="W129" s="32" t="str">
        <f>"－"</f>
        <v>－</v>
      </c>
      <c r="X129" s="36" t="n">
        <f>22</f>
        <v>22.0</v>
      </c>
    </row>
    <row r="130">
      <c r="A130" s="27" t="s">
        <v>42</v>
      </c>
      <c r="B130" s="27" t="s">
        <v>440</v>
      </c>
      <c r="C130" s="27" t="s">
        <v>441</v>
      </c>
      <c r="D130" s="27" t="s">
        <v>442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19690</f>
        <v>19690.0</v>
      </c>
      <c r="L130" s="34" t="s">
        <v>48</v>
      </c>
      <c r="M130" s="33" t="n">
        <f>21950</f>
        <v>21950.0</v>
      </c>
      <c r="N130" s="34" t="s">
        <v>60</v>
      </c>
      <c r="O130" s="33" t="n">
        <f>19595</f>
        <v>19595.0</v>
      </c>
      <c r="P130" s="34" t="s">
        <v>48</v>
      </c>
      <c r="Q130" s="33" t="n">
        <f>21700</f>
        <v>21700.0</v>
      </c>
      <c r="R130" s="34" t="s">
        <v>50</v>
      </c>
      <c r="S130" s="35" t="n">
        <f>21165</f>
        <v>21165.0</v>
      </c>
      <c r="T130" s="32" t="n">
        <f>6682</f>
        <v>6682.0</v>
      </c>
      <c r="U130" s="32" t="str">
        <f>"－"</f>
        <v>－</v>
      </c>
      <c r="V130" s="32" t="n">
        <f>141717970</f>
        <v>1.4171797E8</v>
      </c>
      <c r="W130" s="32" t="str">
        <f>"－"</f>
        <v>－</v>
      </c>
      <c r="X130" s="36" t="n">
        <f>22</f>
        <v>22.0</v>
      </c>
    </row>
    <row r="131">
      <c r="A131" s="27" t="s">
        <v>42</v>
      </c>
      <c r="B131" s="27" t="s">
        <v>443</v>
      </c>
      <c r="C131" s="27" t="s">
        <v>444</v>
      </c>
      <c r="D131" s="27" t="s">
        <v>445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44900</f>
        <v>44900.0</v>
      </c>
      <c r="L131" s="34" t="s">
        <v>48</v>
      </c>
      <c r="M131" s="33" t="n">
        <f>49860</f>
        <v>49860.0</v>
      </c>
      <c r="N131" s="34" t="s">
        <v>70</v>
      </c>
      <c r="O131" s="33" t="n">
        <f>44900</f>
        <v>44900.0</v>
      </c>
      <c r="P131" s="34" t="s">
        <v>48</v>
      </c>
      <c r="Q131" s="33" t="n">
        <f>48900</f>
        <v>48900.0</v>
      </c>
      <c r="R131" s="34" t="s">
        <v>50</v>
      </c>
      <c r="S131" s="35" t="n">
        <f>48245.45</f>
        <v>48245.45</v>
      </c>
      <c r="T131" s="32" t="n">
        <f>2755</f>
        <v>2755.0</v>
      </c>
      <c r="U131" s="32" t="str">
        <f>"－"</f>
        <v>－</v>
      </c>
      <c r="V131" s="32" t="n">
        <f>133756090</f>
        <v>1.3375609E8</v>
      </c>
      <c r="W131" s="32" t="str">
        <f>"－"</f>
        <v>－</v>
      </c>
      <c r="X131" s="36" t="n">
        <f>22</f>
        <v>22.0</v>
      </c>
    </row>
    <row r="132">
      <c r="A132" s="27" t="s">
        <v>42</v>
      </c>
      <c r="B132" s="27" t="s">
        <v>446</v>
      </c>
      <c r="C132" s="27" t="s">
        <v>447</v>
      </c>
      <c r="D132" s="27" t="s">
        <v>448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31380</f>
        <v>31380.0</v>
      </c>
      <c r="L132" s="34" t="s">
        <v>48</v>
      </c>
      <c r="M132" s="33" t="n">
        <f>33870</f>
        <v>33870.0</v>
      </c>
      <c r="N132" s="34" t="s">
        <v>70</v>
      </c>
      <c r="O132" s="33" t="n">
        <f>31380</f>
        <v>31380.0</v>
      </c>
      <c r="P132" s="34" t="s">
        <v>48</v>
      </c>
      <c r="Q132" s="33" t="n">
        <f>32930</f>
        <v>32930.0</v>
      </c>
      <c r="R132" s="34" t="s">
        <v>50</v>
      </c>
      <c r="S132" s="35" t="n">
        <f>32904.55</f>
        <v>32904.55</v>
      </c>
      <c r="T132" s="32" t="n">
        <f>21901</f>
        <v>21901.0</v>
      </c>
      <c r="U132" s="32" t="n">
        <f>7001</f>
        <v>7001.0</v>
      </c>
      <c r="V132" s="32" t="n">
        <f>715323890</f>
        <v>7.1532389E8</v>
      </c>
      <c r="W132" s="32" t="n">
        <f>227054280</f>
        <v>2.2705428E8</v>
      </c>
      <c r="X132" s="36" t="n">
        <f>22</f>
        <v>22.0</v>
      </c>
    </row>
    <row r="133">
      <c r="A133" s="27" t="s">
        <v>42</v>
      </c>
      <c r="B133" s="27" t="s">
        <v>449</v>
      </c>
      <c r="C133" s="27" t="s">
        <v>450</v>
      </c>
      <c r="D133" s="27" t="s">
        <v>451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29235</f>
        <v>29235.0</v>
      </c>
      <c r="L133" s="34" t="s">
        <v>48</v>
      </c>
      <c r="M133" s="33" t="n">
        <f>31160</f>
        <v>31160.0</v>
      </c>
      <c r="N133" s="34" t="s">
        <v>49</v>
      </c>
      <c r="O133" s="33" t="n">
        <f>29235</f>
        <v>29235.0</v>
      </c>
      <c r="P133" s="34" t="s">
        <v>48</v>
      </c>
      <c r="Q133" s="33" t="n">
        <f>30840</f>
        <v>30840.0</v>
      </c>
      <c r="R133" s="34" t="s">
        <v>50</v>
      </c>
      <c r="S133" s="35" t="n">
        <f>30465.23</f>
        <v>30465.23</v>
      </c>
      <c r="T133" s="32" t="n">
        <f>1797</f>
        <v>1797.0</v>
      </c>
      <c r="U133" s="32" t="n">
        <f>1</f>
        <v>1.0</v>
      </c>
      <c r="V133" s="32" t="n">
        <f>54734985</f>
        <v>5.4734985E7</v>
      </c>
      <c r="W133" s="32" t="n">
        <f>30840</f>
        <v>30840.0</v>
      </c>
      <c r="X133" s="36" t="n">
        <f>22</f>
        <v>22.0</v>
      </c>
    </row>
    <row r="134">
      <c r="A134" s="27" t="s">
        <v>42</v>
      </c>
      <c r="B134" s="27" t="s">
        <v>452</v>
      </c>
      <c r="C134" s="27" t="s">
        <v>453</v>
      </c>
      <c r="D134" s="27" t="s">
        <v>454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6907</f>
        <v>6907.0</v>
      </c>
      <c r="L134" s="34" t="s">
        <v>48</v>
      </c>
      <c r="M134" s="33" t="n">
        <f>7516</f>
        <v>7516.0</v>
      </c>
      <c r="N134" s="34" t="s">
        <v>212</v>
      </c>
      <c r="O134" s="33" t="n">
        <f>6902</f>
        <v>6902.0</v>
      </c>
      <c r="P134" s="34" t="s">
        <v>48</v>
      </c>
      <c r="Q134" s="33" t="n">
        <f>7355</f>
        <v>7355.0</v>
      </c>
      <c r="R134" s="34" t="s">
        <v>50</v>
      </c>
      <c r="S134" s="35" t="n">
        <f>7255.05</f>
        <v>7255.05</v>
      </c>
      <c r="T134" s="32" t="n">
        <f>41470</f>
        <v>41470.0</v>
      </c>
      <c r="U134" s="32" t="str">
        <f>"－"</f>
        <v>－</v>
      </c>
      <c r="V134" s="32" t="n">
        <f>301256147</f>
        <v>3.01256147E8</v>
      </c>
      <c r="W134" s="32" t="str">
        <f>"－"</f>
        <v>－</v>
      </c>
      <c r="X134" s="36" t="n">
        <f>22</f>
        <v>22.0</v>
      </c>
    </row>
    <row r="135">
      <c r="A135" s="27" t="s">
        <v>42</v>
      </c>
      <c r="B135" s="27" t="s">
        <v>455</v>
      </c>
      <c r="C135" s="27" t="s">
        <v>456</v>
      </c>
      <c r="D135" s="27" t="s">
        <v>457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17135</f>
        <v>17135.0</v>
      </c>
      <c r="L135" s="34" t="s">
        <v>48</v>
      </c>
      <c r="M135" s="33" t="n">
        <f>18380</f>
        <v>18380.0</v>
      </c>
      <c r="N135" s="34" t="s">
        <v>49</v>
      </c>
      <c r="O135" s="33" t="n">
        <f>17130</f>
        <v>17130.0</v>
      </c>
      <c r="P135" s="34" t="s">
        <v>117</v>
      </c>
      <c r="Q135" s="33" t="n">
        <f>18015</f>
        <v>18015.0</v>
      </c>
      <c r="R135" s="34" t="s">
        <v>50</v>
      </c>
      <c r="S135" s="35" t="n">
        <f>17705</f>
        <v>17705.0</v>
      </c>
      <c r="T135" s="32" t="n">
        <f>10583</f>
        <v>10583.0</v>
      </c>
      <c r="U135" s="32" t="str">
        <f>"－"</f>
        <v>－</v>
      </c>
      <c r="V135" s="32" t="n">
        <f>188252470</f>
        <v>1.8825247E8</v>
      </c>
      <c r="W135" s="32" t="str">
        <f>"－"</f>
        <v>－</v>
      </c>
      <c r="X135" s="36" t="n">
        <f>22</f>
        <v>22.0</v>
      </c>
    </row>
    <row r="136">
      <c r="A136" s="27" t="s">
        <v>42</v>
      </c>
      <c r="B136" s="27" t="s">
        <v>458</v>
      </c>
      <c r="C136" s="27" t="s">
        <v>459</v>
      </c>
      <c r="D136" s="27" t="s">
        <v>460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60610</f>
        <v>60610.0</v>
      </c>
      <c r="L136" s="34" t="s">
        <v>48</v>
      </c>
      <c r="M136" s="33" t="n">
        <f>76500</f>
        <v>76500.0</v>
      </c>
      <c r="N136" s="34" t="s">
        <v>155</v>
      </c>
      <c r="O136" s="33" t="n">
        <f>60610</f>
        <v>60610.0</v>
      </c>
      <c r="P136" s="34" t="s">
        <v>48</v>
      </c>
      <c r="Q136" s="33" t="n">
        <f>70200</f>
        <v>70200.0</v>
      </c>
      <c r="R136" s="34" t="s">
        <v>50</v>
      </c>
      <c r="S136" s="35" t="n">
        <f>68739.09</f>
        <v>68739.09</v>
      </c>
      <c r="T136" s="32" t="n">
        <f>61998</f>
        <v>61998.0</v>
      </c>
      <c r="U136" s="32" t="n">
        <f>3002</f>
        <v>3002.0</v>
      </c>
      <c r="V136" s="32" t="n">
        <f>4335514310</f>
        <v>4.33551431E9</v>
      </c>
      <c r="W136" s="32" t="n">
        <f>208793520</f>
        <v>2.0879352E8</v>
      </c>
      <c r="X136" s="36" t="n">
        <f>22</f>
        <v>22.0</v>
      </c>
    </row>
    <row r="137">
      <c r="A137" s="27" t="s">
        <v>42</v>
      </c>
      <c r="B137" s="27" t="s">
        <v>461</v>
      </c>
      <c r="C137" s="27" t="s">
        <v>462</v>
      </c>
      <c r="D137" s="27" t="s">
        <v>463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24450</f>
        <v>24450.0</v>
      </c>
      <c r="L137" s="34" t="s">
        <v>48</v>
      </c>
      <c r="M137" s="33" t="n">
        <f>25910</f>
        <v>25910.0</v>
      </c>
      <c r="N137" s="34" t="s">
        <v>49</v>
      </c>
      <c r="O137" s="33" t="n">
        <f>24450</f>
        <v>24450.0</v>
      </c>
      <c r="P137" s="34" t="s">
        <v>48</v>
      </c>
      <c r="Q137" s="33" t="n">
        <f>25685</f>
        <v>25685.0</v>
      </c>
      <c r="R137" s="34" t="s">
        <v>50</v>
      </c>
      <c r="S137" s="35" t="n">
        <f>25397.05</f>
        <v>25397.05</v>
      </c>
      <c r="T137" s="32" t="n">
        <f>4893</f>
        <v>4893.0</v>
      </c>
      <c r="U137" s="32" t="str">
        <f>"－"</f>
        <v>－</v>
      </c>
      <c r="V137" s="32" t="n">
        <f>124078620</f>
        <v>1.2407862E8</v>
      </c>
      <c r="W137" s="32" t="str">
        <f>"－"</f>
        <v>－</v>
      </c>
      <c r="X137" s="36" t="n">
        <f>22</f>
        <v>22.0</v>
      </c>
    </row>
    <row r="138">
      <c r="A138" s="27" t="s">
        <v>42</v>
      </c>
      <c r="B138" s="27" t="s">
        <v>464</v>
      </c>
      <c r="C138" s="27" t="s">
        <v>465</v>
      </c>
      <c r="D138" s="27" t="s">
        <v>466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11050</f>
        <v>11050.0</v>
      </c>
      <c r="L138" s="34" t="s">
        <v>48</v>
      </c>
      <c r="M138" s="33" t="n">
        <f>12480</f>
        <v>12480.0</v>
      </c>
      <c r="N138" s="34" t="s">
        <v>49</v>
      </c>
      <c r="O138" s="33" t="n">
        <f>11040</f>
        <v>11040.0</v>
      </c>
      <c r="P138" s="34" t="s">
        <v>48</v>
      </c>
      <c r="Q138" s="33" t="n">
        <f>12120</f>
        <v>12120.0</v>
      </c>
      <c r="R138" s="34" t="s">
        <v>50</v>
      </c>
      <c r="S138" s="35" t="n">
        <f>11601.82</f>
        <v>11601.82</v>
      </c>
      <c r="T138" s="32" t="n">
        <f>59193</f>
        <v>59193.0</v>
      </c>
      <c r="U138" s="32" t="n">
        <f>16005</f>
        <v>16005.0</v>
      </c>
      <c r="V138" s="32" t="n">
        <f>686592375</f>
        <v>6.86592375E8</v>
      </c>
      <c r="W138" s="32" t="n">
        <f>182291005</f>
        <v>1.82291005E8</v>
      </c>
      <c r="X138" s="36" t="n">
        <f>22</f>
        <v>22.0</v>
      </c>
    </row>
    <row r="139">
      <c r="A139" s="27" t="s">
        <v>42</v>
      </c>
      <c r="B139" s="27" t="s">
        <v>467</v>
      </c>
      <c r="C139" s="27" t="s">
        <v>468</v>
      </c>
      <c r="D139" s="27" t="s">
        <v>469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16240</f>
        <v>16240.0</v>
      </c>
      <c r="L139" s="34" t="s">
        <v>48</v>
      </c>
      <c r="M139" s="33" t="n">
        <f>18140</f>
        <v>18140.0</v>
      </c>
      <c r="N139" s="34" t="s">
        <v>212</v>
      </c>
      <c r="O139" s="33" t="n">
        <f>16215</f>
        <v>16215.0</v>
      </c>
      <c r="P139" s="34" t="s">
        <v>48</v>
      </c>
      <c r="Q139" s="33" t="n">
        <f>17880</f>
        <v>17880.0</v>
      </c>
      <c r="R139" s="34" t="s">
        <v>50</v>
      </c>
      <c r="S139" s="35" t="n">
        <f>17471.36</f>
        <v>17471.36</v>
      </c>
      <c r="T139" s="32" t="n">
        <f>6499</f>
        <v>6499.0</v>
      </c>
      <c r="U139" s="32" t="n">
        <f>7</f>
        <v>7.0</v>
      </c>
      <c r="V139" s="32" t="n">
        <f>115061750</f>
        <v>1.1506175E8</v>
      </c>
      <c r="W139" s="32" t="n">
        <f>124885</f>
        <v>124885.0</v>
      </c>
      <c r="X139" s="36" t="n">
        <f>22</f>
        <v>22.0</v>
      </c>
    </row>
    <row r="140">
      <c r="A140" s="27" t="s">
        <v>42</v>
      </c>
      <c r="B140" s="27" t="s">
        <v>470</v>
      </c>
      <c r="C140" s="27" t="s">
        <v>471</v>
      </c>
      <c r="D140" s="27" t="s">
        <v>472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29945</f>
        <v>29945.0</v>
      </c>
      <c r="L140" s="34" t="s">
        <v>48</v>
      </c>
      <c r="M140" s="33" t="n">
        <f>32300</f>
        <v>32300.0</v>
      </c>
      <c r="N140" s="34" t="s">
        <v>212</v>
      </c>
      <c r="O140" s="33" t="n">
        <f>29860</f>
        <v>29860.0</v>
      </c>
      <c r="P140" s="34" t="s">
        <v>48</v>
      </c>
      <c r="Q140" s="33" t="n">
        <f>31220</f>
        <v>31220.0</v>
      </c>
      <c r="R140" s="34" t="s">
        <v>50</v>
      </c>
      <c r="S140" s="35" t="n">
        <f>31235.91</f>
        <v>31235.91</v>
      </c>
      <c r="T140" s="32" t="n">
        <f>2337</f>
        <v>2337.0</v>
      </c>
      <c r="U140" s="32" t="n">
        <f>3</f>
        <v>3.0</v>
      </c>
      <c r="V140" s="32" t="n">
        <f>73043875</f>
        <v>7.3043875E7</v>
      </c>
      <c r="W140" s="32" t="n">
        <f>93330</f>
        <v>93330.0</v>
      </c>
      <c r="X140" s="36" t="n">
        <f>22</f>
        <v>22.0</v>
      </c>
    </row>
    <row r="141">
      <c r="A141" s="27" t="s">
        <v>42</v>
      </c>
      <c r="B141" s="27" t="s">
        <v>473</v>
      </c>
      <c r="C141" s="27" t="s">
        <v>474</v>
      </c>
      <c r="D141" s="27" t="s">
        <v>475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1407.5</f>
        <v>1407.5</v>
      </c>
      <c r="L141" s="34" t="s">
        <v>48</v>
      </c>
      <c r="M141" s="33" t="n">
        <f>1572</f>
        <v>1572.0</v>
      </c>
      <c r="N141" s="34" t="s">
        <v>49</v>
      </c>
      <c r="O141" s="33" t="n">
        <f>1407.5</f>
        <v>1407.5</v>
      </c>
      <c r="P141" s="34" t="s">
        <v>48</v>
      </c>
      <c r="Q141" s="33" t="n">
        <f>1554</f>
        <v>1554.0</v>
      </c>
      <c r="R141" s="34" t="s">
        <v>50</v>
      </c>
      <c r="S141" s="35" t="n">
        <f>1510.68</f>
        <v>1510.68</v>
      </c>
      <c r="T141" s="32" t="n">
        <f>1818650</f>
        <v>1818650.0</v>
      </c>
      <c r="U141" s="32" t="n">
        <f>951730</f>
        <v>951730.0</v>
      </c>
      <c r="V141" s="32" t="n">
        <f>2685898312</f>
        <v>2.685898312E9</v>
      </c>
      <c r="W141" s="32" t="n">
        <f>1403033187</f>
        <v>1.403033187E9</v>
      </c>
      <c r="X141" s="36" t="n">
        <f>22</f>
        <v>22.0</v>
      </c>
    </row>
    <row r="142">
      <c r="A142" s="27" t="s">
        <v>42</v>
      </c>
      <c r="B142" s="27" t="s">
        <v>476</v>
      </c>
      <c r="C142" s="27" t="s">
        <v>477</v>
      </c>
      <c r="D142" s="27" t="s">
        <v>478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10.0</v>
      </c>
      <c r="K142" s="33" t="n">
        <f>2556.5</f>
        <v>2556.5</v>
      </c>
      <c r="L142" s="34" t="s">
        <v>48</v>
      </c>
      <c r="M142" s="33" t="n">
        <f>2734</f>
        <v>2734.0</v>
      </c>
      <c r="N142" s="34" t="s">
        <v>60</v>
      </c>
      <c r="O142" s="33" t="n">
        <f>2556.5</f>
        <v>2556.5</v>
      </c>
      <c r="P142" s="34" t="s">
        <v>48</v>
      </c>
      <c r="Q142" s="33" t="n">
        <f>2685</f>
        <v>2685.0</v>
      </c>
      <c r="R142" s="34" t="s">
        <v>479</v>
      </c>
      <c r="S142" s="35" t="n">
        <f>2668.54</f>
        <v>2668.54</v>
      </c>
      <c r="T142" s="32" t="n">
        <f>5180</f>
        <v>5180.0</v>
      </c>
      <c r="U142" s="32" t="str">
        <f>"－"</f>
        <v>－</v>
      </c>
      <c r="V142" s="32" t="n">
        <f>13874370</f>
        <v>1.387437E7</v>
      </c>
      <c r="W142" s="32" t="str">
        <f>"－"</f>
        <v>－</v>
      </c>
      <c r="X142" s="36" t="n">
        <f>13</f>
        <v>13.0</v>
      </c>
    </row>
    <row r="143">
      <c r="A143" s="27" t="s">
        <v>42</v>
      </c>
      <c r="B143" s="27" t="s">
        <v>480</v>
      </c>
      <c r="C143" s="27" t="s">
        <v>481</v>
      </c>
      <c r="D143" s="27" t="s">
        <v>482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10.0</v>
      </c>
      <c r="K143" s="33" t="n">
        <f>2740.5</f>
        <v>2740.5</v>
      </c>
      <c r="L143" s="34" t="s">
        <v>48</v>
      </c>
      <c r="M143" s="33" t="n">
        <f>2969</f>
        <v>2969.0</v>
      </c>
      <c r="N143" s="34" t="s">
        <v>70</v>
      </c>
      <c r="O143" s="33" t="n">
        <f>2740.5</f>
        <v>2740.5</v>
      </c>
      <c r="P143" s="34" t="s">
        <v>48</v>
      </c>
      <c r="Q143" s="33" t="n">
        <f>2944.5</f>
        <v>2944.5</v>
      </c>
      <c r="R143" s="34" t="s">
        <v>49</v>
      </c>
      <c r="S143" s="35" t="n">
        <f>2894.16</f>
        <v>2894.16</v>
      </c>
      <c r="T143" s="32" t="n">
        <f>72470</f>
        <v>72470.0</v>
      </c>
      <c r="U143" s="32" t="str">
        <f>"－"</f>
        <v>－</v>
      </c>
      <c r="V143" s="32" t="n">
        <f>207830910</f>
        <v>2.0783091E8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483</v>
      </c>
      <c r="C144" s="27" t="s">
        <v>484</v>
      </c>
      <c r="D144" s="27" t="s">
        <v>485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10.0</v>
      </c>
      <c r="K144" s="33" t="n">
        <f>1745</f>
        <v>1745.0</v>
      </c>
      <c r="L144" s="34" t="s">
        <v>117</v>
      </c>
      <c r="M144" s="33" t="n">
        <f>1869</f>
        <v>1869.0</v>
      </c>
      <c r="N144" s="34" t="s">
        <v>60</v>
      </c>
      <c r="O144" s="33" t="n">
        <f>1745</f>
        <v>1745.0</v>
      </c>
      <c r="P144" s="34" t="s">
        <v>117</v>
      </c>
      <c r="Q144" s="33" t="n">
        <f>1855.5</f>
        <v>1855.5</v>
      </c>
      <c r="R144" s="34" t="s">
        <v>50</v>
      </c>
      <c r="S144" s="35" t="n">
        <f>1819.04</f>
        <v>1819.04</v>
      </c>
      <c r="T144" s="32" t="n">
        <f>57790</f>
        <v>57790.0</v>
      </c>
      <c r="U144" s="32" t="str">
        <f>"－"</f>
        <v>－</v>
      </c>
      <c r="V144" s="32" t="n">
        <f>105341735</f>
        <v>1.05341735E8</v>
      </c>
      <c r="W144" s="32" t="str">
        <f>"－"</f>
        <v>－</v>
      </c>
      <c r="X144" s="36" t="n">
        <f>12</f>
        <v>12.0</v>
      </c>
    </row>
    <row r="145">
      <c r="A145" s="27" t="s">
        <v>42</v>
      </c>
      <c r="B145" s="27" t="s">
        <v>486</v>
      </c>
      <c r="C145" s="27" t="s">
        <v>487</v>
      </c>
      <c r="D145" s="27" t="s">
        <v>488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420.1</f>
        <v>420.1</v>
      </c>
      <c r="L145" s="34" t="s">
        <v>48</v>
      </c>
      <c r="M145" s="33" t="n">
        <f>460.5</f>
        <v>460.5</v>
      </c>
      <c r="N145" s="34" t="s">
        <v>50</v>
      </c>
      <c r="O145" s="33" t="n">
        <f>419.4</f>
        <v>419.4</v>
      </c>
      <c r="P145" s="34" t="s">
        <v>48</v>
      </c>
      <c r="Q145" s="33" t="n">
        <f>459.8</f>
        <v>459.8</v>
      </c>
      <c r="R145" s="34" t="s">
        <v>50</v>
      </c>
      <c r="S145" s="35" t="n">
        <f>441.99</f>
        <v>441.99</v>
      </c>
      <c r="T145" s="32" t="n">
        <f>45914020</f>
        <v>4.591402E7</v>
      </c>
      <c r="U145" s="32" t="n">
        <f>1252110</f>
        <v>1252110.0</v>
      </c>
      <c r="V145" s="32" t="n">
        <f>20261474701</f>
        <v>2.0261474701E10</v>
      </c>
      <c r="W145" s="32" t="n">
        <f>554865092</f>
        <v>5.54865092E8</v>
      </c>
      <c r="X145" s="36" t="n">
        <f>22</f>
        <v>22.0</v>
      </c>
    </row>
    <row r="146">
      <c r="A146" s="27" t="s">
        <v>42</v>
      </c>
      <c r="B146" s="27" t="s">
        <v>489</v>
      </c>
      <c r="C146" s="27" t="s">
        <v>490</v>
      </c>
      <c r="D146" s="27" t="s">
        <v>491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282.8</f>
        <v>282.8</v>
      </c>
      <c r="L146" s="34" t="s">
        <v>48</v>
      </c>
      <c r="M146" s="33" t="n">
        <f>292.6</f>
        <v>292.6</v>
      </c>
      <c r="N146" s="34" t="s">
        <v>49</v>
      </c>
      <c r="O146" s="33" t="n">
        <f>280.6</f>
        <v>280.6</v>
      </c>
      <c r="P146" s="34" t="s">
        <v>222</v>
      </c>
      <c r="Q146" s="33" t="n">
        <f>289.8</f>
        <v>289.8</v>
      </c>
      <c r="R146" s="34" t="s">
        <v>50</v>
      </c>
      <c r="S146" s="35" t="n">
        <f>285.21</f>
        <v>285.21</v>
      </c>
      <c r="T146" s="32" t="n">
        <f>67034650</f>
        <v>6.703465E7</v>
      </c>
      <c r="U146" s="32" t="n">
        <f>65444570</f>
        <v>6.544457E7</v>
      </c>
      <c r="V146" s="32" t="n">
        <f>19207396298</f>
        <v>1.9207396298E10</v>
      </c>
      <c r="W146" s="32" t="n">
        <f>18751652519</f>
        <v>1.8751652519E10</v>
      </c>
      <c r="X146" s="36" t="n">
        <f>22</f>
        <v>22.0</v>
      </c>
    </row>
    <row r="147">
      <c r="A147" s="27" t="s">
        <v>42</v>
      </c>
      <c r="B147" s="27" t="s">
        <v>492</v>
      </c>
      <c r="C147" s="27" t="s">
        <v>493</v>
      </c>
      <c r="D147" s="27" t="s">
        <v>494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3645</f>
        <v>3645.0</v>
      </c>
      <c r="L147" s="34" t="s">
        <v>48</v>
      </c>
      <c r="M147" s="33" t="n">
        <f>3975</f>
        <v>3975.0</v>
      </c>
      <c r="N147" s="34" t="s">
        <v>50</v>
      </c>
      <c r="O147" s="33" t="n">
        <f>3645</f>
        <v>3645.0</v>
      </c>
      <c r="P147" s="34" t="s">
        <v>48</v>
      </c>
      <c r="Q147" s="33" t="n">
        <f>3960</f>
        <v>3960.0</v>
      </c>
      <c r="R147" s="34" t="s">
        <v>50</v>
      </c>
      <c r="S147" s="35" t="n">
        <f>3829.32</f>
        <v>3829.32</v>
      </c>
      <c r="T147" s="32" t="n">
        <f>98979</f>
        <v>98979.0</v>
      </c>
      <c r="U147" s="32" t="n">
        <f>28300</f>
        <v>28300.0</v>
      </c>
      <c r="V147" s="32" t="n">
        <f>378847075</f>
        <v>3.78847075E8</v>
      </c>
      <c r="W147" s="32" t="n">
        <f>107818300</f>
        <v>1.078183E8</v>
      </c>
      <c r="X147" s="36" t="n">
        <f>22</f>
        <v>22.0</v>
      </c>
    </row>
    <row r="148">
      <c r="A148" s="27" t="s">
        <v>42</v>
      </c>
      <c r="B148" s="27" t="s">
        <v>495</v>
      </c>
      <c r="C148" s="27" t="s">
        <v>496</v>
      </c>
      <c r="D148" s="27" t="s">
        <v>497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2228</f>
        <v>2228.0</v>
      </c>
      <c r="L148" s="34" t="s">
        <v>48</v>
      </c>
      <c r="M148" s="33" t="n">
        <f>2441</f>
        <v>2441.0</v>
      </c>
      <c r="N148" s="34" t="s">
        <v>60</v>
      </c>
      <c r="O148" s="33" t="n">
        <f>2214</f>
        <v>2214.0</v>
      </c>
      <c r="P148" s="34" t="s">
        <v>48</v>
      </c>
      <c r="Q148" s="33" t="n">
        <f>2392</f>
        <v>2392.0</v>
      </c>
      <c r="R148" s="34" t="s">
        <v>50</v>
      </c>
      <c r="S148" s="35" t="n">
        <f>2350.23</f>
        <v>2350.23</v>
      </c>
      <c r="T148" s="32" t="n">
        <f>72263</f>
        <v>72263.0</v>
      </c>
      <c r="U148" s="32" t="str">
        <f>"－"</f>
        <v>－</v>
      </c>
      <c r="V148" s="32" t="n">
        <f>170658186</f>
        <v>1.70658186E8</v>
      </c>
      <c r="W148" s="32" t="str">
        <f>"－"</f>
        <v>－</v>
      </c>
      <c r="X148" s="36" t="n">
        <f>22</f>
        <v>22.0</v>
      </c>
    </row>
    <row r="149">
      <c r="A149" s="27" t="s">
        <v>42</v>
      </c>
      <c r="B149" s="27" t="s">
        <v>498</v>
      </c>
      <c r="C149" s="27" t="s">
        <v>499</v>
      </c>
      <c r="D149" s="27" t="s">
        <v>500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2539</f>
        <v>2539.0</v>
      </c>
      <c r="L149" s="34" t="s">
        <v>48</v>
      </c>
      <c r="M149" s="33" t="n">
        <f>2757</f>
        <v>2757.0</v>
      </c>
      <c r="N149" s="34" t="s">
        <v>50</v>
      </c>
      <c r="O149" s="33" t="n">
        <f>2528</f>
        <v>2528.0</v>
      </c>
      <c r="P149" s="34" t="s">
        <v>117</v>
      </c>
      <c r="Q149" s="33" t="n">
        <f>2748</f>
        <v>2748.0</v>
      </c>
      <c r="R149" s="34" t="s">
        <v>50</v>
      </c>
      <c r="S149" s="35" t="n">
        <f>2646.91</f>
        <v>2646.91</v>
      </c>
      <c r="T149" s="32" t="n">
        <f>195606</f>
        <v>195606.0</v>
      </c>
      <c r="U149" s="32" t="n">
        <f>8</f>
        <v>8.0</v>
      </c>
      <c r="V149" s="32" t="n">
        <f>518805621</f>
        <v>5.18805621E8</v>
      </c>
      <c r="W149" s="32" t="n">
        <f>21215</f>
        <v>21215.0</v>
      </c>
      <c r="X149" s="36" t="n">
        <f>22</f>
        <v>22.0</v>
      </c>
    </row>
    <row r="150">
      <c r="A150" s="27" t="s">
        <v>42</v>
      </c>
      <c r="B150" s="27" t="s">
        <v>501</v>
      </c>
      <c r="C150" s="27" t="s">
        <v>502</v>
      </c>
      <c r="D150" s="27" t="s">
        <v>503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10595</f>
        <v>10595.0</v>
      </c>
      <c r="L150" s="34" t="s">
        <v>48</v>
      </c>
      <c r="M150" s="33" t="n">
        <f>10680</f>
        <v>10680.0</v>
      </c>
      <c r="N150" s="34" t="s">
        <v>49</v>
      </c>
      <c r="O150" s="33" t="n">
        <f>10395</f>
        <v>10395.0</v>
      </c>
      <c r="P150" s="34" t="s">
        <v>208</v>
      </c>
      <c r="Q150" s="33" t="n">
        <f>10650</f>
        <v>10650.0</v>
      </c>
      <c r="R150" s="34" t="s">
        <v>50</v>
      </c>
      <c r="S150" s="35" t="n">
        <f>10535.45</f>
        <v>10535.45</v>
      </c>
      <c r="T150" s="32" t="n">
        <f>119035</f>
        <v>119035.0</v>
      </c>
      <c r="U150" s="32" t="n">
        <f>47600</f>
        <v>47600.0</v>
      </c>
      <c r="V150" s="32" t="n">
        <f>1251597125</f>
        <v>1.251597125E9</v>
      </c>
      <c r="W150" s="32" t="n">
        <f>499685990</f>
        <v>4.9968599E8</v>
      </c>
      <c r="X150" s="36" t="n">
        <f>22</f>
        <v>22.0</v>
      </c>
    </row>
    <row r="151">
      <c r="A151" s="27" t="s">
        <v>42</v>
      </c>
      <c r="B151" s="27" t="s">
        <v>504</v>
      </c>
      <c r="C151" s="27" t="s">
        <v>505</v>
      </c>
      <c r="D151" s="27" t="s">
        <v>506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2300</f>
        <v>2300.0</v>
      </c>
      <c r="L151" s="34" t="s">
        <v>48</v>
      </c>
      <c r="M151" s="33" t="n">
        <f>2508</f>
        <v>2508.0</v>
      </c>
      <c r="N151" s="34" t="s">
        <v>226</v>
      </c>
      <c r="O151" s="33" t="n">
        <f>2289</f>
        <v>2289.0</v>
      </c>
      <c r="P151" s="34" t="s">
        <v>397</v>
      </c>
      <c r="Q151" s="33" t="n">
        <f>2474</f>
        <v>2474.0</v>
      </c>
      <c r="R151" s="34" t="s">
        <v>50</v>
      </c>
      <c r="S151" s="35" t="n">
        <f>2421.55</f>
        <v>2421.55</v>
      </c>
      <c r="T151" s="32" t="n">
        <f>10621809</f>
        <v>1.0621809E7</v>
      </c>
      <c r="U151" s="32" t="n">
        <f>1051</f>
        <v>1051.0</v>
      </c>
      <c r="V151" s="32" t="n">
        <f>25645692871</f>
        <v>2.5645692871E10</v>
      </c>
      <c r="W151" s="32" t="n">
        <f>2439483</f>
        <v>2439483.0</v>
      </c>
      <c r="X151" s="36" t="n">
        <f>22</f>
        <v>22.0</v>
      </c>
    </row>
    <row r="152">
      <c r="A152" s="27" t="s">
        <v>42</v>
      </c>
      <c r="B152" s="27" t="s">
        <v>507</v>
      </c>
      <c r="C152" s="27" t="s">
        <v>508</v>
      </c>
      <c r="D152" s="27" t="s">
        <v>509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25700</f>
        <v>25700.0</v>
      </c>
      <c r="L152" s="34" t="s">
        <v>48</v>
      </c>
      <c r="M152" s="33" t="n">
        <f>26295</f>
        <v>26295.0</v>
      </c>
      <c r="N152" s="34" t="s">
        <v>60</v>
      </c>
      <c r="O152" s="33" t="n">
        <f>25295</f>
        <v>25295.0</v>
      </c>
      <c r="P152" s="34" t="s">
        <v>60</v>
      </c>
      <c r="Q152" s="33" t="n">
        <f>25935</f>
        <v>25935.0</v>
      </c>
      <c r="R152" s="34" t="s">
        <v>50</v>
      </c>
      <c r="S152" s="35" t="n">
        <f>25779.77</f>
        <v>25779.77</v>
      </c>
      <c r="T152" s="32" t="n">
        <f>5743</f>
        <v>5743.0</v>
      </c>
      <c r="U152" s="32" t="str">
        <f>"－"</f>
        <v>－</v>
      </c>
      <c r="V152" s="32" t="n">
        <f>148041905</f>
        <v>1.48041905E8</v>
      </c>
      <c r="W152" s="32" t="str">
        <f>"－"</f>
        <v>－</v>
      </c>
      <c r="X152" s="36" t="n">
        <f>22</f>
        <v>22.0</v>
      </c>
    </row>
    <row r="153">
      <c r="A153" s="27" t="s">
        <v>42</v>
      </c>
      <c r="B153" s="27" t="s">
        <v>510</v>
      </c>
      <c r="C153" s="27" t="s">
        <v>511</v>
      </c>
      <c r="D153" s="27" t="s">
        <v>512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3014</f>
        <v>3014.0</v>
      </c>
      <c r="L153" s="34" t="s">
        <v>48</v>
      </c>
      <c r="M153" s="33" t="n">
        <f>3230</f>
        <v>3230.0</v>
      </c>
      <c r="N153" s="34" t="s">
        <v>116</v>
      </c>
      <c r="O153" s="33" t="n">
        <f>2850.5</f>
        <v>2850.5</v>
      </c>
      <c r="P153" s="34" t="s">
        <v>69</v>
      </c>
      <c r="Q153" s="33" t="n">
        <f>3028</f>
        <v>3028.0</v>
      </c>
      <c r="R153" s="34" t="s">
        <v>50</v>
      </c>
      <c r="S153" s="35" t="n">
        <f>3059.23</f>
        <v>3059.23</v>
      </c>
      <c r="T153" s="32" t="n">
        <f>26950</f>
        <v>26950.0</v>
      </c>
      <c r="U153" s="32" t="n">
        <f>100</f>
        <v>100.0</v>
      </c>
      <c r="V153" s="32" t="n">
        <f>82320960</f>
        <v>8.232096E7</v>
      </c>
      <c r="W153" s="32" t="n">
        <f>315600</f>
        <v>315600.0</v>
      </c>
      <c r="X153" s="36" t="n">
        <f>22</f>
        <v>22.0</v>
      </c>
    </row>
    <row r="154">
      <c r="A154" s="27" t="s">
        <v>42</v>
      </c>
      <c r="B154" s="27" t="s">
        <v>513</v>
      </c>
      <c r="C154" s="27" t="s">
        <v>514</v>
      </c>
      <c r="D154" s="27" t="s">
        <v>515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12900</f>
        <v>12900.0</v>
      </c>
      <c r="L154" s="34" t="s">
        <v>48</v>
      </c>
      <c r="M154" s="33" t="n">
        <f>15105</f>
        <v>15105.0</v>
      </c>
      <c r="N154" s="34" t="s">
        <v>50</v>
      </c>
      <c r="O154" s="33" t="n">
        <f>12055</f>
        <v>12055.0</v>
      </c>
      <c r="P154" s="34" t="s">
        <v>50</v>
      </c>
      <c r="Q154" s="33" t="n">
        <f>12495</f>
        <v>12495.0</v>
      </c>
      <c r="R154" s="34" t="s">
        <v>50</v>
      </c>
      <c r="S154" s="35" t="n">
        <f>12822.95</f>
        <v>12822.95</v>
      </c>
      <c r="T154" s="32" t="n">
        <f>3904</f>
        <v>3904.0</v>
      </c>
      <c r="U154" s="32" t="str">
        <f>"－"</f>
        <v>－</v>
      </c>
      <c r="V154" s="32" t="n">
        <f>49410315</f>
        <v>4.9410315E7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516</v>
      </c>
      <c r="C155" s="27" t="s">
        <v>517</v>
      </c>
      <c r="D155" s="27" t="s">
        <v>518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18015</f>
        <v>18015.0</v>
      </c>
      <c r="L155" s="34" t="s">
        <v>48</v>
      </c>
      <c r="M155" s="33" t="n">
        <f>19265</f>
        <v>19265.0</v>
      </c>
      <c r="N155" s="34" t="s">
        <v>65</v>
      </c>
      <c r="O155" s="33" t="n">
        <f>16995</f>
        <v>16995.0</v>
      </c>
      <c r="P155" s="34" t="s">
        <v>212</v>
      </c>
      <c r="Q155" s="33" t="n">
        <f>17575</f>
        <v>17575.0</v>
      </c>
      <c r="R155" s="34" t="s">
        <v>50</v>
      </c>
      <c r="S155" s="35" t="n">
        <f>18059.55</f>
        <v>18059.55</v>
      </c>
      <c r="T155" s="32" t="n">
        <f>3280</f>
        <v>3280.0</v>
      </c>
      <c r="U155" s="32" t="str">
        <f>"－"</f>
        <v>－</v>
      </c>
      <c r="V155" s="32" t="n">
        <f>58809945</f>
        <v>5.8809945E7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519</v>
      </c>
      <c r="C156" s="27" t="s">
        <v>520</v>
      </c>
      <c r="D156" s="27" t="s">
        <v>521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19000</f>
        <v>19000.0</v>
      </c>
      <c r="L156" s="34" t="s">
        <v>48</v>
      </c>
      <c r="M156" s="33" t="n">
        <f>19265</f>
        <v>19265.0</v>
      </c>
      <c r="N156" s="34" t="s">
        <v>186</v>
      </c>
      <c r="O156" s="33" t="n">
        <f>18380</f>
        <v>18380.0</v>
      </c>
      <c r="P156" s="34" t="s">
        <v>49</v>
      </c>
      <c r="Q156" s="33" t="n">
        <f>18380</f>
        <v>18380.0</v>
      </c>
      <c r="R156" s="34" t="s">
        <v>49</v>
      </c>
      <c r="S156" s="35" t="n">
        <f>18652.5</f>
        <v>18652.5</v>
      </c>
      <c r="T156" s="32" t="n">
        <f>74</f>
        <v>74.0</v>
      </c>
      <c r="U156" s="32" t="str">
        <f>"－"</f>
        <v>－</v>
      </c>
      <c r="V156" s="32" t="n">
        <f>1384255</f>
        <v>1384255.0</v>
      </c>
      <c r="W156" s="32" t="str">
        <f>"－"</f>
        <v>－</v>
      </c>
      <c r="X156" s="36" t="n">
        <f>8</f>
        <v>8.0</v>
      </c>
    </row>
    <row r="157">
      <c r="A157" s="27" t="s">
        <v>42</v>
      </c>
      <c r="B157" s="27" t="s">
        <v>522</v>
      </c>
      <c r="C157" s="27" t="s">
        <v>523</v>
      </c>
      <c r="D157" s="27" t="s">
        <v>524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51120</f>
        <v>51120.0</v>
      </c>
      <c r="L157" s="34" t="s">
        <v>48</v>
      </c>
      <c r="M157" s="33" t="n">
        <f>53240</f>
        <v>53240.0</v>
      </c>
      <c r="N157" s="34" t="s">
        <v>49</v>
      </c>
      <c r="O157" s="33" t="n">
        <f>50830</f>
        <v>50830.0</v>
      </c>
      <c r="P157" s="34" t="s">
        <v>208</v>
      </c>
      <c r="Q157" s="33" t="n">
        <f>52900</f>
        <v>52900.0</v>
      </c>
      <c r="R157" s="34" t="s">
        <v>50</v>
      </c>
      <c r="S157" s="35" t="n">
        <f>51901.43</f>
        <v>51901.43</v>
      </c>
      <c r="T157" s="32" t="n">
        <f>13930</f>
        <v>13930.0</v>
      </c>
      <c r="U157" s="32" t="n">
        <f>9660</f>
        <v>9660.0</v>
      </c>
      <c r="V157" s="32" t="n">
        <f>721585770</f>
        <v>7.2158577E8</v>
      </c>
      <c r="W157" s="32" t="n">
        <f>499304870</f>
        <v>4.9930487E8</v>
      </c>
      <c r="X157" s="36" t="n">
        <f>21</f>
        <v>21.0</v>
      </c>
    </row>
    <row r="158">
      <c r="A158" s="27" t="s">
        <v>42</v>
      </c>
      <c r="B158" s="27" t="s">
        <v>525</v>
      </c>
      <c r="C158" s="27" t="s">
        <v>526</v>
      </c>
      <c r="D158" s="27" t="s">
        <v>527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279.1</f>
        <v>279.1</v>
      </c>
      <c r="L158" s="34" t="s">
        <v>48</v>
      </c>
      <c r="M158" s="33" t="n">
        <f>304.2</f>
        <v>304.2</v>
      </c>
      <c r="N158" s="34" t="s">
        <v>50</v>
      </c>
      <c r="O158" s="33" t="n">
        <f>279</f>
        <v>279.0</v>
      </c>
      <c r="P158" s="34" t="s">
        <v>48</v>
      </c>
      <c r="Q158" s="33" t="n">
        <f>304.2</f>
        <v>304.2</v>
      </c>
      <c r="R158" s="34" t="s">
        <v>50</v>
      </c>
      <c r="S158" s="35" t="n">
        <f>289.09</f>
        <v>289.09</v>
      </c>
      <c r="T158" s="32" t="n">
        <f>34594100</f>
        <v>3.45941E7</v>
      </c>
      <c r="U158" s="32" t="n">
        <f>351600</f>
        <v>351600.0</v>
      </c>
      <c r="V158" s="32" t="n">
        <f>10095675570</f>
        <v>1.009567557E10</v>
      </c>
      <c r="W158" s="32" t="n">
        <f>100300480</f>
        <v>1.0030048E8</v>
      </c>
      <c r="X158" s="36" t="n">
        <f>22</f>
        <v>22.0</v>
      </c>
    </row>
    <row r="159">
      <c r="A159" s="27" t="s">
        <v>42</v>
      </c>
      <c r="B159" s="27" t="s">
        <v>528</v>
      </c>
      <c r="C159" s="27" t="s">
        <v>529</v>
      </c>
      <c r="D159" s="27" t="s">
        <v>530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39090</f>
        <v>39090.0</v>
      </c>
      <c r="L159" s="34" t="s">
        <v>48</v>
      </c>
      <c r="M159" s="33" t="n">
        <f>42090</f>
        <v>42090.0</v>
      </c>
      <c r="N159" s="34" t="s">
        <v>50</v>
      </c>
      <c r="O159" s="33" t="n">
        <f>39040</f>
        <v>39040.0</v>
      </c>
      <c r="P159" s="34" t="s">
        <v>48</v>
      </c>
      <c r="Q159" s="33" t="n">
        <f>42090</f>
        <v>42090.0</v>
      </c>
      <c r="R159" s="34" t="s">
        <v>50</v>
      </c>
      <c r="S159" s="35" t="n">
        <f>40764.29</f>
        <v>40764.29</v>
      </c>
      <c r="T159" s="32" t="n">
        <f>5180</f>
        <v>5180.0</v>
      </c>
      <c r="U159" s="32" t="str">
        <f>"－"</f>
        <v>－</v>
      </c>
      <c r="V159" s="32" t="n">
        <f>211712200</f>
        <v>2.117122E8</v>
      </c>
      <c r="W159" s="32" t="str">
        <f>"－"</f>
        <v>－</v>
      </c>
      <c r="X159" s="36" t="n">
        <f>21</f>
        <v>21.0</v>
      </c>
    </row>
    <row r="160">
      <c r="A160" s="27" t="s">
        <v>42</v>
      </c>
      <c r="B160" s="27" t="s">
        <v>531</v>
      </c>
      <c r="C160" s="27" t="s">
        <v>532</v>
      </c>
      <c r="D160" s="27" t="s">
        <v>533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4140</f>
        <v>4140.0</v>
      </c>
      <c r="L160" s="34" t="s">
        <v>48</v>
      </c>
      <c r="M160" s="33" t="n">
        <f>4512</f>
        <v>4512.0</v>
      </c>
      <c r="N160" s="34" t="s">
        <v>50</v>
      </c>
      <c r="O160" s="33" t="n">
        <f>4135</f>
        <v>4135.0</v>
      </c>
      <c r="P160" s="34" t="s">
        <v>48</v>
      </c>
      <c r="Q160" s="33" t="n">
        <f>4510</f>
        <v>4510.0</v>
      </c>
      <c r="R160" s="34" t="s">
        <v>50</v>
      </c>
      <c r="S160" s="35" t="n">
        <f>4345</f>
        <v>4345.0</v>
      </c>
      <c r="T160" s="32" t="n">
        <f>61190</f>
        <v>61190.0</v>
      </c>
      <c r="U160" s="32" t="n">
        <f>10</f>
        <v>10.0</v>
      </c>
      <c r="V160" s="32" t="n">
        <f>265270870</f>
        <v>2.6527087E8</v>
      </c>
      <c r="W160" s="32" t="n">
        <f>41590</f>
        <v>41590.0</v>
      </c>
      <c r="X160" s="36" t="n">
        <f>22</f>
        <v>22.0</v>
      </c>
    </row>
    <row r="161">
      <c r="A161" s="27" t="s">
        <v>42</v>
      </c>
      <c r="B161" s="27" t="s">
        <v>534</v>
      </c>
      <c r="C161" s="27" t="s">
        <v>535</v>
      </c>
      <c r="D161" s="27" t="s">
        <v>536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1679.5</f>
        <v>1679.5</v>
      </c>
      <c r="L161" s="34" t="s">
        <v>48</v>
      </c>
      <c r="M161" s="33" t="n">
        <f>1849</f>
        <v>1849.0</v>
      </c>
      <c r="N161" s="34" t="s">
        <v>60</v>
      </c>
      <c r="O161" s="33" t="n">
        <f>1673.5</f>
        <v>1673.5</v>
      </c>
      <c r="P161" s="34" t="s">
        <v>48</v>
      </c>
      <c r="Q161" s="33" t="n">
        <f>1809</f>
        <v>1809.0</v>
      </c>
      <c r="R161" s="34" t="s">
        <v>50</v>
      </c>
      <c r="S161" s="35" t="n">
        <f>1777.68</f>
        <v>1777.68</v>
      </c>
      <c r="T161" s="32" t="n">
        <f>135290</f>
        <v>135290.0</v>
      </c>
      <c r="U161" s="32" t="str">
        <f>"－"</f>
        <v>－</v>
      </c>
      <c r="V161" s="32" t="n">
        <f>241681325</f>
        <v>2.41681325E8</v>
      </c>
      <c r="W161" s="32" t="str">
        <f>"－"</f>
        <v>－</v>
      </c>
      <c r="X161" s="36" t="n">
        <f>22</f>
        <v>22.0</v>
      </c>
    </row>
    <row r="162">
      <c r="A162" s="27" t="s">
        <v>42</v>
      </c>
      <c r="B162" s="27" t="s">
        <v>537</v>
      </c>
      <c r="C162" s="27" t="s">
        <v>538</v>
      </c>
      <c r="D162" s="27" t="s">
        <v>539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100.0</v>
      </c>
      <c r="K162" s="33" t="n">
        <f>239</f>
        <v>239.0</v>
      </c>
      <c r="L162" s="34" t="s">
        <v>48</v>
      </c>
      <c r="M162" s="33" t="n">
        <f>248.8</f>
        <v>248.8</v>
      </c>
      <c r="N162" s="34" t="s">
        <v>61</v>
      </c>
      <c r="O162" s="33" t="n">
        <f>220</f>
        <v>220.0</v>
      </c>
      <c r="P162" s="34" t="s">
        <v>479</v>
      </c>
      <c r="Q162" s="33" t="n">
        <f>225.1</f>
        <v>225.1</v>
      </c>
      <c r="R162" s="34" t="s">
        <v>50</v>
      </c>
      <c r="S162" s="35" t="n">
        <f>235.66</f>
        <v>235.66</v>
      </c>
      <c r="T162" s="32" t="n">
        <f>150000</f>
        <v>150000.0</v>
      </c>
      <c r="U162" s="32" t="str">
        <f>"－"</f>
        <v>－</v>
      </c>
      <c r="V162" s="32" t="n">
        <f>34941160</f>
        <v>3.494116E7</v>
      </c>
      <c r="W162" s="32" t="str">
        <f>"－"</f>
        <v>－</v>
      </c>
      <c r="X162" s="36" t="n">
        <f>22</f>
        <v>22.0</v>
      </c>
    </row>
    <row r="163">
      <c r="A163" s="27" t="s">
        <v>42</v>
      </c>
      <c r="B163" s="27" t="s">
        <v>540</v>
      </c>
      <c r="C163" s="27" t="s">
        <v>541</v>
      </c>
      <c r="D163" s="27" t="s">
        <v>542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1496.5</f>
        <v>1496.5</v>
      </c>
      <c r="L163" s="34" t="s">
        <v>186</v>
      </c>
      <c r="M163" s="33" t="n">
        <f>1593.5</f>
        <v>1593.5</v>
      </c>
      <c r="N163" s="34" t="s">
        <v>60</v>
      </c>
      <c r="O163" s="33" t="n">
        <f>1439</f>
        <v>1439.0</v>
      </c>
      <c r="P163" s="34" t="s">
        <v>208</v>
      </c>
      <c r="Q163" s="33" t="n">
        <f>1529.5</f>
        <v>1529.5</v>
      </c>
      <c r="R163" s="34" t="s">
        <v>102</v>
      </c>
      <c r="S163" s="35" t="n">
        <f>1507.08</f>
        <v>1507.08</v>
      </c>
      <c r="T163" s="32" t="n">
        <f>2780</f>
        <v>2780.0</v>
      </c>
      <c r="U163" s="32" t="str">
        <f>"－"</f>
        <v>－</v>
      </c>
      <c r="V163" s="32" t="n">
        <f>4179510</f>
        <v>4179510.0</v>
      </c>
      <c r="W163" s="32" t="str">
        <f>"－"</f>
        <v>－</v>
      </c>
      <c r="X163" s="36" t="n">
        <f>13</f>
        <v>13.0</v>
      </c>
    </row>
    <row r="164">
      <c r="A164" s="27" t="s">
        <v>42</v>
      </c>
      <c r="B164" s="27" t="s">
        <v>543</v>
      </c>
      <c r="C164" s="27" t="s">
        <v>544</v>
      </c>
      <c r="D164" s="27" t="s">
        <v>545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460</f>
        <v>460.0</v>
      </c>
      <c r="L164" s="34" t="s">
        <v>48</v>
      </c>
      <c r="M164" s="33" t="n">
        <f>509</f>
        <v>509.0</v>
      </c>
      <c r="N164" s="34" t="s">
        <v>479</v>
      </c>
      <c r="O164" s="33" t="n">
        <f>460</f>
        <v>460.0</v>
      </c>
      <c r="P164" s="34" t="s">
        <v>48</v>
      </c>
      <c r="Q164" s="33" t="n">
        <f>503.6</f>
        <v>503.6</v>
      </c>
      <c r="R164" s="34" t="s">
        <v>50</v>
      </c>
      <c r="S164" s="35" t="n">
        <f>488.23</f>
        <v>488.23</v>
      </c>
      <c r="T164" s="32" t="n">
        <f>40460</f>
        <v>40460.0</v>
      </c>
      <c r="U164" s="32" t="str">
        <f>"－"</f>
        <v>－</v>
      </c>
      <c r="V164" s="32" t="n">
        <f>19817231</f>
        <v>1.9817231E7</v>
      </c>
      <c r="W164" s="32" t="str">
        <f>"－"</f>
        <v>－</v>
      </c>
      <c r="X164" s="36" t="n">
        <f>22</f>
        <v>22.0</v>
      </c>
    </row>
    <row r="165">
      <c r="A165" s="27" t="s">
        <v>42</v>
      </c>
      <c r="B165" s="27" t="s">
        <v>546</v>
      </c>
      <c r="C165" s="27" t="s">
        <v>547</v>
      </c>
      <c r="D165" s="27" t="s">
        <v>548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1947.5</f>
        <v>1947.5</v>
      </c>
      <c r="L165" s="34" t="s">
        <v>48</v>
      </c>
      <c r="M165" s="33" t="n">
        <f>2080</f>
        <v>2080.0</v>
      </c>
      <c r="N165" s="34" t="s">
        <v>60</v>
      </c>
      <c r="O165" s="33" t="n">
        <f>1947.5</f>
        <v>1947.5</v>
      </c>
      <c r="P165" s="34" t="s">
        <v>48</v>
      </c>
      <c r="Q165" s="33" t="n">
        <f>2013</f>
        <v>2013.0</v>
      </c>
      <c r="R165" s="34" t="s">
        <v>50</v>
      </c>
      <c r="S165" s="35" t="n">
        <f>2019.78</f>
        <v>2019.78</v>
      </c>
      <c r="T165" s="32" t="n">
        <f>3000</f>
        <v>3000.0</v>
      </c>
      <c r="U165" s="32" t="str">
        <f>"－"</f>
        <v>－</v>
      </c>
      <c r="V165" s="32" t="n">
        <f>6080660</f>
        <v>6080660.0</v>
      </c>
      <c r="W165" s="32" t="str">
        <f>"－"</f>
        <v>－</v>
      </c>
      <c r="X165" s="36" t="n">
        <f>18</f>
        <v>18.0</v>
      </c>
    </row>
    <row r="166">
      <c r="A166" s="27" t="s">
        <v>42</v>
      </c>
      <c r="B166" s="27" t="s">
        <v>549</v>
      </c>
      <c r="C166" s="27" t="s">
        <v>550</v>
      </c>
      <c r="D166" s="27" t="s">
        <v>551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876.6</f>
        <v>876.6</v>
      </c>
      <c r="L166" s="34" t="s">
        <v>48</v>
      </c>
      <c r="M166" s="33" t="n">
        <f>1079.5</f>
        <v>1079.5</v>
      </c>
      <c r="N166" s="34" t="s">
        <v>116</v>
      </c>
      <c r="O166" s="33" t="n">
        <f>876.6</f>
        <v>876.6</v>
      </c>
      <c r="P166" s="34" t="s">
        <v>48</v>
      </c>
      <c r="Q166" s="33" t="n">
        <f>954.6</f>
        <v>954.6</v>
      </c>
      <c r="R166" s="34" t="s">
        <v>50</v>
      </c>
      <c r="S166" s="35" t="n">
        <f>949.81</f>
        <v>949.81</v>
      </c>
      <c r="T166" s="32" t="n">
        <f>154240</f>
        <v>154240.0</v>
      </c>
      <c r="U166" s="32" t="str">
        <f>"－"</f>
        <v>－</v>
      </c>
      <c r="V166" s="32" t="n">
        <f>149607890</f>
        <v>1.4960789E8</v>
      </c>
      <c r="W166" s="32" t="str">
        <f>"－"</f>
        <v>－</v>
      </c>
      <c r="X166" s="36" t="n">
        <f>22</f>
        <v>22.0</v>
      </c>
    </row>
    <row r="167">
      <c r="A167" s="27" t="s">
        <v>42</v>
      </c>
      <c r="B167" s="27" t="s">
        <v>552</v>
      </c>
      <c r="C167" s="27" t="s">
        <v>553</v>
      </c>
      <c r="D167" s="27" t="s">
        <v>554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599.9</f>
        <v>599.9</v>
      </c>
      <c r="L167" s="34" t="s">
        <v>48</v>
      </c>
      <c r="M167" s="33" t="n">
        <f>733</f>
        <v>733.0</v>
      </c>
      <c r="N167" s="34" t="s">
        <v>226</v>
      </c>
      <c r="O167" s="33" t="n">
        <f>599.9</f>
        <v>599.9</v>
      </c>
      <c r="P167" s="34" t="s">
        <v>48</v>
      </c>
      <c r="Q167" s="33" t="n">
        <f>674.6</f>
        <v>674.6</v>
      </c>
      <c r="R167" s="34" t="s">
        <v>50</v>
      </c>
      <c r="S167" s="35" t="n">
        <f>664.05</f>
        <v>664.05</v>
      </c>
      <c r="T167" s="32" t="n">
        <f>386520</f>
        <v>386520.0</v>
      </c>
      <c r="U167" s="32" t="str">
        <f>"－"</f>
        <v>－</v>
      </c>
      <c r="V167" s="32" t="n">
        <f>264333472</f>
        <v>2.64333472E8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555</v>
      </c>
      <c r="C168" s="27" t="s">
        <v>556</v>
      </c>
      <c r="D168" s="27" t="s">
        <v>557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100.0</v>
      </c>
      <c r="K168" s="33" t="n">
        <f>1.1</f>
        <v>1.1</v>
      </c>
      <c r="L168" s="34" t="s">
        <v>48</v>
      </c>
      <c r="M168" s="33" t="n">
        <f>1.4</f>
        <v>1.4</v>
      </c>
      <c r="N168" s="34" t="s">
        <v>103</v>
      </c>
      <c r="O168" s="33" t="n">
        <f>1</f>
        <v>1.0</v>
      </c>
      <c r="P168" s="34" t="s">
        <v>48</v>
      </c>
      <c r="Q168" s="33" t="n">
        <f>1.3</f>
        <v>1.3</v>
      </c>
      <c r="R168" s="34" t="s">
        <v>50</v>
      </c>
      <c r="S168" s="35" t="n">
        <f>1.15</f>
        <v>1.15</v>
      </c>
      <c r="T168" s="32" t="n">
        <f>1618261200</f>
        <v>1.6182612E9</v>
      </c>
      <c r="U168" s="32" t="str">
        <f>"－"</f>
        <v>－</v>
      </c>
      <c r="V168" s="32" t="n">
        <f>1890510300</f>
        <v>1.8905103E9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558</v>
      </c>
      <c r="C169" s="27" t="s">
        <v>559</v>
      </c>
      <c r="D169" s="27" t="s">
        <v>560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1107</f>
        <v>1107.0</v>
      </c>
      <c r="L169" s="34" t="s">
        <v>48</v>
      </c>
      <c r="M169" s="33" t="n">
        <f>1210.5</f>
        <v>1210.5</v>
      </c>
      <c r="N169" s="34" t="s">
        <v>226</v>
      </c>
      <c r="O169" s="33" t="n">
        <f>1107</f>
        <v>1107.0</v>
      </c>
      <c r="P169" s="34" t="s">
        <v>48</v>
      </c>
      <c r="Q169" s="33" t="n">
        <f>1198</f>
        <v>1198.0</v>
      </c>
      <c r="R169" s="34" t="s">
        <v>50</v>
      </c>
      <c r="S169" s="35" t="n">
        <f>1169.75</f>
        <v>1169.75</v>
      </c>
      <c r="T169" s="32" t="n">
        <f>99770</f>
        <v>99770.0</v>
      </c>
      <c r="U169" s="32" t="str">
        <f>"－"</f>
        <v>－</v>
      </c>
      <c r="V169" s="32" t="n">
        <f>116224595</f>
        <v>1.16224595E8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561</v>
      </c>
      <c r="C170" s="27" t="s">
        <v>562</v>
      </c>
      <c r="D170" s="27" t="s">
        <v>563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6300</f>
        <v>6300.0</v>
      </c>
      <c r="L170" s="34" t="s">
        <v>48</v>
      </c>
      <c r="M170" s="33" t="n">
        <f>7000</f>
        <v>7000.0</v>
      </c>
      <c r="N170" s="34" t="s">
        <v>60</v>
      </c>
      <c r="O170" s="33" t="n">
        <f>6249</f>
        <v>6249.0</v>
      </c>
      <c r="P170" s="34" t="s">
        <v>48</v>
      </c>
      <c r="Q170" s="33" t="n">
        <f>6819</f>
        <v>6819.0</v>
      </c>
      <c r="R170" s="34" t="s">
        <v>50</v>
      </c>
      <c r="S170" s="35" t="n">
        <f>6715.5</f>
        <v>6715.5</v>
      </c>
      <c r="T170" s="32" t="n">
        <f>520</f>
        <v>520.0</v>
      </c>
      <c r="U170" s="32" t="str">
        <f>"－"</f>
        <v>－</v>
      </c>
      <c r="V170" s="32" t="n">
        <f>3410233</f>
        <v>3410233.0</v>
      </c>
      <c r="W170" s="32" t="str">
        <f>"－"</f>
        <v>－</v>
      </c>
      <c r="X170" s="36" t="n">
        <f>16</f>
        <v>16.0</v>
      </c>
    </row>
    <row r="171">
      <c r="A171" s="27" t="s">
        <v>42</v>
      </c>
      <c r="B171" s="27" t="s">
        <v>564</v>
      </c>
      <c r="C171" s="27" t="s">
        <v>565</v>
      </c>
      <c r="D171" s="27" t="s">
        <v>566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100.0</v>
      </c>
      <c r="K171" s="33" t="n">
        <f>418.5</f>
        <v>418.5</v>
      </c>
      <c r="L171" s="34" t="s">
        <v>48</v>
      </c>
      <c r="M171" s="33" t="n">
        <f>433</f>
        <v>433.0</v>
      </c>
      <c r="N171" s="34" t="s">
        <v>60</v>
      </c>
      <c r="O171" s="33" t="n">
        <f>411.9</f>
        <v>411.9</v>
      </c>
      <c r="P171" s="34" t="s">
        <v>208</v>
      </c>
      <c r="Q171" s="33" t="n">
        <f>424.3</f>
        <v>424.3</v>
      </c>
      <c r="R171" s="34" t="s">
        <v>50</v>
      </c>
      <c r="S171" s="35" t="n">
        <f>423.77</f>
        <v>423.77</v>
      </c>
      <c r="T171" s="32" t="n">
        <f>68000</f>
        <v>68000.0</v>
      </c>
      <c r="U171" s="32" t="str">
        <f>"－"</f>
        <v>－</v>
      </c>
      <c r="V171" s="32" t="n">
        <f>28783610</f>
        <v>2.878361E7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567</v>
      </c>
      <c r="C172" s="27" t="s">
        <v>568</v>
      </c>
      <c r="D172" s="27" t="s">
        <v>569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4530</f>
        <v>4530.0</v>
      </c>
      <c r="L172" s="34" t="s">
        <v>48</v>
      </c>
      <c r="M172" s="33" t="n">
        <f>4955</f>
        <v>4955.0</v>
      </c>
      <c r="N172" s="34" t="s">
        <v>212</v>
      </c>
      <c r="O172" s="33" t="n">
        <f>4519</f>
        <v>4519.0</v>
      </c>
      <c r="P172" s="34" t="s">
        <v>48</v>
      </c>
      <c r="Q172" s="33" t="n">
        <f>4795</f>
        <v>4795.0</v>
      </c>
      <c r="R172" s="34" t="s">
        <v>50</v>
      </c>
      <c r="S172" s="35" t="n">
        <f>4770.95</f>
        <v>4770.95</v>
      </c>
      <c r="T172" s="32" t="n">
        <f>55510</f>
        <v>55510.0</v>
      </c>
      <c r="U172" s="32" t="str">
        <f>"－"</f>
        <v>－</v>
      </c>
      <c r="V172" s="32" t="n">
        <f>264041640</f>
        <v>2.6404164E8</v>
      </c>
      <c r="W172" s="32" t="str">
        <f>"－"</f>
        <v>－</v>
      </c>
      <c r="X172" s="36" t="n">
        <f>22</f>
        <v>22.0</v>
      </c>
    </row>
    <row r="173">
      <c r="A173" s="27" t="s">
        <v>42</v>
      </c>
      <c r="B173" s="27" t="s">
        <v>570</v>
      </c>
      <c r="C173" s="27" t="s">
        <v>571</v>
      </c>
      <c r="D173" s="27" t="s">
        <v>572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2653.5</f>
        <v>2653.5</v>
      </c>
      <c r="L173" s="34" t="s">
        <v>48</v>
      </c>
      <c r="M173" s="33" t="n">
        <f>3026</f>
        <v>3026.0</v>
      </c>
      <c r="N173" s="34" t="s">
        <v>65</v>
      </c>
      <c r="O173" s="33" t="n">
        <f>2637</f>
        <v>2637.0</v>
      </c>
      <c r="P173" s="34" t="s">
        <v>48</v>
      </c>
      <c r="Q173" s="33" t="n">
        <f>2766</f>
        <v>2766.0</v>
      </c>
      <c r="R173" s="34" t="s">
        <v>50</v>
      </c>
      <c r="S173" s="35" t="n">
        <f>2794.48</f>
        <v>2794.48</v>
      </c>
      <c r="T173" s="32" t="n">
        <f>45050</f>
        <v>45050.0</v>
      </c>
      <c r="U173" s="32" t="str">
        <f>"－"</f>
        <v>－</v>
      </c>
      <c r="V173" s="32" t="n">
        <f>125750130</f>
        <v>1.2575013E8</v>
      </c>
      <c r="W173" s="32" t="str">
        <f>"－"</f>
        <v>－</v>
      </c>
      <c r="X173" s="36" t="n">
        <f>22</f>
        <v>22.0</v>
      </c>
    </row>
    <row r="174">
      <c r="A174" s="27" t="s">
        <v>42</v>
      </c>
      <c r="B174" s="27" t="s">
        <v>573</v>
      </c>
      <c r="C174" s="27" t="s">
        <v>574</v>
      </c>
      <c r="D174" s="27" t="s">
        <v>575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79.8</f>
        <v>79.8</v>
      </c>
      <c r="L174" s="34" t="s">
        <v>48</v>
      </c>
      <c r="M174" s="33" t="n">
        <f>103.3</f>
        <v>103.3</v>
      </c>
      <c r="N174" s="34" t="s">
        <v>103</v>
      </c>
      <c r="O174" s="33" t="n">
        <f>79.8</f>
        <v>79.8</v>
      </c>
      <c r="P174" s="34" t="s">
        <v>48</v>
      </c>
      <c r="Q174" s="33" t="n">
        <f>93.7</f>
        <v>93.7</v>
      </c>
      <c r="R174" s="34" t="s">
        <v>50</v>
      </c>
      <c r="S174" s="35" t="n">
        <f>90.55</f>
        <v>90.55</v>
      </c>
      <c r="T174" s="32" t="n">
        <f>15692000</f>
        <v>1.5692E7</v>
      </c>
      <c r="U174" s="32" t="str">
        <f>"－"</f>
        <v>－</v>
      </c>
      <c r="V174" s="32" t="n">
        <f>1446289380</f>
        <v>1.44628938E9</v>
      </c>
      <c r="W174" s="32" t="str">
        <f>"－"</f>
        <v>－</v>
      </c>
      <c r="X174" s="36" t="n">
        <f>22</f>
        <v>22.0</v>
      </c>
    </row>
    <row r="175">
      <c r="A175" s="27" t="s">
        <v>42</v>
      </c>
      <c r="B175" s="27" t="s">
        <v>576</v>
      </c>
      <c r="C175" s="27" t="s">
        <v>577</v>
      </c>
      <c r="D175" s="27" t="s">
        <v>578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100.0</v>
      </c>
      <c r="K175" s="33" t="n">
        <f>172.8</f>
        <v>172.8</v>
      </c>
      <c r="L175" s="34" t="s">
        <v>48</v>
      </c>
      <c r="M175" s="33" t="n">
        <f>210.8</f>
        <v>210.8</v>
      </c>
      <c r="N175" s="34" t="s">
        <v>226</v>
      </c>
      <c r="O175" s="33" t="n">
        <f>171</f>
        <v>171.0</v>
      </c>
      <c r="P175" s="34" t="s">
        <v>117</v>
      </c>
      <c r="Q175" s="33" t="n">
        <f>184</f>
        <v>184.0</v>
      </c>
      <c r="R175" s="34" t="s">
        <v>50</v>
      </c>
      <c r="S175" s="35" t="n">
        <f>188.18</f>
        <v>188.18</v>
      </c>
      <c r="T175" s="32" t="n">
        <f>1476500</f>
        <v>1476500.0</v>
      </c>
      <c r="U175" s="32" t="str">
        <f>"－"</f>
        <v>－</v>
      </c>
      <c r="V175" s="32" t="n">
        <f>279113830</f>
        <v>2.7911383E8</v>
      </c>
      <c r="W175" s="32" t="str">
        <f>"－"</f>
        <v>－</v>
      </c>
      <c r="X175" s="36" t="n">
        <f>22</f>
        <v>22.0</v>
      </c>
    </row>
    <row r="176">
      <c r="A176" s="27" t="s">
        <v>42</v>
      </c>
      <c r="B176" s="27" t="s">
        <v>579</v>
      </c>
      <c r="C176" s="27" t="s">
        <v>580</v>
      </c>
      <c r="D176" s="27" t="s">
        <v>581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3786</f>
        <v>3786.0</v>
      </c>
      <c r="L176" s="34" t="s">
        <v>48</v>
      </c>
      <c r="M176" s="33" t="n">
        <f>4746</f>
        <v>4746.0</v>
      </c>
      <c r="N176" s="34" t="s">
        <v>116</v>
      </c>
      <c r="O176" s="33" t="n">
        <f>3786</f>
        <v>3786.0</v>
      </c>
      <c r="P176" s="34" t="s">
        <v>48</v>
      </c>
      <c r="Q176" s="33" t="n">
        <f>4450</f>
        <v>4450.0</v>
      </c>
      <c r="R176" s="34" t="s">
        <v>50</v>
      </c>
      <c r="S176" s="35" t="n">
        <f>4257.86</f>
        <v>4257.86</v>
      </c>
      <c r="T176" s="32" t="n">
        <f>25000</f>
        <v>25000.0</v>
      </c>
      <c r="U176" s="32" t="str">
        <f>"－"</f>
        <v>－</v>
      </c>
      <c r="V176" s="32" t="n">
        <f>110270450</f>
        <v>1.1027045E8</v>
      </c>
      <c r="W176" s="32" t="str">
        <f>"－"</f>
        <v>－</v>
      </c>
      <c r="X176" s="36" t="n">
        <f>22</f>
        <v>22.0</v>
      </c>
    </row>
    <row r="177">
      <c r="A177" s="27" t="s">
        <v>42</v>
      </c>
      <c r="B177" s="27" t="s">
        <v>582</v>
      </c>
      <c r="C177" s="27" t="s">
        <v>583</v>
      </c>
      <c r="D177" s="27" t="s">
        <v>584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2289.5</f>
        <v>2289.5</v>
      </c>
      <c r="L177" s="34" t="s">
        <v>48</v>
      </c>
      <c r="M177" s="33" t="n">
        <f>2521</f>
        <v>2521.0</v>
      </c>
      <c r="N177" s="34" t="s">
        <v>49</v>
      </c>
      <c r="O177" s="33" t="n">
        <f>2285</f>
        <v>2285.0</v>
      </c>
      <c r="P177" s="34" t="s">
        <v>48</v>
      </c>
      <c r="Q177" s="33" t="n">
        <f>2494.5</f>
        <v>2494.5</v>
      </c>
      <c r="R177" s="34" t="s">
        <v>50</v>
      </c>
      <c r="S177" s="35" t="n">
        <f>2436.23</f>
        <v>2436.23</v>
      </c>
      <c r="T177" s="32" t="n">
        <f>593130</f>
        <v>593130.0</v>
      </c>
      <c r="U177" s="32" t="n">
        <f>132170</f>
        <v>132170.0</v>
      </c>
      <c r="V177" s="32" t="n">
        <f>1444218369</f>
        <v>1.444218369E9</v>
      </c>
      <c r="W177" s="32" t="n">
        <f>319995659</f>
        <v>3.19995659E8</v>
      </c>
      <c r="X177" s="36" t="n">
        <f>22</f>
        <v>22.0</v>
      </c>
    </row>
    <row r="178">
      <c r="A178" s="27" t="s">
        <v>42</v>
      </c>
      <c r="B178" s="27" t="s">
        <v>585</v>
      </c>
      <c r="C178" s="27" t="s">
        <v>586</v>
      </c>
      <c r="D178" s="27" t="s">
        <v>587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305.2</f>
        <v>305.2</v>
      </c>
      <c r="L178" s="34" t="s">
        <v>48</v>
      </c>
      <c r="M178" s="33" t="n">
        <f>333.4</f>
        <v>333.4</v>
      </c>
      <c r="N178" s="34" t="s">
        <v>226</v>
      </c>
      <c r="O178" s="33" t="n">
        <f>304.8</f>
        <v>304.8</v>
      </c>
      <c r="P178" s="34" t="s">
        <v>48</v>
      </c>
      <c r="Q178" s="33" t="n">
        <f>329.5</f>
        <v>329.5</v>
      </c>
      <c r="R178" s="34" t="s">
        <v>50</v>
      </c>
      <c r="S178" s="35" t="n">
        <f>321.82</f>
        <v>321.82</v>
      </c>
      <c r="T178" s="32" t="n">
        <f>28516890</f>
        <v>2.851689E7</v>
      </c>
      <c r="U178" s="32" t="n">
        <f>58440</f>
        <v>58440.0</v>
      </c>
      <c r="V178" s="32" t="n">
        <f>9110787809</f>
        <v>9.110787809E9</v>
      </c>
      <c r="W178" s="32" t="n">
        <f>19121176</f>
        <v>1.9121176E7</v>
      </c>
      <c r="X178" s="36" t="n">
        <f>22</f>
        <v>22.0</v>
      </c>
    </row>
    <row r="179">
      <c r="A179" s="27" t="s">
        <v>42</v>
      </c>
      <c r="B179" s="27" t="s">
        <v>588</v>
      </c>
      <c r="C179" s="27" t="s">
        <v>589</v>
      </c>
      <c r="D179" s="27" t="s">
        <v>590</v>
      </c>
      <c r="E179" s="28" t="s">
        <v>46</v>
      </c>
      <c r="F179" s="29" t="s">
        <v>46</v>
      </c>
      <c r="G179" s="30" t="s">
        <v>46</v>
      </c>
      <c r="H179" s="31"/>
      <c r="I179" s="31" t="s">
        <v>591</v>
      </c>
      <c r="J179" s="32" t="n">
        <v>1.0</v>
      </c>
      <c r="K179" s="33" t="n">
        <f>4882</f>
        <v>4882.0</v>
      </c>
      <c r="L179" s="34" t="s">
        <v>48</v>
      </c>
      <c r="M179" s="33" t="n">
        <f>6100</f>
        <v>6100.0</v>
      </c>
      <c r="N179" s="34" t="s">
        <v>65</v>
      </c>
      <c r="O179" s="33" t="n">
        <f>4882</f>
        <v>4882.0</v>
      </c>
      <c r="P179" s="34" t="s">
        <v>48</v>
      </c>
      <c r="Q179" s="33" t="n">
        <f>5520</f>
        <v>5520.0</v>
      </c>
      <c r="R179" s="34" t="s">
        <v>50</v>
      </c>
      <c r="S179" s="35" t="n">
        <f>5554.27</f>
        <v>5554.27</v>
      </c>
      <c r="T179" s="32" t="n">
        <f>57638</f>
        <v>57638.0</v>
      </c>
      <c r="U179" s="32" t="str">
        <f>"－"</f>
        <v>－</v>
      </c>
      <c r="V179" s="32" t="n">
        <f>321410625</f>
        <v>3.21410625E8</v>
      </c>
      <c r="W179" s="32" t="str">
        <f>"－"</f>
        <v>－</v>
      </c>
      <c r="X179" s="36" t="n">
        <f>22</f>
        <v>22.0</v>
      </c>
    </row>
    <row r="180">
      <c r="A180" s="27" t="s">
        <v>42</v>
      </c>
      <c r="B180" s="27" t="s">
        <v>592</v>
      </c>
      <c r="C180" s="27" t="s">
        <v>593</v>
      </c>
      <c r="D180" s="27" t="s">
        <v>594</v>
      </c>
      <c r="E180" s="28" t="s">
        <v>46</v>
      </c>
      <c r="F180" s="29" t="s">
        <v>46</v>
      </c>
      <c r="G180" s="30" t="s">
        <v>46</v>
      </c>
      <c r="H180" s="31"/>
      <c r="I180" s="31" t="s">
        <v>591</v>
      </c>
      <c r="J180" s="32" t="n">
        <v>1.0</v>
      </c>
      <c r="K180" s="33" t="n">
        <f>8537</f>
        <v>8537.0</v>
      </c>
      <c r="L180" s="34" t="s">
        <v>48</v>
      </c>
      <c r="M180" s="33" t="n">
        <f>8539</f>
        <v>8539.0</v>
      </c>
      <c r="N180" s="34" t="s">
        <v>48</v>
      </c>
      <c r="O180" s="33" t="n">
        <f>7658</f>
        <v>7658.0</v>
      </c>
      <c r="P180" s="34" t="s">
        <v>65</v>
      </c>
      <c r="Q180" s="33" t="n">
        <f>8370</f>
        <v>8370.0</v>
      </c>
      <c r="R180" s="34" t="s">
        <v>50</v>
      </c>
      <c r="S180" s="35" t="n">
        <f>8106.59</f>
        <v>8106.59</v>
      </c>
      <c r="T180" s="32" t="n">
        <f>12335</f>
        <v>12335.0</v>
      </c>
      <c r="U180" s="32" t="str">
        <f>"－"</f>
        <v>－</v>
      </c>
      <c r="V180" s="32" t="n">
        <f>99384106</f>
        <v>9.9384106E7</v>
      </c>
      <c r="W180" s="32" t="str">
        <f>"－"</f>
        <v>－</v>
      </c>
      <c r="X180" s="36" t="n">
        <f>22</f>
        <v>22.0</v>
      </c>
    </row>
    <row r="181">
      <c r="A181" s="27" t="s">
        <v>42</v>
      </c>
      <c r="B181" s="27" t="s">
        <v>595</v>
      </c>
      <c r="C181" s="27" t="s">
        <v>596</v>
      </c>
      <c r="D181" s="27" t="s">
        <v>597</v>
      </c>
      <c r="E181" s="28" t="s">
        <v>46</v>
      </c>
      <c r="F181" s="29" t="s">
        <v>46</v>
      </c>
      <c r="G181" s="30" t="s">
        <v>46</v>
      </c>
      <c r="H181" s="31"/>
      <c r="I181" s="31" t="s">
        <v>591</v>
      </c>
      <c r="J181" s="32" t="n">
        <v>1.0</v>
      </c>
      <c r="K181" s="33" t="n">
        <f>12235</f>
        <v>12235.0</v>
      </c>
      <c r="L181" s="34" t="s">
        <v>48</v>
      </c>
      <c r="M181" s="33" t="n">
        <f>13075</f>
        <v>13075.0</v>
      </c>
      <c r="N181" s="34" t="s">
        <v>80</v>
      </c>
      <c r="O181" s="33" t="n">
        <f>12115</f>
        <v>12115.0</v>
      </c>
      <c r="P181" s="34" t="s">
        <v>50</v>
      </c>
      <c r="Q181" s="33" t="n">
        <f>12485</f>
        <v>12485.0</v>
      </c>
      <c r="R181" s="34" t="s">
        <v>50</v>
      </c>
      <c r="S181" s="35" t="n">
        <f>12589.41</f>
        <v>12589.41</v>
      </c>
      <c r="T181" s="32" t="n">
        <f>1023</f>
        <v>1023.0</v>
      </c>
      <c r="U181" s="32" t="str">
        <f>"－"</f>
        <v>－</v>
      </c>
      <c r="V181" s="32" t="n">
        <f>12745510</f>
        <v>1.274551E7</v>
      </c>
      <c r="W181" s="32" t="str">
        <f>"－"</f>
        <v>－</v>
      </c>
      <c r="X181" s="36" t="n">
        <f>17</f>
        <v>17.0</v>
      </c>
    </row>
    <row r="182">
      <c r="A182" s="27" t="s">
        <v>42</v>
      </c>
      <c r="B182" s="27" t="s">
        <v>598</v>
      </c>
      <c r="C182" s="27" t="s">
        <v>599</v>
      </c>
      <c r="D182" s="27" t="s">
        <v>600</v>
      </c>
      <c r="E182" s="28" t="s">
        <v>46</v>
      </c>
      <c r="F182" s="29" t="s">
        <v>46</v>
      </c>
      <c r="G182" s="30" t="s">
        <v>46</v>
      </c>
      <c r="H182" s="31"/>
      <c r="I182" s="31" t="s">
        <v>591</v>
      </c>
      <c r="J182" s="32" t="n">
        <v>1.0</v>
      </c>
      <c r="K182" s="33" t="n">
        <f>7551</f>
        <v>7551.0</v>
      </c>
      <c r="L182" s="34" t="s">
        <v>48</v>
      </c>
      <c r="M182" s="33" t="n">
        <f>7965</f>
        <v>7965.0</v>
      </c>
      <c r="N182" s="34" t="s">
        <v>102</v>
      </c>
      <c r="O182" s="33" t="n">
        <f>7520</f>
        <v>7520.0</v>
      </c>
      <c r="P182" s="34" t="s">
        <v>61</v>
      </c>
      <c r="Q182" s="33" t="n">
        <f>7884</f>
        <v>7884.0</v>
      </c>
      <c r="R182" s="34" t="s">
        <v>50</v>
      </c>
      <c r="S182" s="35" t="n">
        <f>7770.36</f>
        <v>7770.36</v>
      </c>
      <c r="T182" s="32" t="n">
        <f>15681</f>
        <v>15681.0</v>
      </c>
      <c r="U182" s="32" t="str">
        <f>"－"</f>
        <v>－</v>
      </c>
      <c r="V182" s="32" t="n">
        <f>121486042</f>
        <v>1.21486042E8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601</v>
      </c>
      <c r="C183" s="27" t="s">
        <v>602</v>
      </c>
      <c r="D183" s="27" t="s">
        <v>603</v>
      </c>
      <c r="E183" s="28" t="s">
        <v>46</v>
      </c>
      <c r="F183" s="29" t="s">
        <v>46</v>
      </c>
      <c r="G183" s="30" t="s">
        <v>46</v>
      </c>
      <c r="H183" s="31"/>
      <c r="I183" s="31" t="s">
        <v>591</v>
      </c>
      <c r="J183" s="32" t="n">
        <v>1.0</v>
      </c>
      <c r="K183" s="33" t="n">
        <f>32600</f>
        <v>32600.0</v>
      </c>
      <c r="L183" s="34" t="s">
        <v>48</v>
      </c>
      <c r="M183" s="33" t="n">
        <f>33590</f>
        <v>33590.0</v>
      </c>
      <c r="N183" s="34" t="s">
        <v>60</v>
      </c>
      <c r="O183" s="33" t="n">
        <f>32080</f>
        <v>32080.0</v>
      </c>
      <c r="P183" s="34" t="s">
        <v>70</v>
      </c>
      <c r="Q183" s="33" t="n">
        <f>33090</f>
        <v>33090.0</v>
      </c>
      <c r="R183" s="34" t="s">
        <v>50</v>
      </c>
      <c r="S183" s="35" t="n">
        <f>32722.73</f>
        <v>32722.73</v>
      </c>
      <c r="T183" s="32" t="n">
        <f>21672</f>
        <v>21672.0</v>
      </c>
      <c r="U183" s="32" t="n">
        <f>19</f>
        <v>19.0</v>
      </c>
      <c r="V183" s="32" t="n">
        <f>709000470</f>
        <v>7.0900047E8</v>
      </c>
      <c r="W183" s="32" t="n">
        <f>623020</f>
        <v>623020.0</v>
      </c>
      <c r="X183" s="36" t="n">
        <f>22</f>
        <v>22.0</v>
      </c>
    </row>
    <row r="184">
      <c r="A184" s="27" t="s">
        <v>42</v>
      </c>
      <c r="B184" s="27" t="s">
        <v>604</v>
      </c>
      <c r="C184" s="27" t="s">
        <v>605</v>
      </c>
      <c r="D184" s="27" t="s">
        <v>606</v>
      </c>
      <c r="E184" s="28" t="s">
        <v>46</v>
      </c>
      <c r="F184" s="29" t="s">
        <v>46</v>
      </c>
      <c r="G184" s="30" t="s">
        <v>46</v>
      </c>
      <c r="H184" s="31"/>
      <c r="I184" s="31" t="s">
        <v>591</v>
      </c>
      <c r="J184" s="32" t="n">
        <v>1.0</v>
      </c>
      <c r="K184" s="33" t="n">
        <f>3825</f>
        <v>3825.0</v>
      </c>
      <c r="L184" s="34" t="s">
        <v>48</v>
      </c>
      <c r="M184" s="33" t="n">
        <f>3900</f>
        <v>3900.0</v>
      </c>
      <c r="N184" s="34" t="s">
        <v>208</v>
      </c>
      <c r="O184" s="33" t="n">
        <f>3780</f>
        <v>3780.0</v>
      </c>
      <c r="P184" s="34" t="s">
        <v>103</v>
      </c>
      <c r="Q184" s="33" t="n">
        <f>3805</f>
        <v>3805.0</v>
      </c>
      <c r="R184" s="34" t="s">
        <v>50</v>
      </c>
      <c r="S184" s="35" t="n">
        <f>3823.41</f>
        <v>3823.41</v>
      </c>
      <c r="T184" s="32" t="n">
        <f>8869</f>
        <v>8869.0</v>
      </c>
      <c r="U184" s="32" t="str">
        <f>"－"</f>
        <v>－</v>
      </c>
      <c r="V184" s="32" t="n">
        <f>33947625</f>
        <v>3.3947625E7</v>
      </c>
      <c r="W184" s="32" t="str">
        <f>"－"</f>
        <v>－</v>
      </c>
      <c r="X184" s="36" t="n">
        <f>22</f>
        <v>22.0</v>
      </c>
    </row>
    <row r="185">
      <c r="A185" s="27" t="s">
        <v>42</v>
      </c>
      <c r="B185" s="27" t="s">
        <v>607</v>
      </c>
      <c r="C185" s="27" t="s">
        <v>608</v>
      </c>
      <c r="D185" s="27" t="s">
        <v>609</v>
      </c>
      <c r="E185" s="28" t="s">
        <v>46</v>
      </c>
      <c r="F185" s="29" t="s">
        <v>46</v>
      </c>
      <c r="G185" s="30" t="s">
        <v>46</v>
      </c>
      <c r="H185" s="31"/>
      <c r="I185" s="31" t="s">
        <v>591</v>
      </c>
      <c r="J185" s="32" t="n">
        <v>1.0</v>
      </c>
      <c r="K185" s="33" t="n">
        <f>1141</f>
        <v>1141.0</v>
      </c>
      <c r="L185" s="34" t="s">
        <v>48</v>
      </c>
      <c r="M185" s="33" t="n">
        <f>1370</f>
        <v>1370.0</v>
      </c>
      <c r="N185" s="34" t="s">
        <v>50</v>
      </c>
      <c r="O185" s="33" t="n">
        <f>1141</f>
        <v>1141.0</v>
      </c>
      <c r="P185" s="34" t="s">
        <v>48</v>
      </c>
      <c r="Q185" s="33" t="n">
        <f>1367</f>
        <v>1367.0</v>
      </c>
      <c r="R185" s="34" t="s">
        <v>50</v>
      </c>
      <c r="S185" s="35" t="n">
        <f>1282.32</f>
        <v>1282.32</v>
      </c>
      <c r="T185" s="32" t="n">
        <f>43772712</f>
        <v>4.3772712E7</v>
      </c>
      <c r="U185" s="32" t="n">
        <f>341539</f>
        <v>341539.0</v>
      </c>
      <c r="V185" s="32" t="n">
        <f>55642919414</f>
        <v>5.5642919414E10</v>
      </c>
      <c r="W185" s="32" t="n">
        <f>472649280</f>
        <v>4.7264928E8</v>
      </c>
      <c r="X185" s="36" t="n">
        <f>22</f>
        <v>22.0</v>
      </c>
    </row>
    <row r="186">
      <c r="A186" s="27" t="s">
        <v>42</v>
      </c>
      <c r="B186" s="27" t="s">
        <v>610</v>
      </c>
      <c r="C186" s="27" t="s">
        <v>611</v>
      </c>
      <c r="D186" s="27" t="s">
        <v>612</v>
      </c>
      <c r="E186" s="28" t="s">
        <v>46</v>
      </c>
      <c r="F186" s="29" t="s">
        <v>46</v>
      </c>
      <c r="G186" s="30" t="s">
        <v>46</v>
      </c>
      <c r="H186" s="31"/>
      <c r="I186" s="31" t="s">
        <v>591</v>
      </c>
      <c r="J186" s="32" t="n">
        <v>1.0</v>
      </c>
      <c r="K186" s="33" t="n">
        <f>1456</f>
        <v>1456.0</v>
      </c>
      <c r="L186" s="34" t="s">
        <v>48</v>
      </c>
      <c r="M186" s="33" t="n">
        <f>1457</f>
        <v>1457.0</v>
      </c>
      <c r="N186" s="34" t="s">
        <v>48</v>
      </c>
      <c r="O186" s="33" t="n">
        <f>1326</f>
        <v>1326.0</v>
      </c>
      <c r="P186" s="34" t="s">
        <v>226</v>
      </c>
      <c r="Q186" s="33" t="n">
        <f>1328</f>
        <v>1328.0</v>
      </c>
      <c r="R186" s="34" t="s">
        <v>50</v>
      </c>
      <c r="S186" s="35" t="n">
        <f>1367.64</f>
        <v>1367.64</v>
      </c>
      <c r="T186" s="32" t="n">
        <f>2551294</f>
        <v>2551294.0</v>
      </c>
      <c r="U186" s="32" t="n">
        <f>4528</f>
        <v>4528.0</v>
      </c>
      <c r="V186" s="32" t="n">
        <f>3487213065</f>
        <v>3.487213065E9</v>
      </c>
      <c r="W186" s="32" t="n">
        <f>6219576</f>
        <v>6219576.0</v>
      </c>
      <c r="X186" s="36" t="n">
        <f>22</f>
        <v>22.0</v>
      </c>
    </row>
    <row r="187">
      <c r="A187" s="27" t="s">
        <v>42</v>
      </c>
      <c r="B187" s="27" t="s">
        <v>613</v>
      </c>
      <c r="C187" s="27" t="s">
        <v>614</v>
      </c>
      <c r="D187" s="27" t="s">
        <v>615</v>
      </c>
      <c r="E187" s="28" t="s">
        <v>46</v>
      </c>
      <c r="F187" s="29" t="s">
        <v>46</v>
      </c>
      <c r="G187" s="30" t="s">
        <v>46</v>
      </c>
      <c r="H187" s="31"/>
      <c r="I187" s="31" t="s">
        <v>591</v>
      </c>
      <c r="J187" s="32" t="n">
        <v>1.0</v>
      </c>
      <c r="K187" s="33" t="n">
        <f>23330</f>
        <v>23330.0</v>
      </c>
      <c r="L187" s="34" t="s">
        <v>48</v>
      </c>
      <c r="M187" s="33" t="n">
        <f>25150</f>
        <v>25150.0</v>
      </c>
      <c r="N187" s="34" t="s">
        <v>65</v>
      </c>
      <c r="O187" s="33" t="n">
        <f>23315</f>
        <v>23315.0</v>
      </c>
      <c r="P187" s="34" t="s">
        <v>48</v>
      </c>
      <c r="Q187" s="33" t="n">
        <f>24810</f>
        <v>24810.0</v>
      </c>
      <c r="R187" s="34" t="s">
        <v>50</v>
      </c>
      <c r="S187" s="35" t="n">
        <f>24382.27</f>
        <v>24382.27</v>
      </c>
      <c r="T187" s="32" t="n">
        <f>74958</f>
        <v>74958.0</v>
      </c>
      <c r="U187" s="32" t="n">
        <f>15</f>
        <v>15.0</v>
      </c>
      <c r="V187" s="32" t="n">
        <f>1832957765</f>
        <v>1.832957765E9</v>
      </c>
      <c r="W187" s="32" t="n">
        <f>361970</f>
        <v>361970.0</v>
      </c>
      <c r="X187" s="36" t="n">
        <f>22</f>
        <v>22.0</v>
      </c>
    </row>
    <row r="188">
      <c r="A188" s="27" t="s">
        <v>42</v>
      </c>
      <c r="B188" s="27" t="s">
        <v>616</v>
      </c>
      <c r="C188" s="27" t="s">
        <v>617</v>
      </c>
      <c r="D188" s="27" t="s">
        <v>618</v>
      </c>
      <c r="E188" s="28" t="s">
        <v>46</v>
      </c>
      <c r="F188" s="29" t="s">
        <v>46</v>
      </c>
      <c r="G188" s="30" t="s">
        <v>46</v>
      </c>
      <c r="H188" s="31"/>
      <c r="I188" s="31" t="s">
        <v>591</v>
      </c>
      <c r="J188" s="32" t="n">
        <v>1.0</v>
      </c>
      <c r="K188" s="33" t="n">
        <f>2957</f>
        <v>2957.0</v>
      </c>
      <c r="L188" s="34" t="s">
        <v>48</v>
      </c>
      <c r="M188" s="33" t="n">
        <f>2960</f>
        <v>2960.0</v>
      </c>
      <c r="N188" s="34" t="s">
        <v>48</v>
      </c>
      <c r="O188" s="33" t="n">
        <f>2828</f>
        <v>2828.0</v>
      </c>
      <c r="P188" s="34" t="s">
        <v>65</v>
      </c>
      <c r="Q188" s="33" t="n">
        <f>2852</f>
        <v>2852.0</v>
      </c>
      <c r="R188" s="34" t="s">
        <v>50</v>
      </c>
      <c r="S188" s="35" t="n">
        <f>2874.95</f>
        <v>2874.95</v>
      </c>
      <c r="T188" s="32" t="n">
        <f>253938</f>
        <v>253938.0</v>
      </c>
      <c r="U188" s="32" t="n">
        <f>386</f>
        <v>386.0</v>
      </c>
      <c r="V188" s="32" t="n">
        <f>730141288</f>
        <v>7.30141288E8</v>
      </c>
      <c r="W188" s="32" t="n">
        <f>1129568</f>
        <v>1129568.0</v>
      </c>
      <c r="X188" s="36" t="n">
        <f>22</f>
        <v>22.0</v>
      </c>
    </row>
    <row r="189">
      <c r="A189" s="27" t="s">
        <v>42</v>
      </c>
      <c r="B189" s="27" t="s">
        <v>619</v>
      </c>
      <c r="C189" s="27" t="s">
        <v>620</v>
      </c>
      <c r="D189" s="27" t="s">
        <v>621</v>
      </c>
      <c r="E189" s="28" t="s">
        <v>46</v>
      </c>
      <c r="F189" s="29" t="s">
        <v>46</v>
      </c>
      <c r="G189" s="30" t="s">
        <v>46</v>
      </c>
      <c r="H189" s="31"/>
      <c r="I189" s="31" t="s">
        <v>591</v>
      </c>
      <c r="J189" s="32" t="n">
        <v>1.0</v>
      </c>
      <c r="K189" s="33" t="n">
        <f>7951</f>
        <v>7951.0</v>
      </c>
      <c r="L189" s="34" t="s">
        <v>48</v>
      </c>
      <c r="M189" s="33" t="n">
        <f>9300</f>
        <v>9300.0</v>
      </c>
      <c r="N189" s="34" t="s">
        <v>155</v>
      </c>
      <c r="O189" s="33" t="n">
        <f>7920</f>
        <v>7920.0</v>
      </c>
      <c r="P189" s="34" t="s">
        <v>48</v>
      </c>
      <c r="Q189" s="33" t="n">
        <f>8793</f>
        <v>8793.0</v>
      </c>
      <c r="R189" s="34" t="s">
        <v>50</v>
      </c>
      <c r="S189" s="35" t="n">
        <f>8603.77</f>
        <v>8603.77</v>
      </c>
      <c r="T189" s="32" t="n">
        <f>184614</f>
        <v>184614.0</v>
      </c>
      <c r="U189" s="32" t="n">
        <f>8011</f>
        <v>8011.0</v>
      </c>
      <c r="V189" s="32" t="n">
        <f>1623450711</f>
        <v>1.623450711E9</v>
      </c>
      <c r="W189" s="32" t="n">
        <f>70801800</f>
        <v>7.08018E7</v>
      </c>
      <c r="X189" s="36" t="n">
        <f>22</f>
        <v>22.0</v>
      </c>
    </row>
    <row r="190">
      <c r="A190" s="27" t="s">
        <v>42</v>
      </c>
      <c r="B190" s="27" t="s">
        <v>622</v>
      </c>
      <c r="C190" s="27" t="s">
        <v>623</v>
      </c>
      <c r="D190" s="27" t="s">
        <v>624</v>
      </c>
      <c r="E190" s="28" t="s">
        <v>46</v>
      </c>
      <c r="F190" s="29" t="s">
        <v>46</v>
      </c>
      <c r="G190" s="30" t="s">
        <v>46</v>
      </c>
      <c r="H190" s="31"/>
      <c r="I190" s="31" t="s">
        <v>591</v>
      </c>
      <c r="J190" s="32" t="n">
        <v>1.0</v>
      </c>
      <c r="K190" s="33" t="n">
        <f>16360</f>
        <v>16360.0</v>
      </c>
      <c r="L190" s="34" t="s">
        <v>48</v>
      </c>
      <c r="M190" s="33" t="n">
        <f>17380</f>
        <v>17380.0</v>
      </c>
      <c r="N190" s="34" t="s">
        <v>103</v>
      </c>
      <c r="O190" s="33" t="n">
        <f>16000</f>
        <v>16000.0</v>
      </c>
      <c r="P190" s="34" t="s">
        <v>117</v>
      </c>
      <c r="Q190" s="33" t="n">
        <f>17300</f>
        <v>17300.0</v>
      </c>
      <c r="R190" s="34" t="s">
        <v>50</v>
      </c>
      <c r="S190" s="35" t="n">
        <f>16755</f>
        <v>16755.0</v>
      </c>
      <c r="T190" s="32" t="n">
        <f>545</f>
        <v>545.0</v>
      </c>
      <c r="U190" s="32" t="str">
        <f>"－"</f>
        <v>－</v>
      </c>
      <c r="V190" s="32" t="n">
        <f>9241355</f>
        <v>9241355.0</v>
      </c>
      <c r="W190" s="32" t="str">
        <f>"－"</f>
        <v>－</v>
      </c>
      <c r="X190" s="36" t="n">
        <f>21</f>
        <v>21.0</v>
      </c>
    </row>
    <row r="191">
      <c r="A191" s="27" t="s">
        <v>42</v>
      </c>
      <c r="B191" s="27" t="s">
        <v>625</v>
      </c>
      <c r="C191" s="27" t="s">
        <v>626</v>
      </c>
      <c r="D191" s="27" t="s">
        <v>627</v>
      </c>
      <c r="E191" s="28" t="s">
        <v>46</v>
      </c>
      <c r="F191" s="29" t="s">
        <v>46</v>
      </c>
      <c r="G191" s="30" t="s">
        <v>46</v>
      </c>
      <c r="H191" s="31"/>
      <c r="I191" s="31" t="s">
        <v>591</v>
      </c>
      <c r="J191" s="32" t="n">
        <v>1.0</v>
      </c>
      <c r="K191" s="33" t="n">
        <f>23070</f>
        <v>23070.0</v>
      </c>
      <c r="L191" s="34" t="s">
        <v>48</v>
      </c>
      <c r="M191" s="33" t="n">
        <f>25660</f>
        <v>25660.0</v>
      </c>
      <c r="N191" s="34" t="s">
        <v>50</v>
      </c>
      <c r="O191" s="33" t="n">
        <f>23000</f>
        <v>23000.0</v>
      </c>
      <c r="P191" s="34" t="s">
        <v>117</v>
      </c>
      <c r="Q191" s="33" t="n">
        <f>25660</f>
        <v>25660.0</v>
      </c>
      <c r="R191" s="34" t="s">
        <v>50</v>
      </c>
      <c r="S191" s="35" t="n">
        <f>24395.45</f>
        <v>24395.45</v>
      </c>
      <c r="T191" s="32" t="n">
        <f>33330</f>
        <v>33330.0</v>
      </c>
      <c r="U191" s="32" t="str">
        <f>"－"</f>
        <v>－</v>
      </c>
      <c r="V191" s="32" t="n">
        <f>826031690</f>
        <v>8.2603169E8</v>
      </c>
      <c r="W191" s="32" t="str">
        <f>"－"</f>
        <v>－</v>
      </c>
      <c r="X191" s="36" t="n">
        <f>22</f>
        <v>22.0</v>
      </c>
    </row>
    <row r="192">
      <c r="A192" s="27" t="s">
        <v>42</v>
      </c>
      <c r="B192" s="27" t="s">
        <v>628</v>
      </c>
      <c r="C192" s="27" t="s">
        <v>629</v>
      </c>
      <c r="D192" s="27" t="s">
        <v>630</v>
      </c>
      <c r="E192" s="28" t="s">
        <v>46</v>
      </c>
      <c r="F192" s="29" t="s">
        <v>46</v>
      </c>
      <c r="G192" s="30" t="s">
        <v>46</v>
      </c>
      <c r="H192" s="31"/>
      <c r="I192" s="31" t="s">
        <v>591</v>
      </c>
      <c r="J192" s="32" t="n">
        <v>1.0</v>
      </c>
      <c r="K192" s="33" t="n">
        <f>15600</f>
        <v>15600.0</v>
      </c>
      <c r="L192" s="34" t="s">
        <v>48</v>
      </c>
      <c r="M192" s="33" t="n">
        <f>16200</f>
        <v>16200.0</v>
      </c>
      <c r="N192" s="34" t="s">
        <v>60</v>
      </c>
      <c r="O192" s="33" t="n">
        <f>15285</f>
        <v>15285.0</v>
      </c>
      <c r="P192" s="34" t="s">
        <v>397</v>
      </c>
      <c r="Q192" s="33" t="n">
        <f>15850</f>
        <v>15850.0</v>
      </c>
      <c r="R192" s="34" t="s">
        <v>49</v>
      </c>
      <c r="S192" s="35" t="n">
        <f>15731.88</f>
        <v>15731.88</v>
      </c>
      <c r="T192" s="32" t="n">
        <f>133</f>
        <v>133.0</v>
      </c>
      <c r="U192" s="32" t="str">
        <f>"－"</f>
        <v>－</v>
      </c>
      <c r="V192" s="32" t="n">
        <f>2093140</f>
        <v>2093140.0</v>
      </c>
      <c r="W192" s="32" t="str">
        <f>"－"</f>
        <v>－</v>
      </c>
      <c r="X192" s="36" t="n">
        <f>16</f>
        <v>16.0</v>
      </c>
    </row>
    <row r="193">
      <c r="A193" s="27" t="s">
        <v>42</v>
      </c>
      <c r="B193" s="27" t="s">
        <v>631</v>
      </c>
      <c r="C193" s="27" t="s">
        <v>632</v>
      </c>
      <c r="D193" s="27" t="s">
        <v>633</v>
      </c>
      <c r="E193" s="28" t="s">
        <v>46</v>
      </c>
      <c r="F193" s="29" t="s">
        <v>46</v>
      </c>
      <c r="G193" s="30" t="s">
        <v>46</v>
      </c>
      <c r="H193" s="31"/>
      <c r="I193" s="31" t="s">
        <v>591</v>
      </c>
      <c r="J193" s="32" t="n">
        <v>1.0</v>
      </c>
      <c r="K193" s="33" t="n">
        <f>19685</f>
        <v>19685.0</v>
      </c>
      <c r="L193" s="34" t="s">
        <v>48</v>
      </c>
      <c r="M193" s="33" t="n">
        <f>22300</f>
        <v>22300.0</v>
      </c>
      <c r="N193" s="34" t="s">
        <v>50</v>
      </c>
      <c r="O193" s="33" t="n">
        <f>19670</f>
        <v>19670.0</v>
      </c>
      <c r="P193" s="34" t="s">
        <v>117</v>
      </c>
      <c r="Q193" s="33" t="n">
        <f>22300</f>
        <v>22300.0</v>
      </c>
      <c r="R193" s="34" t="s">
        <v>50</v>
      </c>
      <c r="S193" s="35" t="n">
        <f>20556.59</f>
        <v>20556.59</v>
      </c>
      <c r="T193" s="32" t="n">
        <f>52130</f>
        <v>52130.0</v>
      </c>
      <c r="U193" s="32" t="str">
        <f>"－"</f>
        <v>－</v>
      </c>
      <c r="V193" s="32" t="n">
        <f>1093790865</f>
        <v>1.093790865E9</v>
      </c>
      <c r="W193" s="32" t="str">
        <f>"－"</f>
        <v>－</v>
      </c>
      <c r="X193" s="36" t="n">
        <f>22</f>
        <v>22.0</v>
      </c>
    </row>
    <row r="194">
      <c r="A194" s="27" t="s">
        <v>42</v>
      </c>
      <c r="B194" s="27" t="s">
        <v>634</v>
      </c>
      <c r="C194" s="27" t="s">
        <v>635</v>
      </c>
      <c r="D194" s="27" t="s">
        <v>636</v>
      </c>
      <c r="E194" s="28" t="s">
        <v>46</v>
      </c>
      <c r="F194" s="29" t="s">
        <v>46</v>
      </c>
      <c r="G194" s="30" t="s">
        <v>46</v>
      </c>
      <c r="H194" s="31"/>
      <c r="I194" s="31" t="s">
        <v>591</v>
      </c>
      <c r="J194" s="32" t="n">
        <v>1.0</v>
      </c>
      <c r="K194" s="33" t="n">
        <f>4205</f>
        <v>4205.0</v>
      </c>
      <c r="L194" s="34" t="s">
        <v>48</v>
      </c>
      <c r="M194" s="33" t="n">
        <f>4395</f>
        <v>4395.0</v>
      </c>
      <c r="N194" s="34" t="s">
        <v>479</v>
      </c>
      <c r="O194" s="33" t="n">
        <f>4165</f>
        <v>4165.0</v>
      </c>
      <c r="P194" s="34" t="s">
        <v>222</v>
      </c>
      <c r="Q194" s="33" t="n">
        <f>4315</f>
        <v>4315.0</v>
      </c>
      <c r="R194" s="34" t="s">
        <v>50</v>
      </c>
      <c r="S194" s="35" t="n">
        <f>4232.95</f>
        <v>4232.95</v>
      </c>
      <c r="T194" s="32" t="n">
        <f>5142</f>
        <v>5142.0</v>
      </c>
      <c r="U194" s="32" t="str">
        <f>"－"</f>
        <v>－</v>
      </c>
      <c r="V194" s="32" t="n">
        <f>21823235</f>
        <v>2.1823235E7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637</v>
      </c>
      <c r="C195" s="27" t="s">
        <v>638</v>
      </c>
      <c r="D195" s="27" t="s">
        <v>639</v>
      </c>
      <c r="E195" s="28" t="s">
        <v>46</v>
      </c>
      <c r="F195" s="29" t="s">
        <v>46</v>
      </c>
      <c r="G195" s="30" t="s">
        <v>46</v>
      </c>
      <c r="H195" s="31"/>
      <c r="I195" s="31" t="s">
        <v>591</v>
      </c>
      <c r="J195" s="32" t="n">
        <v>1.0</v>
      </c>
      <c r="K195" s="33" t="n">
        <f>18295</f>
        <v>18295.0</v>
      </c>
      <c r="L195" s="34" t="s">
        <v>117</v>
      </c>
      <c r="M195" s="33" t="n">
        <f>20840</f>
        <v>20840.0</v>
      </c>
      <c r="N195" s="34" t="s">
        <v>50</v>
      </c>
      <c r="O195" s="33" t="n">
        <f>18295</f>
        <v>18295.0</v>
      </c>
      <c r="P195" s="34" t="s">
        <v>117</v>
      </c>
      <c r="Q195" s="33" t="n">
        <f>20840</f>
        <v>20840.0</v>
      </c>
      <c r="R195" s="34" t="s">
        <v>50</v>
      </c>
      <c r="S195" s="35" t="n">
        <f>19504.74</f>
        <v>19504.74</v>
      </c>
      <c r="T195" s="32" t="n">
        <f>1368</f>
        <v>1368.0</v>
      </c>
      <c r="U195" s="32" t="str">
        <f>"－"</f>
        <v>－</v>
      </c>
      <c r="V195" s="32" t="n">
        <f>27065330</f>
        <v>2.706533E7</v>
      </c>
      <c r="W195" s="32" t="str">
        <f>"－"</f>
        <v>－</v>
      </c>
      <c r="X195" s="36" t="n">
        <f>19</f>
        <v>19.0</v>
      </c>
    </row>
    <row r="196">
      <c r="A196" s="27" t="s">
        <v>42</v>
      </c>
      <c r="B196" s="27" t="s">
        <v>640</v>
      </c>
      <c r="C196" s="27" t="s">
        <v>641</v>
      </c>
      <c r="D196" s="27" t="s">
        <v>642</v>
      </c>
      <c r="E196" s="28" t="s">
        <v>46</v>
      </c>
      <c r="F196" s="29" t="s">
        <v>46</v>
      </c>
      <c r="G196" s="30" t="s">
        <v>46</v>
      </c>
      <c r="H196" s="31"/>
      <c r="I196" s="31" t="s">
        <v>591</v>
      </c>
      <c r="J196" s="32" t="n">
        <v>1.0</v>
      </c>
      <c r="K196" s="33" t="n">
        <f>14565</f>
        <v>14565.0</v>
      </c>
      <c r="L196" s="34" t="s">
        <v>117</v>
      </c>
      <c r="M196" s="33" t="n">
        <f>15745</f>
        <v>15745.0</v>
      </c>
      <c r="N196" s="34" t="s">
        <v>212</v>
      </c>
      <c r="O196" s="33" t="n">
        <f>14565</f>
        <v>14565.0</v>
      </c>
      <c r="P196" s="34" t="s">
        <v>117</v>
      </c>
      <c r="Q196" s="33" t="n">
        <f>15545</f>
        <v>15545.0</v>
      </c>
      <c r="R196" s="34" t="s">
        <v>102</v>
      </c>
      <c r="S196" s="35" t="n">
        <f>15326.25</f>
        <v>15326.25</v>
      </c>
      <c r="T196" s="32" t="n">
        <f>33</f>
        <v>33.0</v>
      </c>
      <c r="U196" s="32" t="str">
        <f>"－"</f>
        <v>－</v>
      </c>
      <c r="V196" s="32" t="n">
        <f>509720</f>
        <v>509720.0</v>
      </c>
      <c r="W196" s="32" t="str">
        <f>"－"</f>
        <v>－</v>
      </c>
      <c r="X196" s="36" t="n">
        <f>8</f>
        <v>8.0</v>
      </c>
    </row>
    <row r="197">
      <c r="A197" s="27" t="s">
        <v>42</v>
      </c>
      <c r="B197" s="27" t="s">
        <v>643</v>
      </c>
      <c r="C197" s="27" t="s">
        <v>644</v>
      </c>
      <c r="D197" s="27" t="s">
        <v>645</v>
      </c>
      <c r="E197" s="28" t="s">
        <v>46</v>
      </c>
      <c r="F197" s="29" t="s">
        <v>46</v>
      </c>
      <c r="G197" s="30" t="s">
        <v>46</v>
      </c>
      <c r="H197" s="31"/>
      <c r="I197" s="31" t="s">
        <v>591</v>
      </c>
      <c r="J197" s="32" t="n">
        <v>1.0</v>
      </c>
      <c r="K197" s="33" t="n">
        <f>21665</f>
        <v>21665.0</v>
      </c>
      <c r="L197" s="34" t="s">
        <v>48</v>
      </c>
      <c r="M197" s="33" t="n">
        <f>24030</f>
        <v>24030.0</v>
      </c>
      <c r="N197" s="34" t="s">
        <v>102</v>
      </c>
      <c r="O197" s="33" t="n">
        <f>21665</f>
        <v>21665.0</v>
      </c>
      <c r="P197" s="34" t="s">
        <v>48</v>
      </c>
      <c r="Q197" s="33" t="n">
        <f>24030</f>
        <v>24030.0</v>
      </c>
      <c r="R197" s="34" t="s">
        <v>49</v>
      </c>
      <c r="S197" s="35" t="n">
        <f>22842.94</f>
        <v>22842.94</v>
      </c>
      <c r="T197" s="32" t="n">
        <f>205</f>
        <v>205.0</v>
      </c>
      <c r="U197" s="32" t="str">
        <f>"－"</f>
        <v>－</v>
      </c>
      <c r="V197" s="32" t="n">
        <f>4722935</f>
        <v>4722935.0</v>
      </c>
      <c r="W197" s="32" t="str">
        <f>"－"</f>
        <v>－</v>
      </c>
      <c r="X197" s="36" t="n">
        <f>17</f>
        <v>17.0</v>
      </c>
    </row>
    <row r="198">
      <c r="A198" s="27" t="s">
        <v>42</v>
      </c>
      <c r="B198" s="27" t="s">
        <v>646</v>
      </c>
      <c r="C198" s="27" t="s">
        <v>647</v>
      </c>
      <c r="D198" s="27" t="s">
        <v>648</v>
      </c>
      <c r="E198" s="28" t="s">
        <v>46</v>
      </c>
      <c r="F198" s="29" t="s">
        <v>46</v>
      </c>
      <c r="G198" s="30" t="s">
        <v>46</v>
      </c>
      <c r="H198" s="31"/>
      <c r="I198" s="31" t="s">
        <v>591</v>
      </c>
      <c r="J198" s="32" t="n">
        <v>1.0</v>
      </c>
      <c r="K198" s="33" t="n">
        <f>16910</f>
        <v>16910.0</v>
      </c>
      <c r="L198" s="34" t="s">
        <v>48</v>
      </c>
      <c r="M198" s="33" t="n">
        <f>17605</f>
        <v>17605.0</v>
      </c>
      <c r="N198" s="34" t="s">
        <v>479</v>
      </c>
      <c r="O198" s="33" t="n">
        <f>16910</f>
        <v>16910.0</v>
      </c>
      <c r="P198" s="34" t="s">
        <v>48</v>
      </c>
      <c r="Q198" s="33" t="n">
        <f>17605</f>
        <v>17605.0</v>
      </c>
      <c r="R198" s="34" t="s">
        <v>479</v>
      </c>
      <c r="S198" s="35" t="n">
        <f>17316.25</f>
        <v>17316.25</v>
      </c>
      <c r="T198" s="32" t="n">
        <f>43</f>
        <v>43.0</v>
      </c>
      <c r="U198" s="32" t="str">
        <f>"－"</f>
        <v>－</v>
      </c>
      <c r="V198" s="32" t="n">
        <f>752870</f>
        <v>752870.0</v>
      </c>
      <c r="W198" s="32" t="str">
        <f>"－"</f>
        <v>－</v>
      </c>
      <c r="X198" s="36" t="n">
        <f>4</f>
        <v>4.0</v>
      </c>
    </row>
    <row r="199">
      <c r="A199" s="27" t="s">
        <v>42</v>
      </c>
      <c r="B199" s="27" t="s">
        <v>649</v>
      </c>
      <c r="C199" s="27" t="s">
        <v>650</v>
      </c>
      <c r="D199" s="27" t="s">
        <v>651</v>
      </c>
      <c r="E199" s="28" t="s">
        <v>46</v>
      </c>
      <c r="F199" s="29" t="s">
        <v>46</v>
      </c>
      <c r="G199" s="30" t="s">
        <v>46</v>
      </c>
      <c r="H199" s="31"/>
      <c r="I199" s="31" t="s">
        <v>591</v>
      </c>
      <c r="J199" s="32" t="n">
        <v>1.0</v>
      </c>
      <c r="K199" s="33" t="n">
        <f>14765</f>
        <v>14765.0</v>
      </c>
      <c r="L199" s="34" t="s">
        <v>48</v>
      </c>
      <c r="M199" s="33" t="n">
        <f>16300</f>
        <v>16300.0</v>
      </c>
      <c r="N199" s="34" t="s">
        <v>212</v>
      </c>
      <c r="O199" s="33" t="n">
        <f>14765</f>
        <v>14765.0</v>
      </c>
      <c r="P199" s="34" t="s">
        <v>48</v>
      </c>
      <c r="Q199" s="33" t="n">
        <f>16110</f>
        <v>16110.0</v>
      </c>
      <c r="R199" s="34" t="s">
        <v>50</v>
      </c>
      <c r="S199" s="35" t="n">
        <f>15754.52</f>
        <v>15754.52</v>
      </c>
      <c r="T199" s="32" t="n">
        <f>1441</f>
        <v>1441.0</v>
      </c>
      <c r="U199" s="32" t="str">
        <f>"－"</f>
        <v>－</v>
      </c>
      <c r="V199" s="32" t="n">
        <f>22640460</f>
        <v>2.264046E7</v>
      </c>
      <c r="W199" s="32" t="str">
        <f>"－"</f>
        <v>－</v>
      </c>
      <c r="X199" s="36" t="n">
        <f>21</f>
        <v>21.0</v>
      </c>
    </row>
    <row r="200">
      <c r="A200" s="27" t="s">
        <v>42</v>
      </c>
      <c r="B200" s="27" t="s">
        <v>652</v>
      </c>
      <c r="C200" s="27" t="s">
        <v>653</v>
      </c>
      <c r="D200" s="27" t="s">
        <v>654</v>
      </c>
      <c r="E200" s="28" t="s">
        <v>46</v>
      </c>
      <c r="F200" s="29" t="s">
        <v>46</v>
      </c>
      <c r="G200" s="30" t="s">
        <v>46</v>
      </c>
      <c r="H200" s="31"/>
      <c r="I200" s="31" t="s">
        <v>591</v>
      </c>
      <c r="J200" s="32" t="n">
        <v>1.0</v>
      </c>
      <c r="K200" s="33" t="n">
        <f>16545</f>
        <v>16545.0</v>
      </c>
      <c r="L200" s="34" t="s">
        <v>48</v>
      </c>
      <c r="M200" s="33" t="n">
        <f>18035</f>
        <v>18035.0</v>
      </c>
      <c r="N200" s="34" t="s">
        <v>69</v>
      </c>
      <c r="O200" s="33" t="n">
        <f>16545</f>
        <v>16545.0</v>
      </c>
      <c r="P200" s="34" t="s">
        <v>48</v>
      </c>
      <c r="Q200" s="33" t="n">
        <f>17500</f>
        <v>17500.0</v>
      </c>
      <c r="R200" s="34" t="s">
        <v>479</v>
      </c>
      <c r="S200" s="35" t="n">
        <f>17547.73</f>
        <v>17547.73</v>
      </c>
      <c r="T200" s="32" t="n">
        <f>126</f>
        <v>126.0</v>
      </c>
      <c r="U200" s="32" t="str">
        <f>"－"</f>
        <v>－</v>
      </c>
      <c r="V200" s="32" t="n">
        <f>2219035</f>
        <v>2219035.0</v>
      </c>
      <c r="W200" s="32" t="str">
        <f>"－"</f>
        <v>－</v>
      </c>
      <c r="X200" s="36" t="n">
        <f>11</f>
        <v>11.0</v>
      </c>
    </row>
    <row r="201">
      <c r="A201" s="27" t="s">
        <v>42</v>
      </c>
      <c r="B201" s="27" t="s">
        <v>655</v>
      </c>
      <c r="C201" s="27" t="s">
        <v>656</v>
      </c>
      <c r="D201" s="27" t="s">
        <v>657</v>
      </c>
      <c r="E201" s="28" t="s">
        <v>46</v>
      </c>
      <c r="F201" s="29" t="s">
        <v>46</v>
      </c>
      <c r="G201" s="30" t="s">
        <v>46</v>
      </c>
      <c r="H201" s="31"/>
      <c r="I201" s="31" t="s">
        <v>591</v>
      </c>
      <c r="J201" s="32" t="n">
        <v>1.0</v>
      </c>
      <c r="K201" s="33" t="n">
        <f>15195</f>
        <v>15195.0</v>
      </c>
      <c r="L201" s="34" t="s">
        <v>117</v>
      </c>
      <c r="M201" s="33" t="n">
        <f>15860</f>
        <v>15860.0</v>
      </c>
      <c r="N201" s="34" t="s">
        <v>69</v>
      </c>
      <c r="O201" s="33" t="n">
        <f>15195</f>
        <v>15195.0</v>
      </c>
      <c r="P201" s="34" t="s">
        <v>117</v>
      </c>
      <c r="Q201" s="33" t="n">
        <f>15655</f>
        <v>15655.0</v>
      </c>
      <c r="R201" s="34" t="s">
        <v>212</v>
      </c>
      <c r="S201" s="35" t="n">
        <f>15650</f>
        <v>15650.0</v>
      </c>
      <c r="T201" s="32" t="n">
        <f>58</f>
        <v>58.0</v>
      </c>
      <c r="U201" s="32" t="str">
        <f>"－"</f>
        <v>－</v>
      </c>
      <c r="V201" s="32" t="n">
        <f>912390</f>
        <v>912390.0</v>
      </c>
      <c r="W201" s="32" t="str">
        <f>"－"</f>
        <v>－</v>
      </c>
      <c r="X201" s="36" t="n">
        <f>5</f>
        <v>5.0</v>
      </c>
    </row>
    <row r="202">
      <c r="A202" s="27" t="s">
        <v>42</v>
      </c>
      <c r="B202" s="27" t="s">
        <v>658</v>
      </c>
      <c r="C202" s="27" t="s">
        <v>659</v>
      </c>
      <c r="D202" s="27" t="s">
        <v>660</v>
      </c>
      <c r="E202" s="28" t="s">
        <v>46</v>
      </c>
      <c r="F202" s="29" t="s">
        <v>46</v>
      </c>
      <c r="G202" s="30" t="s">
        <v>46</v>
      </c>
      <c r="H202" s="31"/>
      <c r="I202" s="31" t="s">
        <v>591</v>
      </c>
      <c r="J202" s="32" t="n">
        <v>1.0</v>
      </c>
      <c r="K202" s="33" t="n">
        <f>10500</f>
        <v>10500.0</v>
      </c>
      <c r="L202" s="34" t="s">
        <v>186</v>
      </c>
      <c r="M202" s="33" t="n">
        <f>10975</f>
        <v>10975.0</v>
      </c>
      <c r="N202" s="34" t="s">
        <v>60</v>
      </c>
      <c r="O202" s="33" t="n">
        <f>10330</f>
        <v>10330.0</v>
      </c>
      <c r="P202" s="34" t="s">
        <v>208</v>
      </c>
      <c r="Q202" s="33" t="n">
        <f>10745</f>
        <v>10745.0</v>
      </c>
      <c r="R202" s="34" t="s">
        <v>50</v>
      </c>
      <c r="S202" s="35" t="n">
        <f>10698.75</f>
        <v>10698.75</v>
      </c>
      <c r="T202" s="32" t="n">
        <f>32003</f>
        <v>32003.0</v>
      </c>
      <c r="U202" s="32" t="str">
        <f>"－"</f>
        <v>－</v>
      </c>
      <c r="V202" s="32" t="n">
        <f>342570455</f>
        <v>3.42570455E8</v>
      </c>
      <c r="W202" s="32" t="str">
        <f>"－"</f>
        <v>－</v>
      </c>
      <c r="X202" s="36" t="n">
        <f>20</f>
        <v>20.0</v>
      </c>
    </row>
    <row r="203">
      <c r="A203" s="27" t="s">
        <v>42</v>
      </c>
      <c r="B203" s="27" t="s">
        <v>661</v>
      </c>
      <c r="C203" s="27" t="s">
        <v>662</v>
      </c>
      <c r="D203" s="27" t="s">
        <v>663</v>
      </c>
      <c r="E203" s="28" t="s">
        <v>46</v>
      </c>
      <c r="F203" s="29" t="s">
        <v>46</v>
      </c>
      <c r="G203" s="30" t="s">
        <v>46</v>
      </c>
      <c r="H203" s="31"/>
      <c r="I203" s="31" t="s">
        <v>591</v>
      </c>
      <c r="J203" s="32" t="n">
        <v>1.0</v>
      </c>
      <c r="K203" s="33" t="n">
        <f>11150</f>
        <v>11150.0</v>
      </c>
      <c r="L203" s="34" t="s">
        <v>48</v>
      </c>
      <c r="M203" s="33" t="n">
        <f>12075</f>
        <v>12075.0</v>
      </c>
      <c r="N203" s="34" t="s">
        <v>70</v>
      </c>
      <c r="O203" s="33" t="n">
        <f>11090</f>
        <v>11090.0</v>
      </c>
      <c r="P203" s="34" t="s">
        <v>48</v>
      </c>
      <c r="Q203" s="33" t="n">
        <f>11720</f>
        <v>11720.0</v>
      </c>
      <c r="R203" s="34" t="s">
        <v>50</v>
      </c>
      <c r="S203" s="35" t="n">
        <f>11657.5</f>
        <v>11657.5</v>
      </c>
      <c r="T203" s="32" t="n">
        <f>50016</f>
        <v>50016.0</v>
      </c>
      <c r="U203" s="32" t="str">
        <f>"－"</f>
        <v>－</v>
      </c>
      <c r="V203" s="32" t="n">
        <f>582853880</f>
        <v>5.8285388E8</v>
      </c>
      <c r="W203" s="32" t="str">
        <f>"－"</f>
        <v>－</v>
      </c>
      <c r="X203" s="36" t="n">
        <f>22</f>
        <v>22.0</v>
      </c>
    </row>
    <row r="204">
      <c r="A204" s="27" t="s">
        <v>42</v>
      </c>
      <c r="B204" s="27" t="s">
        <v>664</v>
      </c>
      <c r="C204" s="27" t="s">
        <v>665</v>
      </c>
      <c r="D204" s="27" t="s">
        <v>666</v>
      </c>
      <c r="E204" s="28" t="s">
        <v>46</v>
      </c>
      <c r="F204" s="29" t="s">
        <v>46</v>
      </c>
      <c r="G204" s="30" t="s">
        <v>46</v>
      </c>
      <c r="H204" s="31"/>
      <c r="I204" s="31" t="s">
        <v>591</v>
      </c>
      <c r="J204" s="32" t="n">
        <v>1.0</v>
      </c>
      <c r="K204" s="33" t="n">
        <f>10680</f>
        <v>10680.0</v>
      </c>
      <c r="L204" s="34" t="s">
        <v>48</v>
      </c>
      <c r="M204" s="33" t="n">
        <f>11500</f>
        <v>11500.0</v>
      </c>
      <c r="N204" s="34" t="s">
        <v>212</v>
      </c>
      <c r="O204" s="33" t="n">
        <f>10680</f>
        <v>10680.0</v>
      </c>
      <c r="P204" s="34" t="s">
        <v>48</v>
      </c>
      <c r="Q204" s="33" t="n">
        <f>11365</f>
        <v>11365.0</v>
      </c>
      <c r="R204" s="34" t="s">
        <v>50</v>
      </c>
      <c r="S204" s="35" t="n">
        <f>11171.9</f>
        <v>11171.9</v>
      </c>
      <c r="T204" s="32" t="n">
        <f>26006</f>
        <v>26006.0</v>
      </c>
      <c r="U204" s="32" t="str">
        <f>"－"</f>
        <v>－</v>
      </c>
      <c r="V204" s="32" t="n">
        <f>290890395</f>
        <v>2.90890395E8</v>
      </c>
      <c r="W204" s="32" t="str">
        <f>"－"</f>
        <v>－</v>
      </c>
      <c r="X204" s="36" t="n">
        <f>21</f>
        <v>21.0</v>
      </c>
    </row>
    <row r="205">
      <c r="A205" s="27" t="s">
        <v>42</v>
      </c>
      <c r="B205" s="27" t="s">
        <v>667</v>
      </c>
      <c r="C205" s="27" t="s">
        <v>668</v>
      </c>
      <c r="D205" s="27" t="s">
        <v>669</v>
      </c>
      <c r="E205" s="28" t="s">
        <v>46</v>
      </c>
      <c r="F205" s="29" t="s">
        <v>46</v>
      </c>
      <c r="G205" s="30" t="s">
        <v>46</v>
      </c>
      <c r="H205" s="31"/>
      <c r="I205" s="31" t="s">
        <v>591</v>
      </c>
      <c r="J205" s="32" t="n">
        <v>1.0</v>
      </c>
      <c r="K205" s="33" t="n">
        <f>10980</f>
        <v>10980.0</v>
      </c>
      <c r="L205" s="34" t="s">
        <v>48</v>
      </c>
      <c r="M205" s="33" t="n">
        <f>11550</f>
        <v>11550.0</v>
      </c>
      <c r="N205" s="34" t="s">
        <v>70</v>
      </c>
      <c r="O205" s="33" t="n">
        <f>10980</f>
        <v>10980.0</v>
      </c>
      <c r="P205" s="34" t="s">
        <v>48</v>
      </c>
      <c r="Q205" s="33" t="n">
        <f>11010</f>
        <v>11010.0</v>
      </c>
      <c r="R205" s="34" t="s">
        <v>479</v>
      </c>
      <c r="S205" s="35" t="n">
        <f>11278.33</f>
        <v>11278.33</v>
      </c>
      <c r="T205" s="32" t="n">
        <f>1873</f>
        <v>1873.0</v>
      </c>
      <c r="U205" s="32" t="str">
        <f>"－"</f>
        <v>－</v>
      </c>
      <c r="V205" s="32" t="n">
        <f>21530290</f>
        <v>2.153029E7</v>
      </c>
      <c r="W205" s="32" t="str">
        <f>"－"</f>
        <v>－</v>
      </c>
      <c r="X205" s="36" t="n">
        <f>6</f>
        <v>6.0</v>
      </c>
    </row>
    <row r="206">
      <c r="A206" s="27" t="s">
        <v>42</v>
      </c>
      <c r="B206" s="27" t="s">
        <v>670</v>
      </c>
      <c r="C206" s="27" t="s">
        <v>671</v>
      </c>
      <c r="D206" s="27" t="s">
        <v>672</v>
      </c>
      <c r="E206" s="28" t="s">
        <v>46</v>
      </c>
      <c r="F206" s="29" t="s">
        <v>46</v>
      </c>
      <c r="G206" s="30" t="s">
        <v>46</v>
      </c>
      <c r="H206" s="31"/>
      <c r="I206" s="31" t="s">
        <v>47</v>
      </c>
      <c r="J206" s="32" t="n">
        <v>10.0</v>
      </c>
      <c r="K206" s="33" t="n">
        <f>1997</f>
        <v>1997.0</v>
      </c>
      <c r="L206" s="34" t="s">
        <v>48</v>
      </c>
      <c r="M206" s="33" t="n">
        <f>2204.5</f>
        <v>2204.5</v>
      </c>
      <c r="N206" s="34" t="s">
        <v>226</v>
      </c>
      <c r="O206" s="33" t="n">
        <f>1996.5</f>
        <v>1996.5</v>
      </c>
      <c r="P206" s="34" t="s">
        <v>48</v>
      </c>
      <c r="Q206" s="33" t="n">
        <f>2154</f>
        <v>2154.0</v>
      </c>
      <c r="R206" s="34" t="s">
        <v>50</v>
      </c>
      <c r="S206" s="35" t="n">
        <f>2084.5</f>
        <v>2084.5</v>
      </c>
      <c r="T206" s="32" t="n">
        <f>230790</f>
        <v>230790.0</v>
      </c>
      <c r="U206" s="32" t="str">
        <f>"－"</f>
        <v>－</v>
      </c>
      <c r="V206" s="32" t="n">
        <f>471582250</f>
        <v>4.7158225E8</v>
      </c>
      <c r="W206" s="32" t="str">
        <f>"－"</f>
        <v>－</v>
      </c>
      <c r="X206" s="36" t="n">
        <f>22</f>
        <v>22.0</v>
      </c>
    </row>
    <row r="207">
      <c r="A207" s="27" t="s">
        <v>42</v>
      </c>
      <c r="B207" s="27" t="s">
        <v>673</v>
      </c>
      <c r="C207" s="27" t="s">
        <v>674</v>
      </c>
      <c r="D207" s="27" t="s">
        <v>675</v>
      </c>
      <c r="E207" s="28" t="s">
        <v>46</v>
      </c>
      <c r="F207" s="29" t="s">
        <v>46</v>
      </c>
      <c r="G207" s="30" t="s">
        <v>46</v>
      </c>
      <c r="H207" s="31"/>
      <c r="I207" s="31" t="s">
        <v>47</v>
      </c>
      <c r="J207" s="32" t="n">
        <v>1.0</v>
      </c>
      <c r="K207" s="33" t="n">
        <f>995</f>
        <v>995.0</v>
      </c>
      <c r="L207" s="34" t="s">
        <v>48</v>
      </c>
      <c r="M207" s="33" t="n">
        <f>1105</f>
        <v>1105.0</v>
      </c>
      <c r="N207" s="34" t="s">
        <v>50</v>
      </c>
      <c r="O207" s="33" t="n">
        <f>991</f>
        <v>991.0</v>
      </c>
      <c r="P207" s="34" t="s">
        <v>48</v>
      </c>
      <c r="Q207" s="33" t="n">
        <f>1103</f>
        <v>1103.0</v>
      </c>
      <c r="R207" s="34" t="s">
        <v>50</v>
      </c>
      <c r="S207" s="35" t="n">
        <f>1057</f>
        <v>1057.0</v>
      </c>
      <c r="T207" s="32" t="n">
        <f>881005</f>
        <v>881005.0</v>
      </c>
      <c r="U207" s="32" t="n">
        <f>169000</f>
        <v>169000.0</v>
      </c>
      <c r="V207" s="32" t="n">
        <f>936888436</f>
        <v>9.36888436E8</v>
      </c>
      <c r="W207" s="32" t="n">
        <f>183833805</f>
        <v>1.83833805E8</v>
      </c>
      <c r="X207" s="36" t="n">
        <f>22</f>
        <v>22.0</v>
      </c>
    </row>
    <row r="208">
      <c r="A208" s="27" t="s">
        <v>42</v>
      </c>
      <c r="B208" s="27" t="s">
        <v>676</v>
      </c>
      <c r="C208" s="27" t="s">
        <v>677</v>
      </c>
      <c r="D208" s="27" t="s">
        <v>678</v>
      </c>
      <c r="E208" s="28" t="s">
        <v>46</v>
      </c>
      <c r="F208" s="29" t="s">
        <v>46</v>
      </c>
      <c r="G208" s="30" t="s">
        <v>46</v>
      </c>
      <c r="H208" s="31"/>
      <c r="I208" s="31" t="s">
        <v>47</v>
      </c>
      <c r="J208" s="32" t="n">
        <v>1.0</v>
      </c>
      <c r="K208" s="33" t="n">
        <f>52730</f>
        <v>52730.0</v>
      </c>
      <c r="L208" s="34" t="s">
        <v>48</v>
      </c>
      <c r="M208" s="33" t="n">
        <f>58580</f>
        <v>58580.0</v>
      </c>
      <c r="N208" s="34" t="s">
        <v>65</v>
      </c>
      <c r="O208" s="33" t="n">
        <f>52410</f>
        <v>52410.0</v>
      </c>
      <c r="P208" s="34" t="s">
        <v>48</v>
      </c>
      <c r="Q208" s="33" t="n">
        <f>57770</f>
        <v>57770.0</v>
      </c>
      <c r="R208" s="34" t="s">
        <v>50</v>
      </c>
      <c r="S208" s="35" t="n">
        <f>56308.18</f>
        <v>56308.18</v>
      </c>
      <c r="T208" s="32" t="n">
        <f>28078</f>
        <v>28078.0</v>
      </c>
      <c r="U208" s="32" t="str">
        <f>"－"</f>
        <v>－</v>
      </c>
      <c r="V208" s="32" t="n">
        <f>1575594050</f>
        <v>1.57559405E9</v>
      </c>
      <c r="W208" s="32" t="str">
        <f>"－"</f>
        <v>－</v>
      </c>
      <c r="X208" s="36" t="n">
        <f>22</f>
        <v>22.0</v>
      </c>
    </row>
    <row r="209">
      <c r="A209" s="27" t="s">
        <v>42</v>
      </c>
      <c r="B209" s="27" t="s">
        <v>679</v>
      </c>
      <c r="C209" s="27" t="s">
        <v>680</v>
      </c>
      <c r="D209" s="27" t="s">
        <v>681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1.0</v>
      </c>
      <c r="K209" s="33" t="n">
        <f>9310</f>
        <v>9310.0</v>
      </c>
      <c r="L209" s="34" t="s">
        <v>48</v>
      </c>
      <c r="M209" s="33" t="n">
        <f>9326</f>
        <v>9326.0</v>
      </c>
      <c r="N209" s="34" t="s">
        <v>48</v>
      </c>
      <c r="O209" s="33" t="n">
        <f>8813</f>
        <v>8813.0</v>
      </c>
      <c r="P209" s="34" t="s">
        <v>65</v>
      </c>
      <c r="Q209" s="33" t="n">
        <f>8860</f>
        <v>8860.0</v>
      </c>
      <c r="R209" s="34" t="s">
        <v>50</v>
      </c>
      <c r="S209" s="35" t="n">
        <f>8992.32</f>
        <v>8992.32</v>
      </c>
      <c r="T209" s="32" t="n">
        <f>577649</f>
        <v>577649.0</v>
      </c>
      <c r="U209" s="32" t="n">
        <f>435900</f>
        <v>435900.0</v>
      </c>
      <c r="V209" s="32" t="n">
        <f>5150961913</f>
        <v>5.150961913E9</v>
      </c>
      <c r="W209" s="32" t="n">
        <f>3881055390</f>
        <v>3.88105539E9</v>
      </c>
      <c r="X209" s="36" t="n">
        <f>22</f>
        <v>22.0</v>
      </c>
    </row>
    <row r="210">
      <c r="A210" s="27" t="s">
        <v>42</v>
      </c>
      <c r="B210" s="27" t="s">
        <v>682</v>
      </c>
      <c r="C210" s="27" t="s">
        <v>683</v>
      </c>
      <c r="D210" s="27" t="s">
        <v>684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10.0</v>
      </c>
      <c r="K210" s="33" t="n">
        <f>11205</f>
        <v>11205.0</v>
      </c>
      <c r="L210" s="34" t="s">
        <v>48</v>
      </c>
      <c r="M210" s="33" t="n">
        <f>12505</f>
        <v>12505.0</v>
      </c>
      <c r="N210" s="34" t="s">
        <v>65</v>
      </c>
      <c r="O210" s="33" t="n">
        <f>11200</f>
        <v>11200.0</v>
      </c>
      <c r="P210" s="34" t="s">
        <v>48</v>
      </c>
      <c r="Q210" s="33" t="n">
        <f>12340</f>
        <v>12340.0</v>
      </c>
      <c r="R210" s="34" t="s">
        <v>50</v>
      </c>
      <c r="S210" s="35" t="n">
        <f>12016.14</f>
        <v>12016.14</v>
      </c>
      <c r="T210" s="32" t="n">
        <f>21500</f>
        <v>21500.0</v>
      </c>
      <c r="U210" s="32" t="str">
        <f>"－"</f>
        <v>－</v>
      </c>
      <c r="V210" s="32" t="n">
        <f>257820600</f>
        <v>2.578206E8</v>
      </c>
      <c r="W210" s="32" t="str">
        <f>"－"</f>
        <v>－</v>
      </c>
      <c r="X210" s="36" t="n">
        <f>22</f>
        <v>22.0</v>
      </c>
    </row>
    <row r="211">
      <c r="A211" s="27" t="s">
        <v>42</v>
      </c>
      <c r="B211" s="27" t="s">
        <v>685</v>
      </c>
      <c r="C211" s="27" t="s">
        <v>686</v>
      </c>
      <c r="D211" s="27" t="s">
        <v>687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9356</f>
        <v>9356.0</v>
      </c>
      <c r="L211" s="34" t="s">
        <v>48</v>
      </c>
      <c r="M211" s="33" t="n">
        <f>9360</f>
        <v>9360.0</v>
      </c>
      <c r="N211" s="34" t="s">
        <v>48</v>
      </c>
      <c r="O211" s="33" t="n">
        <f>8843</f>
        <v>8843.0</v>
      </c>
      <c r="P211" s="34" t="s">
        <v>65</v>
      </c>
      <c r="Q211" s="33" t="n">
        <f>8920</f>
        <v>8920.0</v>
      </c>
      <c r="R211" s="34" t="s">
        <v>50</v>
      </c>
      <c r="S211" s="35" t="n">
        <f>9048.74</f>
        <v>9048.74</v>
      </c>
      <c r="T211" s="32" t="n">
        <f>117820</f>
        <v>117820.0</v>
      </c>
      <c r="U211" s="32" t="n">
        <f>115300</f>
        <v>115300.0</v>
      </c>
      <c r="V211" s="32" t="n">
        <f>1060646031</f>
        <v>1.060646031E9</v>
      </c>
      <c r="W211" s="32" t="n">
        <f>1037730181</f>
        <v>1.037730181E9</v>
      </c>
      <c r="X211" s="36" t="n">
        <f>19</f>
        <v>19.0</v>
      </c>
    </row>
    <row r="212">
      <c r="A212" s="27" t="s">
        <v>42</v>
      </c>
      <c r="B212" s="27" t="s">
        <v>688</v>
      </c>
      <c r="C212" s="27" t="s">
        <v>689</v>
      </c>
      <c r="D212" s="27" t="s">
        <v>690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509.6</f>
        <v>509.6</v>
      </c>
      <c r="L212" s="34" t="s">
        <v>48</v>
      </c>
      <c r="M212" s="33" t="n">
        <f>550.3</f>
        <v>550.3</v>
      </c>
      <c r="N212" s="34" t="s">
        <v>50</v>
      </c>
      <c r="O212" s="33" t="n">
        <f>509.6</f>
        <v>509.6</v>
      </c>
      <c r="P212" s="34" t="s">
        <v>48</v>
      </c>
      <c r="Q212" s="33" t="n">
        <f>549.7</f>
        <v>549.7</v>
      </c>
      <c r="R212" s="34" t="s">
        <v>50</v>
      </c>
      <c r="S212" s="35" t="n">
        <f>532.33</f>
        <v>532.33</v>
      </c>
      <c r="T212" s="32" t="n">
        <f>194200</f>
        <v>194200.0</v>
      </c>
      <c r="U212" s="32" t="str">
        <f>"－"</f>
        <v>－</v>
      </c>
      <c r="V212" s="32" t="n">
        <f>103720114</f>
        <v>1.03720114E8</v>
      </c>
      <c r="W212" s="32" t="str">
        <f>"－"</f>
        <v>－</v>
      </c>
      <c r="X212" s="36" t="n">
        <f>22</f>
        <v>22.0</v>
      </c>
    </row>
    <row r="213">
      <c r="A213" s="27" t="s">
        <v>42</v>
      </c>
      <c r="B213" s="27" t="s">
        <v>691</v>
      </c>
      <c r="C213" s="27" t="s">
        <v>692</v>
      </c>
      <c r="D213" s="27" t="s">
        <v>693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492</f>
        <v>492.0</v>
      </c>
      <c r="L213" s="34" t="s">
        <v>48</v>
      </c>
      <c r="M213" s="33" t="n">
        <f>513.9</f>
        <v>513.9</v>
      </c>
      <c r="N213" s="34" t="s">
        <v>65</v>
      </c>
      <c r="O213" s="33" t="n">
        <f>491</f>
        <v>491.0</v>
      </c>
      <c r="P213" s="34" t="s">
        <v>48</v>
      </c>
      <c r="Q213" s="33" t="n">
        <f>508.8</f>
        <v>508.8</v>
      </c>
      <c r="R213" s="34" t="s">
        <v>50</v>
      </c>
      <c r="S213" s="35" t="n">
        <f>505.24</f>
        <v>505.24</v>
      </c>
      <c r="T213" s="32" t="n">
        <f>162370</f>
        <v>162370.0</v>
      </c>
      <c r="U213" s="32" t="str">
        <f>"－"</f>
        <v>－</v>
      </c>
      <c r="V213" s="32" t="n">
        <f>82165086</f>
        <v>8.2165086E7</v>
      </c>
      <c r="W213" s="32" t="str">
        <f>"－"</f>
        <v>－</v>
      </c>
      <c r="X213" s="36" t="n">
        <f>22</f>
        <v>22.0</v>
      </c>
    </row>
    <row r="214">
      <c r="A214" s="27" t="s">
        <v>42</v>
      </c>
      <c r="B214" s="27" t="s">
        <v>694</v>
      </c>
      <c r="C214" s="27" t="s">
        <v>695</v>
      </c>
      <c r="D214" s="27" t="s">
        <v>696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1148</f>
        <v>1148.0</v>
      </c>
      <c r="L214" s="34" t="s">
        <v>48</v>
      </c>
      <c r="M214" s="33" t="n">
        <f>1267</f>
        <v>1267.0</v>
      </c>
      <c r="N214" s="34" t="s">
        <v>70</v>
      </c>
      <c r="O214" s="33" t="n">
        <f>1145</f>
        <v>1145.0</v>
      </c>
      <c r="P214" s="34" t="s">
        <v>48</v>
      </c>
      <c r="Q214" s="33" t="n">
        <f>1254</f>
        <v>1254.0</v>
      </c>
      <c r="R214" s="34" t="s">
        <v>50</v>
      </c>
      <c r="S214" s="35" t="n">
        <f>1210.18</f>
        <v>1210.18</v>
      </c>
      <c r="T214" s="32" t="n">
        <f>1424383</f>
        <v>1424383.0</v>
      </c>
      <c r="U214" s="32" t="n">
        <f>102585</f>
        <v>102585.0</v>
      </c>
      <c r="V214" s="32" t="n">
        <f>1731654085</f>
        <v>1.731654085E9</v>
      </c>
      <c r="W214" s="32" t="n">
        <f>130531887</f>
        <v>1.30531887E8</v>
      </c>
      <c r="X214" s="36" t="n">
        <f>22</f>
        <v>22.0</v>
      </c>
    </row>
    <row r="215">
      <c r="A215" s="27" t="s">
        <v>42</v>
      </c>
      <c r="B215" s="27" t="s">
        <v>697</v>
      </c>
      <c r="C215" s="27" t="s">
        <v>698</v>
      </c>
      <c r="D215" s="27" t="s">
        <v>699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1190</f>
        <v>1190.0</v>
      </c>
      <c r="L215" s="34" t="s">
        <v>48</v>
      </c>
      <c r="M215" s="33" t="n">
        <f>1325</f>
        <v>1325.0</v>
      </c>
      <c r="N215" s="34" t="s">
        <v>50</v>
      </c>
      <c r="O215" s="33" t="n">
        <f>1188</f>
        <v>1188.0</v>
      </c>
      <c r="P215" s="34" t="s">
        <v>48</v>
      </c>
      <c r="Q215" s="33" t="n">
        <f>1323</f>
        <v>1323.0</v>
      </c>
      <c r="R215" s="34" t="s">
        <v>50</v>
      </c>
      <c r="S215" s="35" t="n">
        <f>1270.14</f>
        <v>1270.14</v>
      </c>
      <c r="T215" s="32" t="n">
        <f>934262</f>
        <v>934262.0</v>
      </c>
      <c r="U215" s="32" t="str">
        <f>"－"</f>
        <v>－</v>
      </c>
      <c r="V215" s="32" t="n">
        <f>1181045825</f>
        <v>1.181045825E9</v>
      </c>
      <c r="W215" s="32" t="str">
        <f>"－"</f>
        <v>－</v>
      </c>
      <c r="X215" s="36" t="n">
        <f>22</f>
        <v>22.0</v>
      </c>
    </row>
    <row r="216">
      <c r="A216" s="27" t="s">
        <v>42</v>
      </c>
      <c r="B216" s="27" t="s">
        <v>700</v>
      </c>
      <c r="C216" s="27" t="s">
        <v>701</v>
      </c>
      <c r="D216" s="27" t="s">
        <v>702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806.3</f>
        <v>806.3</v>
      </c>
      <c r="L216" s="34" t="s">
        <v>186</v>
      </c>
      <c r="M216" s="33" t="n">
        <f>815.1</f>
        <v>815.1</v>
      </c>
      <c r="N216" s="34" t="s">
        <v>222</v>
      </c>
      <c r="O216" s="33" t="n">
        <f>792.1</f>
        <v>792.1</v>
      </c>
      <c r="P216" s="34" t="s">
        <v>65</v>
      </c>
      <c r="Q216" s="33" t="n">
        <f>795.5</f>
        <v>795.5</v>
      </c>
      <c r="R216" s="34" t="s">
        <v>50</v>
      </c>
      <c r="S216" s="35" t="n">
        <f>799.19</f>
        <v>799.19</v>
      </c>
      <c r="T216" s="32" t="n">
        <f>101640</f>
        <v>101640.0</v>
      </c>
      <c r="U216" s="32" t="n">
        <f>100000</f>
        <v>100000.0</v>
      </c>
      <c r="V216" s="32" t="n">
        <f>80933189</f>
        <v>8.0933189E7</v>
      </c>
      <c r="W216" s="32" t="n">
        <f>79620000</f>
        <v>7.962E7</v>
      </c>
      <c r="X216" s="36" t="n">
        <f>13</f>
        <v>13.0</v>
      </c>
    </row>
    <row r="217">
      <c r="A217" s="27" t="s">
        <v>42</v>
      </c>
      <c r="B217" s="27" t="s">
        <v>703</v>
      </c>
      <c r="C217" s="27" t="s">
        <v>704</v>
      </c>
      <c r="D217" s="27" t="s">
        <v>705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807.6</f>
        <v>807.6</v>
      </c>
      <c r="L217" s="34" t="s">
        <v>186</v>
      </c>
      <c r="M217" s="33" t="n">
        <f>822.6</f>
        <v>822.6</v>
      </c>
      <c r="N217" s="34" t="s">
        <v>314</v>
      </c>
      <c r="O217" s="33" t="n">
        <f>795.5</f>
        <v>795.5</v>
      </c>
      <c r="P217" s="34" t="s">
        <v>116</v>
      </c>
      <c r="Q217" s="33" t="n">
        <f>800.7</f>
        <v>800.7</v>
      </c>
      <c r="R217" s="34" t="s">
        <v>50</v>
      </c>
      <c r="S217" s="35" t="n">
        <f>802.74</f>
        <v>802.74</v>
      </c>
      <c r="T217" s="32" t="n">
        <f>3320</f>
        <v>3320.0</v>
      </c>
      <c r="U217" s="32" t="str">
        <f>"－"</f>
        <v>－</v>
      </c>
      <c r="V217" s="32" t="n">
        <f>2660371</f>
        <v>2660371.0</v>
      </c>
      <c r="W217" s="32" t="str">
        <f>"－"</f>
        <v>－</v>
      </c>
      <c r="X217" s="36" t="n">
        <f>13</f>
        <v>13.0</v>
      </c>
    </row>
    <row r="218">
      <c r="A218" s="27" t="s">
        <v>42</v>
      </c>
      <c r="B218" s="27" t="s">
        <v>706</v>
      </c>
      <c r="C218" s="27" t="s">
        <v>707</v>
      </c>
      <c r="D218" s="27" t="s">
        <v>708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10910</f>
        <v>10910.0</v>
      </c>
      <c r="L218" s="34" t="s">
        <v>48</v>
      </c>
      <c r="M218" s="33" t="n">
        <f>11915</f>
        <v>11915.0</v>
      </c>
      <c r="N218" s="34" t="s">
        <v>50</v>
      </c>
      <c r="O218" s="33" t="n">
        <f>10900</f>
        <v>10900.0</v>
      </c>
      <c r="P218" s="34" t="s">
        <v>48</v>
      </c>
      <c r="Q218" s="33" t="n">
        <f>11900</f>
        <v>11900.0</v>
      </c>
      <c r="R218" s="34" t="s">
        <v>50</v>
      </c>
      <c r="S218" s="35" t="n">
        <f>11438.41</f>
        <v>11438.41</v>
      </c>
      <c r="T218" s="32" t="n">
        <f>26899</f>
        <v>26899.0</v>
      </c>
      <c r="U218" s="32" t="str">
        <f>"－"</f>
        <v>－</v>
      </c>
      <c r="V218" s="32" t="n">
        <f>310516900</f>
        <v>3.105169E8</v>
      </c>
      <c r="W218" s="32" t="str">
        <f>"－"</f>
        <v>－</v>
      </c>
      <c r="X218" s="36" t="n">
        <f>22</f>
        <v>22.0</v>
      </c>
    </row>
    <row r="219">
      <c r="A219" s="27" t="s">
        <v>42</v>
      </c>
      <c r="B219" s="27" t="s">
        <v>709</v>
      </c>
      <c r="C219" s="27" t="s">
        <v>710</v>
      </c>
      <c r="D219" s="27" t="s">
        <v>711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35000</f>
        <v>35000.0</v>
      </c>
      <c r="L219" s="34" t="s">
        <v>48</v>
      </c>
      <c r="M219" s="33" t="n">
        <f>36840</f>
        <v>36840.0</v>
      </c>
      <c r="N219" s="34" t="s">
        <v>65</v>
      </c>
      <c r="O219" s="33" t="n">
        <f>35000</f>
        <v>35000.0</v>
      </c>
      <c r="P219" s="34" t="s">
        <v>48</v>
      </c>
      <c r="Q219" s="33" t="n">
        <f>36630</f>
        <v>36630.0</v>
      </c>
      <c r="R219" s="34" t="s">
        <v>50</v>
      </c>
      <c r="S219" s="35" t="n">
        <f>36258.46</f>
        <v>36258.46</v>
      </c>
      <c r="T219" s="32" t="n">
        <f>182</f>
        <v>182.0</v>
      </c>
      <c r="U219" s="32" t="str">
        <f>"－"</f>
        <v>－</v>
      </c>
      <c r="V219" s="32" t="n">
        <f>6634460</f>
        <v>6634460.0</v>
      </c>
      <c r="W219" s="32" t="str">
        <f>"－"</f>
        <v>－</v>
      </c>
      <c r="X219" s="36" t="n">
        <f>13</f>
        <v>13.0</v>
      </c>
    </row>
    <row r="220">
      <c r="A220" s="27" t="s">
        <v>42</v>
      </c>
      <c r="B220" s="27" t="s">
        <v>712</v>
      </c>
      <c r="C220" s="27" t="s">
        <v>713</v>
      </c>
      <c r="D220" s="27" t="s">
        <v>714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32050</f>
        <v>32050.0</v>
      </c>
      <c r="L220" s="34" t="s">
        <v>48</v>
      </c>
      <c r="M220" s="33" t="n">
        <f>32200</f>
        <v>32200.0</v>
      </c>
      <c r="N220" s="34" t="s">
        <v>48</v>
      </c>
      <c r="O220" s="33" t="n">
        <f>28770</f>
        <v>28770.0</v>
      </c>
      <c r="P220" s="34" t="s">
        <v>65</v>
      </c>
      <c r="Q220" s="33" t="n">
        <f>29045</f>
        <v>29045.0</v>
      </c>
      <c r="R220" s="34" t="s">
        <v>50</v>
      </c>
      <c r="S220" s="35" t="n">
        <f>29936.59</f>
        <v>29936.59</v>
      </c>
      <c r="T220" s="32" t="n">
        <f>8314</f>
        <v>8314.0</v>
      </c>
      <c r="U220" s="32" t="str">
        <f>"－"</f>
        <v>－</v>
      </c>
      <c r="V220" s="32" t="n">
        <f>247171160</f>
        <v>2.4717116E8</v>
      </c>
      <c r="W220" s="32" t="str">
        <f>"－"</f>
        <v>－</v>
      </c>
      <c r="X220" s="36" t="n">
        <f>22</f>
        <v>22.0</v>
      </c>
    </row>
    <row r="221">
      <c r="A221" s="27" t="s">
        <v>42</v>
      </c>
      <c r="B221" s="27" t="s">
        <v>715</v>
      </c>
      <c r="C221" s="27" t="s">
        <v>716</v>
      </c>
      <c r="D221" s="27" t="s">
        <v>717</v>
      </c>
      <c r="E221" s="28" t="s">
        <v>718</v>
      </c>
      <c r="F221" s="29" t="s">
        <v>719</v>
      </c>
      <c r="G221" s="30" t="s">
        <v>720</v>
      </c>
      <c r="H221" s="31"/>
      <c r="I221" s="31" t="s">
        <v>47</v>
      </c>
      <c r="J221" s="32" t="n">
        <v>10.0</v>
      </c>
      <c r="K221" s="33" t="n">
        <f>201.9</f>
        <v>201.9</v>
      </c>
      <c r="L221" s="34" t="s">
        <v>208</v>
      </c>
      <c r="M221" s="33" t="n">
        <f>211.5</f>
        <v>211.5</v>
      </c>
      <c r="N221" s="34" t="s">
        <v>69</v>
      </c>
      <c r="O221" s="33" t="n">
        <f>194.7</f>
        <v>194.7</v>
      </c>
      <c r="P221" s="34" t="s">
        <v>208</v>
      </c>
      <c r="Q221" s="33" t="n">
        <f>206.5</f>
        <v>206.5</v>
      </c>
      <c r="R221" s="34" t="s">
        <v>50</v>
      </c>
      <c r="S221" s="35" t="n">
        <f>203.12</f>
        <v>203.12</v>
      </c>
      <c r="T221" s="32" t="n">
        <f>1215470</f>
        <v>1215470.0</v>
      </c>
      <c r="U221" s="32" t="n">
        <f>1000000</f>
        <v>1000000.0</v>
      </c>
      <c r="V221" s="32" t="n">
        <f>242294205</f>
        <v>2.42294205E8</v>
      </c>
      <c r="W221" s="32" t="n">
        <f>198640000</f>
        <v>1.9864E8</v>
      </c>
      <c r="X221" s="36" t="n">
        <f>17</f>
        <v>17.0</v>
      </c>
    </row>
    <row r="222">
      <c r="A222" s="27" t="s">
        <v>42</v>
      </c>
      <c r="B222" s="27" t="s">
        <v>721</v>
      </c>
      <c r="C222" s="27" t="s">
        <v>722</v>
      </c>
      <c r="D222" s="27" t="s">
        <v>723</v>
      </c>
      <c r="E222" s="28" t="s">
        <v>718</v>
      </c>
      <c r="F222" s="29" t="s">
        <v>719</v>
      </c>
      <c r="G222" s="30" t="s">
        <v>724</v>
      </c>
      <c r="H222" s="31"/>
      <c r="I222" s="31" t="s">
        <v>47</v>
      </c>
      <c r="J222" s="32" t="n">
        <v>10.0</v>
      </c>
      <c r="K222" s="33" t="n">
        <f>753</f>
        <v>753.0</v>
      </c>
      <c r="L222" s="34" t="s">
        <v>212</v>
      </c>
      <c r="M222" s="33" t="n">
        <f>753</f>
        <v>753.0</v>
      </c>
      <c r="N222" s="34" t="s">
        <v>212</v>
      </c>
      <c r="O222" s="33" t="n">
        <f>745</f>
        <v>745.0</v>
      </c>
      <c r="P222" s="34" t="s">
        <v>479</v>
      </c>
      <c r="Q222" s="33" t="n">
        <f>750.9</f>
        <v>750.9</v>
      </c>
      <c r="R222" s="34" t="s">
        <v>50</v>
      </c>
      <c r="S222" s="35" t="n">
        <f>748.7</f>
        <v>748.7</v>
      </c>
      <c r="T222" s="32" t="n">
        <f>9910</f>
        <v>9910.0</v>
      </c>
      <c r="U222" s="32" t="str">
        <f>"－"</f>
        <v>－</v>
      </c>
      <c r="V222" s="32" t="n">
        <f>7410589</f>
        <v>7410589.0</v>
      </c>
      <c r="W222" s="32" t="str">
        <f>"－"</f>
        <v>－</v>
      </c>
      <c r="X222" s="36" t="n">
        <f>5</f>
        <v>5.0</v>
      </c>
    </row>
    <row r="223">
      <c r="A223" s="27" t="s">
        <v>42</v>
      </c>
      <c r="B223" s="27" t="s">
        <v>725</v>
      </c>
      <c r="C223" s="27" t="s">
        <v>726</v>
      </c>
      <c r="D223" s="27" t="s">
        <v>727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956.3</f>
        <v>956.3</v>
      </c>
      <c r="L223" s="34" t="s">
        <v>48</v>
      </c>
      <c r="M223" s="33" t="n">
        <f>973</f>
        <v>973.0</v>
      </c>
      <c r="N223" s="34" t="s">
        <v>116</v>
      </c>
      <c r="O223" s="33" t="n">
        <f>953.1</f>
        <v>953.1</v>
      </c>
      <c r="P223" s="34" t="s">
        <v>48</v>
      </c>
      <c r="Q223" s="33" t="n">
        <f>958.6</f>
        <v>958.6</v>
      </c>
      <c r="R223" s="34" t="s">
        <v>50</v>
      </c>
      <c r="S223" s="35" t="n">
        <f>957.06</f>
        <v>957.06</v>
      </c>
      <c r="T223" s="32" t="n">
        <f>3306750</f>
        <v>3306750.0</v>
      </c>
      <c r="U223" s="32" t="n">
        <f>2142320</f>
        <v>2142320.0</v>
      </c>
      <c r="V223" s="32" t="n">
        <f>3163232702</f>
        <v>3.163232702E9</v>
      </c>
      <c r="W223" s="32" t="n">
        <f>2047284393</f>
        <v>2.047284393E9</v>
      </c>
      <c r="X223" s="36" t="n">
        <f>22</f>
        <v>22.0</v>
      </c>
    </row>
    <row r="224">
      <c r="A224" s="27" t="s">
        <v>42</v>
      </c>
      <c r="B224" s="27" t="s">
        <v>728</v>
      </c>
      <c r="C224" s="27" t="s">
        <v>729</v>
      </c>
      <c r="D224" s="27" t="s">
        <v>730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1002.5</f>
        <v>1002.5</v>
      </c>
      <c r="L224" s="34" t="s">
        <v>48</v>
      </c>
      <c r="M224" s="33" t="n">
        <f>1048.5</f>
        <v>1048.5</v>
      </c>
      <c r="N224" s="34" t="s">
        <v>49</v>
      </c>
      <c r="O224" s="33" t="n">
        <f>998.2</f>
        <v>998.2</v>
      </c>
      <c r="P224" s="34" t="s">
        <v>208</v>
      </c>
      <c r="Q224" s="33" t="n">
        <f>1041</f>
        <v>1041.0</v>
      </c>
      <c r="R224" s="34" t="s">
        <v>50</v>
      </c>
      <c r="S224" s="35" t="n">
        <f>1019.67</f>
        <v>1019.67</v>
      </c>
      <c r="T224" s="32" t="n">
        <f>805350</f>
        <v>805350.0</v>
      </c>
      <c r="U224" s="32" t="n">
        <f>131430</f>
        <v>131430.0</v>
      </c>
      <c r="V224" s="32" t="n">
        <f>820274074</f>
        <v>8.20274074E8</v>
      </c>
      <c r="W224" s="32" t="n">
        <f>134578068</f>
        <v>1.34578068E8</v>
      </c>
      <c r="X224" s="36" t="n">
        <f>22</f>
        <v>22.0</v>
      </c>
    </row>
    <row r="225">
      <c r="A225" s="27" t="s">
        <v>42</v>
      </c>
      <c r="B225" s="27" t="s">
        <v>731</v>
      </c>
      <c r="C225" s="27" t="s">
        <v>732</v>
      </c>
      <c r="D225" s="27" t="s">
        <v>733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823.5</f>
        <v>823.5</v>
      </c>
      <c r="L225" s="34" t="s">
        <v>48</v>
      </c>
      <c r="M225" s="33" t="n">
        <f>839.9</f>
        <v>839.9</v>
      </c>
      <c r="N225" s="34" t="s">
        <v>60</v>
      </c>
      <c r="O225" s="33" t="n">
        <f>815.6</f>
        <v>815.6</v>
      </c>
      <c r="P225" s="34" t="s">
        <v>70</v>
      </c>
      <c r="Q225" s="33" t="n">
        <f>817.2</f>
        <v>817.2</v>
      </c>
      <c r="R225" s="34" t="s">
        <v>50</v>
      </c>
      <c r="S225" s="35" t="n">
        <f>821.82</f>
        <v>821.82</v>
      </c>
      <c r="T225" s="32" t="n">
        <f>3809310</f>
        <v>3809310.0</v>
      </c>
      <c r="U225" s="32" t="n">
        <f>3161690</f>
        <v>3161690.0</v>
      </c>
      <c r="V225" s="32" t="n">
        <f>3115849826</f>
        <v>3.115849826E9</v>
      </c>
      <c r="W225" s="32" t="n">
        <f>2583971874</f>
        <v>2.583971874E9</v>
      </c>
      <c r="X225" s="36" t="n">
        <f>22</f>
        <v>22.0</v>
      </c>
    </row>
    <row r="226">
      <c r="A226" s="27" t="s">
        <v>42</v>
      </c>
      <c r="B226" s="27" t="s">
        <v>734</v>
      </c>
      <c r="C226" s="27" t="s">
        <v>735</v>
      </c>
      <c r="D226" s="27" t="s">
        <v>736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1784</f>
        <v>1784.0</v>
      </c>
      <c r="L226" s="34" t="s">
        <v>48</v>
      </c>
      <c r="M226" s="33" t="n">
        <f>1947.5</f>
        <v>1947.5</v>
      </c>
      <c r="N226" s="34" t="s">
        <v>50</v>
      </c>
      <c r="O226" s="33" t="n">
        <f>1782</f>
        <v>1782.0</v>
      </c>
      <c r="P226" s="34" t="s">
        <v>48</v>
      </c>
      <c r="Q226" s="33" t="n">
        <f>1945</f>
        <v>1945.0</v>
      </c>
      <c r="R226" s="34" t="s">
        <v>50</v>
      </c>
      <c r="S226" s="35" t="n">
        <f>1875.89</f>
        <v>1875.89</v>
      </c>
      <c r="T226" s="32" t="n">
        <f>1207910</f>
        <v>1207910.0</v>
      </c>
      <c r="U226" s="32" t="n">
        <f>850210</f>
        <v>850210.0</v>
      </c>
      <c r="V226" s="32" t="n">
        <f>2314804969</f>
        <v>2.314804969E9</v>
      </c>
      <c r="W226" s="32" t="n">
        <f>1643699264</f>
        <v>1.643699264E9</v>
      </c>
      <c r="X226" s="36" t="n">
        <f>22</f>
        <v>22.0</v>
      </c>
    </row>
    <row r="227">
      <c r="A227" s="27" t="s">
        <v>42</v>
      </c>
      <c r="B227" s="27" t="s">
        <v>737</v>
      </c>
      <c r="C227" s="27" t="s">
        <v>738</v>
      </c>
      <c r="D227" s="27" t="s">
        <v>739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1352.5</f>
        <v>1352.5</v>
      </c>
      <c r="L227" s="34" t="s">
        <v>48</v>
      </c>
      <c r="M227" s="33" t="n">
        <f>1450</f>
        <v>1450.0</v>
      </c>
      <c r="N227" s="34" t="s">
        <v>226</v>
      </c>
      <c r="O227" s="33" t="n">
        <f>1352</f>
        <v>1352.0</v>
      </c>
      <c r="P227" s="34" t="s">
        <v>48</v>
      </c>
      <c r="Q227" s="33" t="n">
        <f>1407.5</f>
        <v>1407.5</v>
      </c>
      <c r="R227" s="34" t="s">
        <v>50</v>
      </c>
      <c r="S227" s="35" t="n">
        <f>1393.11</f>
        <v>1393.11</v>
      </c>
      <c r="T227" s="32" t="n">
        <f>152870</f>
        <v>152870.0</v>
      </c>
      <c r="U227" s="32" t="n">
        <f>12370</f>
        <v>12370.0</v>
      </c>
      <c r="V227" s="32" t="n">
        <f>213116744</f>
        <v>2.13116744E8</v>
      </c>
      <c r="W227" s="32" t="n">
        <f>17415324</f>
        <v>1.7415324E7</v>
      </c>
      <c r="X227" s="36" t="n">
        <f>22</f>
        <v>22.0</v>
      </c>
    </row>
    <row r="228">
      <c r="A228" s="27" t="s">
        <v>42</v>
      </c>
      <c r="B228" s="27" t="s">
        <v>740</v>
      </c>
      <c r="C228" s="27" t="s">
        <v>741</v>
      </c>
      <c r="D228" s="27" t="s">
        <v>742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1157.5</f>
        <v>1157.5</v>
      </c>
      <c r="L228" s="34" t="s">
        <v>48</v>
      </c>
      <c r="M228" s="33" t="n">
        <f>1230</f>
        <v>1230.0</v>
      </c>
      <c r="N228" s="34" t="s">
        <v>50</v>
      </c>
      <c r="O228" s="33" t="n">
        <f>1156.5</f>
        <v>1156.5</v>
      </c>
      <c r="P228" s="34" t="s">
        <v>117</v>
      </c>
      <c r="Q228" s="33" t="n">
        <f>1226.5</f>
        <v>1226.5</v>
      </c>
      <c r="R228" s="34" t="s">
        <v>50</v>
      </c>
      <c r="S228" s="35" t="n">
        <f>1196.36</f>
        <v>1196.36</v>
      </c>
      <c r="T228" s="32" t="n">
        <f>736400</f>
        <v>736400.0</v>
      </c>
      <c r="U228" s="32" t="n">
        <f>201250</f>
        <v>201250.0</v>
      </c>
      <c r="V228" s="32" t="n">
        <f>888069128</f>
        <v>8.88069128E8</v>
      </c>
      <c r="W228" s="32" t="n">
        <f>246080988</f>
        <v>2.46080988E8</v>
      </c>
      <c r="X228" s="36" t="n">
        <f>22</f>
        <v>22.0</v>
      </c>
    </row>
    <row r="229">
      <c r="A229" s="27" t="s">
        <v>42</v>
      </c>
      <c r="B229" s="27" t="s">
        <v>743</v>
      </c>
      <c r="C229" s="27" t="s">
        <v>744</v>
      </c>
      <c r="D229" s="27" t="s">
        <v>745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581.4</f>
        <v>581.4</v>
      </c>
      <c r="L229" s="34" t="s">
        <v>48</v>
      </c>
      <c r="M229" s="33" t="n">
        <f>680</f>
        <v>680.0</v>
      </c>
      <c r="N229" s="34" t="s">
        <v>155</v>
      </c>
      <c r="O229" s="33" t="n">
        <f>579.5</f>
        <v>579.5</v>
      </c>
      <c r="P229" s="34" t="s">
        <v>48</v>
      </c>
      <c r="Q229" s="33" t="n">
        <f>633.5</f>
        <v>633.5</v>
      </c>
      <c r="R229" s="34" t="s">
        <v>50</v>
      </c>
      <c r="S229" s="35" t="n">
        <f>627.09</f>
        <v>627.09</v>
      </c>
      <c r="T229" s="32" t="n">
        <f>72814240</f>
        <v>7.281424E7</v>
      </c>
      <c r="U229" s="32" t="n">
        <f>635640</f>
        <v>635640.0</v>
      </c>
      <c r="V229" s="32" t="n">
        <f>46269670898</f>
        <v>4.6269670898E10</v>
      </c>
      <c r="W229" s="32" t="n">
        <f>415740407</f>
        <v>4.15740407E8</v>
      </c>
      <c r="X229" s="36" t="n">
        <f>22</f>
        <v>22.0</v>
      </c>
    </row>
    <row r="230">
      <c r="A230" s="27" t="s">
        <v>42</v>
      </c>
      <c r="B230" s="27" t="s">
        <v>746</v>
      </c>
      <c r="C230" s="27" t="s">
        <v>747</v>
      </c>
      <c r="D230" s="27" t="s">
        <v>748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1140</f>
        <v>1140.0</v>
      </c>
      <c r="L230" s="34" t="s">
        <v>48</v>
      </c>
      <c r="M230" s="33" t="n">
        <f>1140</f>
        <v>1140.0</v>
      </c>
      <c r="N230" s="34" t="s">
        <v>48</v>
      </c>
      <c r="O230" s="33" t="n">
        <f>1104.5</f>
        <v>1104.5</v>
      </c>
      <c r="P230" s="34" t="s">
        <v>103</v>
      </c>
      <c r="Q230" s="33" t="n">
        <f>1122.5</f>
        <v>1122.5</v>
      </c>
      <c r="R230" s="34" t="s">
        <v>50</v>
      </c>
      <c r="S230" s="35" t="n">
        <f>1117.57</f>
        <v>1117.57</v>
      </c>
      <c r="T230" s="32" t="n">
        <f>23770</f>
        <v>23770.0</v>
      </c>
      <c r="U230" s="32" t="str">
        <f>"－"</f>
        <v>－</v>
      </c>
      <c r="V230" s="32" t="n">
        <f>26582525</f>
        <v>2.6582525E7</v>
      </c>
      <c r="W230" s="32" t="str">
        <f>"－"</f>
        <v>－</v>
      </c>
      <c r="X230" s="36" t="n">
        <f>22</f>
        <v>22.0</v>
      </c>
    </row>
    <row r="231">
      <c r="A231" s="27" t="s">
        <v>42</v>
      </c>
      <c r="B231" s="27" t="s">
        <v>749</v>
      </c>
      <c r="C231" s="27" t="s">
        <v>750</v>
      </c>
      <c r="D231" s="27" t="s">
        <v>751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1169</f>
        <v>1169.0</v>
      </c>
      <c r="L231" s="34" t="s">
        <v>48</v>
      </c>
      <c r="M231" s="33" t="n">
        <f>1277</f>
        <v>1277.0</v>
      </c>
      <c r="N231" s="34" t="s">
        <v>70</v>
      </c>
      <c r="O231" s="33" t="n">
        <f>1169</f>
        <v>1169.0</v>
      </c>
      <c r="P231" s="34" t="s">
        <v>48</v>
      </c>
      <c r="Q231" s="33" t="n">
        <f>1257</f>
        <v>1257.0</v>
      </c>
      <c r="R231" s="34" t="s">
        <v>50</v>
      </c>
      <c r="S231" s="35" t="n">
        <f>1244.27</f>
        <v>1244.27</v>
      </c>
      <c r="T231" s="32" t="n">
        <f>219082</f>
        <v>219082.0</v>
      </c>
      <c r="U231" s="32" t="n">
        <f>41002</f>
        <v>41002.0</v>
      </c>
      <c r="V231" s="32" t="n">
        <f>273669925</f>
        <v>2.73669925E8</v>
      </c>
      <c r="W231" s="32" t="n">
        <f>50936805</f>
        <v>5.0936805E7</v>
      </c>
      <c r="X231" s="36" t="n">
        <f>22</f>
        <v>22.0</v>
      </c>
    </row>
    <row r="232">
      <c r="A232" s="27" t="s">
        <v>42</v>
      </c>
      <c r="B232" s="27" t="s">
        <v>752</v>
      </c>
      <c r="C232" s="27" t="s">
        <v>753</v>
      </c>
      <c r="D232" s="27" t="s">
        <v>754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916.6</f>
        <v>916.6</v>
      </c>
      <c r="L232" s="34" t="s">
        <v>48</v>
      </c>
      <c r="M232" s="33" t="n">
        <f>967.1</f>
        <v>967.1</v>
      </c>
      <c r="N232" s="34" t="s">
        <v>102</v>
      </c>
      <c r="O232" s="33" t="n">
        <f>910</f>
        <v>910.0</v>
      </c>
      <c r="P232" s="34" t="s">
        <v>117</v>
      </c>
      <c r="Q232" s="33" t="n">
        <f>964.8</f>
        <v>964.8</v>
      </c>
      <c r="R232" s="34" t="s">
        <v>50</v>
      </c>
      <c r="S232" s="35" t="n">
        <f>940.61</f>
        <v>940.61</v>
      </c>
      <c r="T232" s="32" t="n">
        <f>200540</f>
        <v>200540.0</v>
      </c>
      <c r="U232" s="32" t="n">
        <f>93950</f>
        <v>93950.0</v>
      </c>
      <c r="V232" s="32" t="n">
        <f>190135587</f>
        <v>1.90135587E8</v>
      </c>
      <c r="W232" s="32" t="n">
        <f>90549010</f>
        <v>9.054901E7</v>
      </c>
      <c r="X232" s="36" t="n">
        <f>22</f>
        <v>22.0</v>
      </c>
    </row>
    <row r="233">
      <c r="A233" s="27" t="s">
        <v>42</v>
      </c>
      <c r="B233" s="27" t="s">
        <v>755</v>
      </c>
      <c r="C233" s="27" t="s">
        <v>756</v>
      </c>
      <c r="D233" s="27" t="s">
        <v>757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1158.5</f>
        <v>1158.5</v>
      </c>
      <c r="L233" s="34" t="s">
        <v>48</v>
      </c>
      <c r="M233" s="33" t="n">
        <f>1289</f>
        <v>1289.0</v>
      </c>
      <c r="N233" s="34" t="s">
        <v>60</v>
      </c>
      <c r="O233" s="33" t="n">
        <f>1158.5</f>
        <v>1158.5</v>
      </c>
      <c r="P233" s="34" t="s">
        <v>48</v>
      </c>
      <c r="Q233" s="33" t="n">
        <f>1258.5</f>
        <v>1258.5</v>
      </c>
      <c r="R233" s="34" t="s">
        <v>50</v>
      </c>
      <c r="S233" s="35" t="n">
        <f>1238.02</f>
        <v>1238.02</v>
      </c>
      <c r="T233" s="32" t="n">
        <f>156100</f>
        <v>156100.0</v>
      </c>
      <c r="U233" s="32" t="n">
        <f>69270</f>
        <v>69270.0</v>
      </c>
      <c r="V233" s="32" t="n">
        <f>194641135</f>
        <v>1.94641135E8</v>
      </c>
      <c r="W233" s="32" t="n">
        <f>86726040</f>
        <v>8.672604E7</v>
      </c>
      <c r="X233" s="36" t="n">
        <f>22</f>
        <v>22.0</v>
      </c>
    </row>
    <row r="234">
      <c r="A234" s="27" t="s">
        <v>42</v>
      </c>
      <c r="B234" s="27" t="s">
        <v>758</v>
      </c>
      <c r="C234" s="27" t="s">
        <v>759</v>
      </c>
      <c r="D234" s="27" t="s">
        <v>760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1382.5</f>
        <v>1382.5</v>
      </c>
      <c r="L234" s="34" t="s">
        <v>48</v>
      </c>
      <c r="M234" s="33" t="n">
        <f>1457.5</f>
        <v>1457.5</v>
      </c>
      <c r="N234" s="34" t="s">
        <v>65</v>
      </c>
      <c r="O234" s="33" t="n">
        <f>1376.5</f>
        <v>1376.5</v>
      </c>
      <c r="P234" s="34" t="s">
        <v>48</v>
      </c>
      <c r="Q234" s="33" t="n">
        <f>1449</f>
        <v>1449.0</v>
      </c>
      <c r="R234" s="34" t="s">
        <v>50</v>
      </c>
      <c r="S234" s="35" t="n">
        <f>1427.39</f>
        <v>1427.39</v>
      </c>
      <c r="T234" s="32" t="n">
        <f>13260440</f>
        <v>1.326044E7</v>
      </c>
      <c r="U234" s="32" t="n">
        <f>10191100</f>
        <v>1.01911E7</v>
      </c>
      <c r="V234" s="32" t="n">
        <f>18833167428</f>
        <v>1.8833167428E10</v>
      </c>
      <c r="W234" s="32" t="n">
        <f>14443661293</f>
        <v>1.4443661293E10</v>
      </c>
      <c r="X234" s="36" t="n">
        <f>22</f>
        <v>22.0</v>
      </c>
    </row>
    <row r="235">
      <c r="A235" s="27" t="s">
        <v>42</v>
      </c>
      <c r="B235" s="27" t="s">
        <v>761</v>
      </c>
      <c r="C235" s="27" t="s">
        <v>762</v>
      </c>
      <c r="D235" s="27" t="s">
        <v>763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4180</f>
        <v>4180.0</v>
      </c>
      <c r="L235" s="34" t="s">
        <v>48</v>
      </c>
      <c r="M235" s="33" t="n">
        <f>4535</f>
        <v>4535.0</v>
      </c>
      <c r="N235" s="34" t="s">
        <v>60</v>
      </c>
      <c r="O235" s="33" t="n">
        <f>4180</f>
        <v>4180.0</v>
      </c>
      <c r="P235" s="34" t="s">
        <v>48</v>
      </c>
      <c r="Q235" s="33" t="n">
        <f>4530</f>
        <v>4530.0</v>
      </c>
      <c r="R235" s="34" t="s">
        <v>50</v>
      </c>
      <c r="S235" s="35" t="n">
        <f>4397.95</f>
        <v>4397.95</v>
      </c>
      <c r="T235" s="32" t="n">
        <f>40551</f>
        <v>40551.0</v>
      </c>
      <c r="U235" s="32" t="str">
        <f>"－"</f>
        <v>－</v>
      </c>
      <c r="V235" s="32" t="n">
        <f>178089015</f>
        <v>1.78089015E8</v>
      </c>
      <c r="W235" s="32" t="str">
        <f>"－"</f>
        <v>－</v>
      </c>
      <c r="X235" s="36" t="n">
        <f>22</f>
        <v>22.0</v>
      </c>
    </row>
    <row r="236">
      <c r="A236" s="27" t="s">
        <v>42</v>
      </c>
      <c r="B236" s="27" t="s">
        <v>764</v>
      </c>
      <c r="C236" s="27" t="s">
        <v>765</v>
      </c>
      <c r="D236" s="27" t="s">
        <v>766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1840</f>
        <v>1840.0</v>
      </c>
      <c r="L236" s="34" t="s">
        <v>117</v>
      </c>
      <c r="M236" s="33" t="n">
        <f>1890</f>
        <v>1890.0</v>
      </c>
      <c r="N236" s="34" t="s">
        <v>226</v>
      </c>
      <c r="O236" s="33" t="n">
        <f>1800.5</f>
        <v>1800.5</v>
      </c>
      <c r="P236" s="34" t="s">
        <v>186</v>
      </c>
      <c r="Q236" s="33" t="n">
        <f>1890</f>
        <v>1890.0</v>
      </c>
      <c r="R236" s="34" t="s">
        <v>226</v>
      </c>
      <c r="S236" s="35" t="n">
        <f>1845.69</f>
        <v>1845.69</v>
      </c>
      <c r="T236" s="32" t="n">
        <f>510</f>
        <v>510.0</v>
      </c>
      <c r="U236" s="32" t="str">
        <f>"－"</f>
        <v>－</v>
      </c>
      <c r="V236" s="32" t="n">
        <f>941740</f>
        <v>941740.0</v>
      </c>
      <c r="W236" s="32" t="str">
        <f>"－"</f>
        <v>－</v>
      </c>
      <c r="X236" s="36" t="n">
        <f>8</f>
        <v>8.0</v>
      </c>
    </row>
    <row r="237">
      <c r="A237" s="27" t="s">
        <v>42</v>
      </c>
      <c r="B237" s="27" t="s">
        <v>767</v>
      </c>
      <c r="C237" s="27" t="s">
        <v>768</v>
      </c>
      <c r="D237" s="27" t="s">
        <v>769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2189</f>
        <v>2189.0</v>
      </c>
      <c r="L237" s="34" t="s">
        <v>48</v>
      </c>
      <c r="M237" s="33" t="n">
        <f>2377.5</f>
        <v>2377.5</v>
      </c>
      <c r="N237" s="34" t="s">
        <v>49</v>
      </c>
      <c r="O237" s="33" t="n">
        <f>2189</f>
        <v>2189.0</v>
      </c>
      <c r="P237" s="34" t="s">
        <v>48</v>
      </c>
      <c r="Q237" s="33" t="n">
        <f>2355.5</f>
        <v>2355.5</v>
      </c>
      <c r="R237" s="34" t="s">
        <v>50</v>
      </c>
      <c r="S237" s="35" t="n">
        <f>2317.67</f>
        <v>2317.67</v>
      </c>
      <c r="T237" s="32" t="n">
        <f>554610</f>
        <v>554610.0</v>
      </c>
      <c r="U237" s="32" t="str">
        <f>"－"</f>
        <v>－</v>
      </c>
      <c r="V237" s="32" t="n">
        <f>1281785300</f>
        <v>1.2817853E9</v>
      </c>
      <c r="W237" s="32" t="str">
        <f>"－"</f>
        <v>－</v>
      </c>
      <c r="X237" s="36" t="n">
        <f>21</f>
        <v>21.0</v>
      </c>
    </row>
    <row r="238">
      <c r="A238" s="27" t="s">
        <v>42</v>
      </c>
      <c r="B238" s="27" t="s">
        <v>770</v>
      </c>
      <c r="C238" s="27" t="s">
        <v>771</v>
      </c>
      <c r="D238" s="27" t="s">
        <v>772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31410</f>
        <v>31410.0</v>
      </c>
      <c r="L238" s="34" t="s">
        <v>48</v>
      </c>
      <c r="M238" s="33" t="n">
        <f>34420</f>
        <v>34420.0</v>
      </c>
      <c r="N238" s="34" t="s">
        <v>60</v>
      </c>
      <c r="O238" s="33" t="n">
        <f>31410</f>
        <v>31410.0</v>
      </c>
      <c r="P238" s="34" t="s">
        <v>48</v>
      </c>
      <c r="Q238" s="33" t="n">
        <f>33840</f>
        <v>33840.0</v>
      </c>
      <c r="R238" s="34" t="s">
        <v>50</v>
      </c>
      <c r="S238" s="35" t="n">
        <f>33332.73</f>
        <v>33332.73</v>
      </c>
      <c r="T238" s="32" t="n">
        <f>103329</f>
        <v>103329.0</v>
      </c>
      <c r="U238" s="32" t="n">
        <f>64800</f>
        <v>64800.0</v>
      </c>
      <c r="V238" s="32" t="n">
        <f>3434454500</f>
        <v>3.4344545E9</v>
      </c>
      <c r="W238" s="32" t="n">
        <f>2142095160</f>
        <v>2.14209516E9</v>
      </c>
      <c r="X238" s="36" t="n">
        <f>22</f>
        <v>22.0</v>
      </c>
    </row>
    <row r="239">
      <c r="A239" s="27" t="s">
        <v>42</v>
      </c>
      <c r="B239" s="27" t="s">
        <v>773</v>
      </c>
      <c r="C239" s="27" t="s">
        <v>774</v>
      </c>
      <c r="D239" s="27" t="s">
        <v>775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20955</f>
        <v>20955.0</v>
      </c>
      <c r="L239" s="34" t="s">
        <v>397</v>
      </c>
      <c r="M239" s="33" t="n">
        <f>21460</f>
        <v>21460.0</v>
      </c>
      <c r="N239" s="34" t="s">
        <v>226</v>
      </c>
      <c r="O239" s="33" t="n">
        <f>20955</f>
        <v>20955.0</v>
      </c>
      <c r="P239" s="34" t="s">
        <v>397</v>
      </c>
      <c r="Q239" s="33" t="n">
        <f>21150</f>
        <v>21150.0</v>
      </c>
      <c r="R239" s="34" t="s">
        <v>50</v>
      </c>
      <c r="S239" s="35" t="n">
        <f>21248.57</f>
        <v>21248.57</v>
      </c>
      <c r="T239" s="32" t="n">
        <f>921</f>
        <v>921.0</v>
      </c>
      <c r="U239" s="32" t="str">
        <f>"－"</f>
        <v>－</v>
      </c>
      <c r="V239" s="32" t="n">
        <f>19586535</f>
        <v>1.9586535E7</v>
      </c>
      <c r="W239" s="32" t="str">
        <f>"－"</f>
        <v>－</v>
      </c>
      <c r="X239" s="36" t="n">
        <f>7</f>
        <v>7.0</v>
      </c>
    </row>
    <row r="240">
      <c r="A240" s="27" t="s">
        <v>42</v>
      </c>
      <c r="B240" s="27" t="s">
        <v>776</v>
      </c>
      <c r="C240" s="27" t="s">
        <v>777</v>
      </c>
      <c r="D240" s="27" t="s">
        <v>778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1130</f>
        <v>1130.0</v>
      </c>
      <c r="L240" s="34" t="s">
        <v>48</v>
      </c>
      <c r="M240" s="33" t="n">
        <f>1141</f>
        <v>1141.0</v>
      </c>
      <c r="N240" s="34" t="s">
        <v>222</v>
      </c>
      <c r="O240" s="33" t="n">
        <f>1122</f>
        <v>1122.0</v>
      </c>
      <c r="P240" s="34" t="s">
        <v>103</v>
      </c>
      <c r="Q240" s="33" t="n">
        <f>1132</f>
        <v>1132.0</v>
      </c>
      <c r="R240" s="34" t="s">
        <v>50</v>
      </c>
      <c r="S240" s="35" t="n">
        <f>1132.46</f>
        <v>1132.46</v>
      </c>
      <c r="T240" s="32" t="n">
        <f>3749800</f>
        <v>3749800.0</v>
      </c>
      <c r="U240" s="32" t="n">
        <f>3670830</f>
        <v>3670830.0</v>
      </c>
      <c r="V240" s="32" t="n">
        <f>4244508142</f>
        <v>4.244508142E9</v>
      </c>
      <c r="W240" s="32" t="n">
        <f>4155093337</f>
        <v>4.155093337E9</v>
      </c>
      <c r="X240" s="36" t="n">
        <f>13</f>
        <v>13.0</v>
      </c>
    </row>
    <row r="241">
      <c r="A241" s="27" t="s">
        <v>42</v>
      </c>
      <c r="B241" s="27" t="s">
        <v>779</v>
      </c>
      <c r="C241" s="27" t="s">
        <v>780</v>
      </c>
      <c r="D241" s="27" t="s">
        <v>781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1113.5</f>
        <v>1113.5</v>
      </c>
      <c r="L241" s="34" t="s">
        <v>48</v>
      </c>
      <c r="M241" s="33" t="n">
        <f>1126</f>
        <v>1126.0</v>
      </c>
      <c r="N241" s="34" t="s">
        <v>186</v>
      </c>
      <c r="O241" s="33" t="n">
        <f>1101</f>
        <v>1101.0</v>
      </c>
      <c r="P241" s="34" t="s">
        <v>103</v>
      </c>
      <c r="Q241" s="33" t="n">
        <f>1111</f>
        <v>1111.0</v>
      </c>
      <c r="R241" s="34" t="s">
        <v>50</v>
      </c>
      <c r="S241" s="35" t="n">
        <f>1114.53</f>
        <v>1114.53</v>
      </c>
      <c r="T241" s="32" t="n">
        <f>7020</f>
        <v>7020.0</v>
      </c>
      <c r="U241" s="32" t="str">
        <f>"－"</f>
        <v>－</v>
      </c>
      <c r="V241" s="32" t="n">
        <f>7836045</f>
        <v>7836045.0</v>
      </c>
      <c r="W241" s="32" t="str">
        <f>"－"</f>
        <v>－</v>
      </c>
      <c r="X241" s="36" t="n">
        <f>20</f>
        <v>20.0</v>
      </c>
    </row>
    <row r="242">
      <c r="A242" s="27" t="s">
        <v>42</v>
      </c>
      <c r="B242" s="27" t="s">
        <v>782</v>
      </c>
      <c r="C242" s="27" t="s">
        <v>783</v>
      </c>
      <c r="D242" s="27" t="s">
        <v>784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1321</f>
        <v>1321.0</v>
      </c>
      <c r="L242" s="34" t="s">
        <v>48</v>
      </c>
      <c r="M242" s="33" t="n">
        <f>1450</f>
        <v>1450.0</v>
      </c>
      <c r="N242" s="34" t="s">
        <v>49</v>
      </c>
      <c r="O242" s="33" t="n">
        <f>1321</f>
        <v>1321.0</v>
      </c>
      <c r="P242" s="34" t="s">
        <v>48</v>
      </c>
      <c r="Q242" s="33" t="n">
        <f>1438</f>
        <v>1438.0</v>
      </c>
      <c r="R242" s="34" t="s">
        <v>50</v>
      </c>
      <c r="S242" s="35" t="n">
        <f>1401.68</f>
        <v>1401.68</v>
      </c>
      <c r="T242" s="32" t="n">
        <f>386906</f>
        <v>386906.0</v>
      </c>
      <c r="U242" s="32" t="n">
        <f>50000</f>
        <v>50000.0</v>
      </c>
      <c r="V242" s="32" t="n">
        <f>543961324</f>
        <v>5.43961324E8</v>
      </c>
      <c r="W242" s="32" t="n">
        <f>68750000</f>
        <v>6.875E7</v>
      </c>
      <c r="X242" s="36" t="n">
        <f>22</f>
        <v>22.0</v>
      </c>
    </row>
    <row r="243">
      <c r="A243" s="27" t="s">
        <v>42</v>
      </c>
      <c r="B243" s="27" t="s">
        <v>785</v>
      </c>
      <c r="C243" s="27" t="s">
        <v>786</v>
      </c>
      <c r="D243" s="27" t="s">
        <v>787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12900</f>
        <v>12900.0</v>
      </c>
      <c r="L243" s="34" t="s">
        <v>48</v>
      </c>
      <c r="M243" s="33" t="n">
        <f>13675</f>
        <v>13675.0</v>
      </c>
      <c r="N243" s="34" t="s">
        <v>60</v>
      </c>
      <c r="O243" s="33" t="n">
        <f>12530</f>
        <v>12530.0</v>
      </c>
      <c r="P243" s="34" t="s">
        <v>48</v>
      </c>
      <c r="Q243" s="33" t="n">
        <f>13050</f>
        <v>13050.0</v>
      </c>
      <c r="R243" s="34" t="s">
        <v>50</v>
      </c>
      <c r="S243" s="35" t="n">
        <f>12950.48</f>
        <v>12950.48</v>
      </c>
      <c r="T243" s="32" t="n">
        <f>726</f>
        <v>726.0</v>
      </c>
      <c r="U243" s="32" t="str">
        <f>"－"</f>
        <v>－</v>
      </c>
      <c r="V243" s="32" t="n">
        <f>9404895</f>
        <v>9404895.0</v>
      </c>
      <c r="W243" s="32" t="str">
        <f>"－"</f>
        <v>－</v>
      </c>
      <c r="X243" s="36" t="n">
        <f>21</f>
        <v>21.0</v>
      </c>
    </row>
    <row r="244">
      <c r="A244" s="27" t="s">
        <v>42</v>
      </c>
      <c r="B244" s="27" t="s">
        <v>788</v>
      </c>
      <c r="C244" s="27" t="s">
        <v>789</v>
      </c>
      <c r="D244" s="27" t="s">
        <v>790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2012</f>
        <v>2012.0</v>
      </c>
      <c r="L244" s="34" t="s">
        <v>48</v>
      </c>
      <c r="M244" s="33" t="n">
        <f>2012</f>
        <v>2012.0</v>
      </c>
      <c r="N244" s="34" t="s">
        <v>48</v>
      </c>
      <c r="O244" s="33" t="n">
        <f>1964</f>
        <v>1964.0</v>
      </c>
      <c r="P244" s="34" t="s">
        <v>103</v>
      </c>
      <c r="Q244" s="33" t="n">
        <f>1996</f>
        <v>1996.0</v>
      </c>
      <c r="R244" s="34" t="s">
        <v>50</v>
      </c>
      <c r="S244" s="35" t="n">
        <f>1991.05</f>
        <v>1991.05</v>
      </c>
      <c r="T244" s="32" t="n">
        <f>82538</f>
        <v>82538.0</v>
      </c>
      <c r="U244" s="32" t="n">
        <f>4</f>
        <v>4.0</v>
      </c>
      <c r="V244" s="32" t="n">
        <f>164203224</f>
        <v>1.64203224E8</v>
      </c>
      <c r="W244" s="32" t="n">
        <f>7396</f>
        <v>7396.0</v>
      </c>
      <c r="X244" s="36" t="n">
        <f>22</f>
        <v>22.0</v>
      </c>
    </row>
    <row r="245">
      <c r="A245" s="27" t="s">
        <v>42</v>
      </c>
      <c r="B245" s="27" t="s">
        <v>791</v>
      </c>
      <c r="C245" s="27" t="s">
        <v>792</v>
      </c>
      <c r="D245" s="27" t="s">
        <v>793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1635</f>
        <v>1635.0</v>
      </c>
      <c r="L245" s="34" t="s">
        <v>117</v>
      </c>
      <c r="M245" s="33" t="n">
        <f>1668</f>
        <v>1668.0</v>
      </c>
      <c r="N245" s="34" t="s">
        <v>65</v>
      </c>
      <c r="O245" s="33" t="n">
        <f>1575</f>
        <v>1575.0</v>
      </c>
      <c r="P245" s="34" t="s">
        <v>314</v>
      </c>
      <c r="Q245" s="33" t="n">
        <f>1600</f>
        <v>1600.0</v>
      </c>
      <c r="R245" s="34" t="s">
        <v>102</v>
      </c>
      <c r="S245" s="35" t="n">
        <f>1613.67</f>
        <v>1613.67</v>
      </c>
      <c r="T245" s="32" t="n">
        <f>2750</f>
        <v>2750.0</v>
      </c>
      <c r="U245" s="32" t="str">
        <f>"－"</f>
        <v>－</v>
      </c>
      <c r="V245" s="32" t="n">
        <f>4375740</f>
        <v>4375740.0</v>
      </c>
      <c r="W245" s="32" t="str">
        <f>"－"</f>
        <v>－</v>
      </c>
      <c r="X245" s="36" t="n">
        <f>12</f>
        <v>12.0</v>
      </c>
    </row>
    <row r="246">
      <c r="A246" s="27" t="s">
        <v>42</v>
      </c>
      <c r="B246" s="27" t="s">
        <v>794</v>
      </c>
      <c r="C246" s="27" t="s">
        <v>795</v>
      </c>
      <c r="D246" s="27" t="s">
        <v>796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840.4</f>
        <v>840.4</v>
      </c>
      <c r="L246" s="34" t="s">
        <v>48</v>
      </c>
      <c r="M246" s="33" t="n">
        <f>858</f>
        <v>858.0</v>
      </c>
      <c r="N246" s="34" t="s">
        <v>60</v>
      </c>
      <c r="O246" s="33" t="n">
        <f>825</f>
        <v>825.0</v>
      </c>
      <c r="P246" s="34" t="s">
        <v>116</v>
      </c>
      <c r="Q246" s="33" t="n">
        <f>826.1</f>
        <v>826.1</v>
      </c>
      <c r="R246" s="34" t="s">
        <v>50</v>
      </c>
      <c r="S246" s="35" t="n">
        <f>830.23</f>
        <v>830.23</v>
      </c>
      <c r="T246" s="32" t="n">
        <f>1692550</f>
        <v>1692550.0</v>
      </c>
      <c r="U246" s="32" t="n">
        <f>726330</f>
        <v>726330.0</v>
      </c>
      <c r="V246" s="32" t="n">
        <f>1402535764</f>
        <v>1.402535764E9</v>
      </c>
      <c r="W246" s="32" t="n">
        <f>599658048</f>
        <v>5.99658048E8</v>
      </c>
      <c r="X246" s="36" t="n">
        <f>22</f>
        <v>22.0</v>
      </c>
    </row>
    <row r="247">
      <c r="A247" s="27" t="s">
        <v>42</v>
      </c>
      <c r="B247" s="27" t="s">
        <v>797</v>
      </c>
      <c r="C247" s="27" t="s">
        <v>798</v>
      </c>
      <c r="D247" s="27" t="s">
        <v>799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1915.5</f>
        <v>1915.5</v>
      </c>
      <c r="L247" s="34" t="s">
        <v>48</v>
      </c>
      <c r="M247" s="33" t="n">
        <f>1927.5</f>
        <v>1927.5</v>
      </c>
      <c r="N247" s="34" t="s">
        <v>102</v>
      </c>
      <c r="O247" s="33" t="n">
        <f>1887</f>
        <v>1887.0</v>
      </c>
      <c r="P247" s="34" t="s">
        <v>103</v>
      </c>
      <c r="Q247" s="33" t="n">
        <f>1918</f>
        <v>1918.0</v>
      </c>
      <c r="R247" s="34" t="s">
        <v>50</v>
      </c>
      <c r="S247" s="35" t="n">
        <f>1910.57</f>
        <v>1910.57</v>
      </c>
      <c r="T247" s="32" t="n">
        <f>8110</f>
        <v>8110.0</v>
      </c>
      <c r="U247" s="32" t="str">
        <f>"－"</f>
        <v>－</v>
      </c>
      <c r="V247" s="32" t="n">
        <f>15487405</f>
        <v>1.5487405E7</v>
      </c>
      <c r="W247" s="32" t="str">
        <f>"－"</f>
        <v>－</v>
      </c>
      <c r="X247" s="36" t="n">
        <f>22</f>
        <v>22.0</v>
      </c>
    </row>
    <row r="248">
      <c r="A248" s="27" t="s">
        <v>42</v>
      </c>
      <c r="B248" s="27" t="s">
        <v>800</v>
      </c>
      <c r="C248" s="27" t="s">
        <v>801</v>
      </c>
      <c r="D248" s="27" t="s">
        <v>802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1919.5</f>
        <v>1919.5</v>
      </c>
      <c r="L248" s="34" t="s">
        <v>48</v>
      </c>
      <c r="M248" s="33" t="n">
        <f>1934</f>
        <v>1934.0</v>
      </c>
      <c r="N248" s="34" t="s">
        <v>117</v>
      </c>
      <c r="O248" s="33" t="n">
        <f>1881.5</f>
        <v>1881.5</v>
      </c>
      <c r="P248" s="34" t="s">
        <v>103</v>
      </c>
      <c r="Q248" s="33" t="n">
        <f>1913.5</f>
        <v>1913.5</v>
      </c>
      <c r="R248" s="34" t="s">
        <v>50</v>
      </c>
      <c r="S248" s="35" t="n">
        <f>1905.84</f>
        <v>1905.84</v>
      </c>
      <c r="T248" s="32" t="n">
        <f>11079400</f>
        <v>1.10794E7</v>
      </c>
      <c r="U248" s="32" t="n">
        <f>4133300</f>
        <v>4133300.0</v>
      </c>
      <c r="V248" s="32" t="n">
        <f>21126438095</f>
        <v>2.1126438095E10</v>
      </c>
      <c r="W248" s="32" t="n">
        <f>7863474335</f>
        <v>7.863474335E9</v>
      </c>
      <c r="X248" s="36" t="n">
        <f>22</f>
        <v>22.0</v>
      </c>
    </row>
    <row r="249">
      <c r="A249" s="27" t="s">
        <v>42</v>
      </c>
      <c r="B249" s="27" t="s">
        <v>803</v>
      </c>
      <c r="C249" s="27" t="s">
        <v>804</v>
      </c>
      <c r="D249" s="27" t="s">
        <v>805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2155</f>
        <v>2155.0</v>
      </c>
      <c r="L249" s="34" t="s">
        <v>48</v>
      </c>
      <c r="M249" s="33" t="n">
        <f>2332.5</f>
        <v>2332.5</v>
      </c>
      <c r="N249" s="34" t="s">
        <v>49</v>
      </c>
      <c r="O249" s="33" t="n">
        <f>2153</f>
        <v>2153.0</v>
      </c>
      <c r="P249" s="34" t="s">
        <v>48</v>
      </c>
      <c r="Q249" s="33" t="n">
        <f>2312.5</f>
        <v>2312.5</v>
      </c>
      <c r="R249" s="34" t="s">
        <v>50</v>
      </c>
      <c r="S249" s="35" t="n">
        <f>2274.48</f>
        <v>2274.48</v>
      </c>
      <c r="T249" s="32" t="n">
        <f>995380</f>
        <v>995380.0</v>
      </c>
      <c r="U249" s="32" t="n">
        <f>100000</f>
        <v>100000.0</v>
      </c>
      <c r="V249" s="32" t="n">
        <f>2238763860</f>
        <v>2.23876386E9</v>
      </c>
      <c r="W249" s="32" t="n">
        <f>221345000</f>
        <v>2.21345E8</v>
      </c>
      <c r="X249" s="36" t="n">
        <f>22</f>
        <v>22.0</v>
      </c>
    </row>
    <row r="250">
      <c r="A250" s="27" t="s">
        <v>42</v>
      </c>
      <c r="B250" s="27" t="s">
        <v>806</v>
      </c>
      <c r="C250" s="27" t="s">
        <v>807</v>
      </c>
      <c r="D250" s="27" t="s">
        <v>808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16830</f>
        <v>16830.0</v>
      </c>
      <c r="L250" s="34" t="s">
        <v>48</v>
      </c>
      <c r="M250" s="33" t="n">
        <f>18325</f>
        <v>18325.0</v>
      </c>
      <c r="N250" s="34" t="s">
        <v>50</v>
      </c>
      <c r="O250" s="33" t="n">
        <f>16815</f>
        <v>16815.0</v>
      </c>
      <c r="P250" s="34" t="s">
        <v>48</v>
      </c>
      <c r="Q250" s="33" t="n">
        <f>18285</f>
        <v>18285.0</v>
      </c>
      <c r="R250" s="34" t="s">
        <v>50</v>
      </c>
      <c r="S250" s="35" t="n">
        <f>17601.14</f>
        <v>17601.14</v>
      </c>
      <c r="T250" s="32" t="n">
        <f>986628</f>
        <v>986628.0</v>
      </c>
      <c r="U250" s="32" t="n">
        <f>223099</f>
        <v>223099.0</v>
      </c>
      <c r="V250" s="32" t="n">
        <f>17424793112</f>
        <v>1.7424793112E10</v>
      </c>
      <c r="W250" s="32" t="n">
        <f>4001956997</f>
        <v>4.001956997E9</v>
      </c>
      <c r="X250" s="36" t="n">
        <f>22</f>
        <v>22.0</v>
      </c>
    </row>
    <row r="251">
      <c r="A251" s="27" t="s">
        <v>42</v>
      </c>
      <c r="B251" s="27" t="s">
        <v>809</v>
      </c>
      <c r="C251" s="27" t="s">
        <v>810</v>
      </c>
      <c r="D251" s="27" t="s">
        <v>811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14995</f>
        <v>14995.0</v>
      </c>
      <c r="L251" s="34" t="s">
        <v>48</v>
      </c>
      <c r="M251" s="33" t="n">
        <f>16160</f>
        <v>16160.0</v>
      </c>
      <c r="N251" s="34" t="s">
        <v>50</v>
      </c>
      <c r="O251" s="33" t="n">
        <f>14935</f>
        <v>14935.0</v>
      </c>
      <c r="P251" s="34" t="s">
        <v>48</v>
      </c>
      <c r="Q251" s="33" t="n">
        <f>16145</f>
        <v>16145.0</v>
      </c>
      <c r="R251" s="34" t="s">
        <v>50</v>
      </c>
      <c r="S251" s="35" t="n">
        <f>15653.64</f>
        <v>15653.64</v>
      </c>
      <c r="T251" s="32" t="n">
        <f>245111</f>
        <v>245111.0</v>
      </c>
      <c r="U251" s="32" t="n">
        <f>129</f>
        <v>129.0</v>
      </c>
      <c r="V251" s="32" t="n">
        <f>3835434223</f>
        <v>3.835434223E9</v>
      </c>
      <c r="W251" s="32" t="n">
        <f>2018733</f>
        <v>2018733.0</v>
      </c>
      <c r="X251" s="36" t="n">
        <f>22</f>
        <v>22.0</v>
      </c>
    </row>
    <row r="252">
      <c r="A252" s="27" t="s">
        <v>42</v>
      </c>
      <c r="B252" s="27" t="s">
        <v>812</v>
      </c>
      <c r="C252" s="27" t="s">
        <v>813</v>
      </c>
      <c r="D252" s="27" t="s">
        <v>814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29495</f>
        <v>29495.0</v>
      </c>
      <c r="L252" s="34" t="s">
        <v>61</v>
      </c>
      <c r="M252" s="33" t="n">
        <f>30770</f>
        <v>30770.0</v>
      </c>
      <c r="N252" s="34" t="s">
        <v>70</v>
      </c>
      <c r="O252" s="33" t="n">
        <f>29110</f>
        <v>29110.0</v>
      </c>
      <c r="P252" s="34" t="s">
        <v>208</v>
      </c>
      <c r="Q252" s="33" t="n">
        <f>30360</f>
        <v>30360.0</v>
      </c>
      <c r="R252" s="34" t="s">
        <v>50</v>
      </c>
      <c r="S252" s="35" t="n">
        <f>30134.64</f>
        <v>30134.64</v>
      </c>
      <c r="T252" s="32" t="n">
        <f>242</f>
        <v>242.0</v>
      </c>
      <c r="U252" s="32" t="str">
        <f>"－"</f>
        <v>－</v>
      </c>
      <c r="V252" s="32" t="n">
        <f>7353645</f>
        <v>7353645.0</v>
      </c>
      <c r="W252" s="32" t="str">
        <f>"－"</f>
        <v>－</v>
      </c>
      <c r="X252" s="36" t="n">
        <f>14</f>
        <v>14.0</v>
      </c>
    </row>
    <row r="253">
      <c r="A253" s="27" t="s">
        <v>42</v>
      </c>
      <c r="B253" s="27" t="s">
        <v>815</v>
      </c>
      <c r="C253" s="27" t="s">
        <v>816</v>
      </c>
      <c r="D253" s="27" t="s">
        <v>817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2547</f>
        <v>2547.0</v>
      </c>
      <c r="L253" s="34" t="s">
        <v>48</v>
      </c>
      <c r="M253" s="33" t="n">
        <f>2596</f>
        <v>2596.0</v>
      </c>
      <c r="N253" s="34" t="s">
        <v>103</v>
      </c>
      <c r="O253" s="33" t="n">
        <f>2540</f>
        <v>2540.0</v>
      </c>
      <c r="P253" s="34" t="s">
        <v>186</v>
      </c>
      <c r="Q253" s="33" t="n">
        <f>2568</f>
        <v>2568.0</v>
      </c>
      <c r="R253" s="34" t="s">
        <v>50</v>
      </c>
      <c r="S253" s="35" t="n">
        <f>2561.5</f>
        <v>2561.5</v>
      </c>
      <c r="T253" s="32" t="n">
        <f>428461</f>
        <v>428461.0</v>
      </c>
      <c r="U253" s="32" t="n">
        <f>326616</f>
        <v>326616.0</v>
      </c>
      <c r="V253" s="32" t="n">
        <f>1097249508</f>
        <v>1.097249508E9</v>
      </c>
      <c r="W253" s="32" t="n">
        <f>835746009</f>
        <v>8.35746009E8</v>
      </c>
      <c r="X253" s="36" t="n">
        <f>22</f>
        <v>22.0</v>
      </c>
    </row>
    <row r="254">
      <c r="A254" s="27" t="s">
        <v>42</v>
      </c>
      <c r="B254" s="27" t="s">
        <v>818</v>
      </c>
      <c r="C254" s="27" t="s">
        <v>819</v>
      </c>
      <c r="D254" s="27" t="s">
        <v>820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2701</f>
        <v>2701.0</v>
      </c>
      <c r="L254" s="34" t="s">
        <v>48</v>
      </c>
      <c r="M254" s="33" t="n">
        <f>2825</f>
        <v>2825.0</v>
      </c>
      <c r="N254" s="34" t="s">
        <v>65</v>
      </c>
      <c r="O254" s="33" t="n">
        <f>2698.5</f>
        <v>2698.5</v>
      </c>
      <c r="P254" s="34" t="s">
        <v>48</v>
      </c>
      <c r="Q254" s="33" t="n">
        <f>2794</f>
        <v>2794.0</v>
      </c>
      <c r="R254" s="34" t="s">
        <v>50</v>
      </c>
      <c r="S254" s="35" t="n">
        <f>2776.14</f>
        <v>2776.14</v>
      </c>
      <c r="T254" s="32" t="n">
        <f>934650</f>
        <v>934650.0</v>
      </c>
      <c r="U254" s="32" t="n">
        <f>138800</f>
        <v>138800.0</v>
      </c>
      <c r="V254" s="32" t="n">
        <f>2589988285</f>
        <v>2.589988285E9</v>
      </c>
      <c r="W254" s="32" t="n">
        <f>386328640</f>
        <v>3.8632864E8</v>
      </c>
      <c r="X254" s="36" t="n">
        <f>22</f>
        <v>22.0</v>
      </c>
    </row>
    <row r="255">
      <c r="A255" s="27" t="s">
        <v>42</v>
      </c>
      <c r="B255" s="27" t="s">
        <v>821</v>
      </c>
      <c r="C255" s="27" t="s">
        <v>822</v>
      </c>
      <c r="D255" s="27" t="s">
        <v>823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258.2</f>
        <v>258.2</v>
      </c>
      <c r="L255" s="34" t="s">
        <v>48</v>
      </c>
      <c r="M255" s="33" t="n">
        <f>272.6</f>
        <v>272.6</v>
      </c>
      <c r="N255" s="34" t="s">
        <v>65</v>
      </c>
      <c r="O255" s="33" t="n">
        <f>257.5</f>
        <v>257.5</v>
      </c>
      <c r="P255" s="34" t="s">
        <v>48</v>
      </c>
      <c r="Q255" s="33" t="n">
        <f>271.1</f>
        <v>271.1</v>
      </c>
      <c r="R255" s="34" t="s">
        <v>50</v>
      </c>
      <c r="S255" s="35" t="n">
        <f>267.11</f>
        <v>267.11</v>
      </c>
      <c r="T255" s="32" t="n">
        <f>101692790</f>
        <v>1.0169279E8</v>
      </c>
      <c r="U255" s="32" t="n">
        <f>80072790</f>
        <v>8.007279E7</v>
      </c>
      <c r="V255" s="32" t="n">
        <f>27110570993</f>
        <v>2.7110570993E10</v>
      </c>
      <c r="W255" s="32" t="n">
        <f>21336131006</f>
        <v>2.1336131006E10</v>
      </c>
      <c r="X255" s="36" t="n">
        <f>22</f>
        <v>22.0</v>
      </c>
    </row>
    <row r="256">
      <c r="A256" s="27" t="s">
        <v>42</v>
      </c>
      <c r="B256" s="27" t="s">
        <v>824</v>
      </c>
      <c r="C256" s="27" t="s">
        <v>825</v>
      </c>
      <c r="D256" s="27" t="s">
        <v>826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2154</f>
        <v>2154.0</v>
      </c>
      <c r="L256" s="34" t="s">
        <v>48</v>
      </c>
      <c r="M256" s="33" t="n">
        <f>2291</f>
        <v>2291.0</v>
      </c>
      <c r="N256" s="34" t="s">
        <v>49</v>
      </c>
      <c r="O256" s="33" t="n">
        <f>2150</f>
        <v>2150.0</v>
      </c>
      <c r="P256" s="34" t="s">
        <v>48</v>
      </c>
      <c r="Q256" s="33" t="n">
        <f>2286</f>
        <v>2286.0</v>
      </c>
      <c r="R256" s="34" t="s">
        <v>50</v>
      </c>
      <c r="S256" s="35" t="n">
        <f>2229.68</f>
        <v>2229.68</v>
      </c>
      <c r="T256" s="32" t="n">
        <f>2496730</f>
        <v>2496730.0</v>
      </c>
      <c r="U256" s="32" t="n">
        <f>443958</f>
        <v>443958.0</v>
      </c>
      <c r="V256" s="32" t="n">
        <f>5569878286</f>
        <v>5.569878286E9</v>
      </c>
      <c r="W256" s="32" t="n">
        <f>993297215</f>
        <v>9.93297215E8</v>
      </c>
      <c r="X256" s="36" t="n">
        <f>22</f>
        <v>22.0</v>
      </c>
    </row>
    <row r="257">
      <c r="A257" s="27" t="s">
        <v>42</v>
      </c>
      <c r="B257" s="27" t="s">
        <v>827</v>
      </c>
      <c r="C257" s="27" t="s">
        <v>828</v>
      </c>
      <c r="D257" s="27" t="s">
        <v>829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1013</f>
        <v>1013.0</v>
      </c>
      <c r="L257" s="34" t="s">
        <v>48</v>
      </c>
      <c r="M257" s="33" t="n">
        <f>1030</f>
        <v>1030.0</v>
      </c>
      <c r="N257" s="34" t="s">
        <v>80</v>
      </c>
      <c r="O257" s="33" t="n">
        <f>963</f>
        <v>963.0</v>
      </c>
      <c r="P257" s="34" t="s">
        <v>50</v>
      </c>
      <c r="Q257" s="33" t="n">
        <f>976</f>
        <v>976.0</v>
      </c>
      <c r="R257" s="34" t="s">
        <v>50</v>
      </c>
      <c r="S257" s="35" t="n">
        <f>1001.23</f>
        <v>1001.23</v>
      </c>
      <c r="T257" s="32" t="n">
        <f>988390</f>
        <v>988390.0</v>
      </c>
      <c r="U257" s="32" t="n">
        <f>580000</f>
        <v>580000.0</v>
      </c>
      <c r="V257" s="32" t="n">
        <f>983569196</f>
        <v>9.83569196E8</v>
      </c>
      <c r="W257" s="32" t="n">
        <f>580419200</f>
        <v>5.804192E8</v>
      </c>
      <c r="X257" s="36" t="n">
        <f>22</f>
        <v>22.0</v>
      </c>
    </row>
    <row r="258">
      <c r="A258" s="27" t="s">
        <v>42</v>
      </c>
      <c r="B258" s="27" t="s">
        <v>830</v>
      </c>
      <c r="C258" s="27" t="s">
        <v>831</v>
      </c>
      <c r="D258" s="27" t="s">
        <v>832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1045.5</f>
        <v>1045.5</v>
      </c>
      <c r="L258" s="34" t="s">
        <v>48</v>
      </c>
      <c r="M258" s="33" t="n">
        <f>1059</f>
        <v>1059.0</v>
      </c>
      <c r="N258" s="34" t="s">
        <v>80</v>
      </c>
      <c r="O258" s="33" t="n">
        <f>1035</f>
        <v>1035.0</v>
      </c>
      <c r="P258" s="34" t="s">
        <v>103</v>
      </c>
      <c r="Q258" s="33" t="n">
        <f>1050</f>
        <v>1050.0</v>
      </c>
      <c r="R258" s="34" t="s">
        <v>50</v>
      </c>
      <c r="S258" s="35" t="n">
        <f>1047.89</f>
        <v>1047.89</v>
      </c>
      <c r="T258" s="32" t="n">
        <f>83990</f>
        <v>83990.0</v>
      </c>
      <c r="U258" s="32" t="str">
        <f>"－"</f>
        <v>－</v>
      </c>
      <c r="V258" s="32" t="n">
        <f>88195040</f>
        <v>8.819504E7</v>
      </c>
      <c r="W258" s="32" t="str">
        <f>"－"</f>
        <v>－</v>
      </c>
      <c r="X258" s="36" t="n">
        <f>22</f>
        <v>22.0</v>
      </c>
    </row>
    <row r="259">
      <c r="A259" s="27" t="s">
        <v>42</v>
      </c>
      <c r="B259" s="27" t="s">
        <v>833</v>
      </c>
      <c r="C259" s="27" t="s">
        <v>834</v>
      </c>
      <c r="D259" s="27" t="s">
        <v>835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262.5</f>
        <v>262.5</v>
      </c>
      <c r="L259" s="34" t="s">
        <v>48</v>
      </c>
      <c r="M259" s="33" t="n">
        <f>284</f>
        <v>284.0</v>
      </c>
      <c r="N259" s="34" t="s">
        <v>50</v>
      </c>
      <c r="O259" s="33" t="n">
        <f>262.1</f>
        <v>262.1</v>
      </c>
      <c r="P259" s="34" t="s">
        <v>48</v>
      </c>
      <c r="Q259" s="33" t="n">
        <f>283.3</f>
        <v>283.3</v>
      </c>
      <c r="R259" s="34" t="s">
        <v>50</v>
      </c>
      <c r="S259" s="35" t="n">
        <f>274.2</f>
        <v>274.2</v>
      </c>
      <c r="T259" s="32" t="n">
        <f>16380</f>
        <v>16380.0</v>
      </c>
      <c r="U259" s="32" t="str">
        <f>"－"</f>
        <v>－</v>
      </c>
      <c r="V259" s="32" t="n">
        <f>4482724</f>
        <v>4482724.0</v>
      </c>
      <c r="W259" s="32" t="str">
        <f>"－"</f>
        <v>－</v>
      </c>
      <c r="X259" s="36" t="n">
        <f>22</f>
        <v>22.0</v>
      </c>
    </row>
    <row r="260">
      <c r="A260" s="27" t="s">
        <v>42</v>
      </c>
      <c r="B260" s="27" t="s">
        <v>836</v>
      </c>
      <c r="C260" s="27" t="s">
        <v>837</v>
      </c>
      <c r="D260" s="27" t="s">
        <v>838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3417</f>
        <v>3417.0</v>
      </c>
      <c r="L260" s="34" t="s">
        <v>48</v>
      </c>
      <c r="M260" s="33" t="n">
        <f>3736</f>
        <v>3736.0</v>
      </c>
      <c r="N260" s="34" t="s">
        <v>50</v>
      </c>
      <c r="O260" s="33" t="n">
        <f>3411</f>
        <v>3411.0</v>
      </c>
      <c r="P260" s="34" t="s">
        <v>48</v>
      </c>
      <c r="Q260" s="33" t="n">
        <f>3731</f>
        <v>3731.0</v>
      </c>
      <c r="R260" s="34" t="s">
        <v>50</v>
      </c>
      <c r="S260" s="35" t="n">
        <f>3593.73</f>
        <v>3593.73</v>
      </c>
      <c r="T260" s="32" t="n">
        <f>2530210</f>
        <v>2530210.0</v>
      </c>
      <c r="U260" s="32" t="n">
        <f>8000</f>
        <v>8000.0</v>
      </c>
      <c r="V260" s="32" t="n">
        <f>9181890050</f>
        <v>9.18189005E9</v>
      </c>
      <c r="W260" s="32" t="n">
        <f>29832000</f>
        <v>2.9832E7</v>
      </c>
      <c r="X260" s="36" t="n">
        <f>22</f>
        <v>22.0</v>
      </c>
    </row>
    <row r="261">
      <c r="A261" s="27" t="s">
        <v>42</v>
      </c>
      <c r="B261" s="27" t="s">
        <v>839</v>
      </c>
      <c r="C261" s="27" t="s">
        <v>840</v>
      </c>
      <c r="D261" s="27" t="s">
        <v>841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10.0</v>
      </c>
      <c r="K261" s="33" t="n">
        <f>2416</f>
        <v>2416.0</v>
      </c>
      <c r="L261" s="34" t="s">
        <v>48</v>
      </c>
      <c r="M261" s="33" t="n">
        <f>2564</f>
        <v>2564.0</v>
      </c>
      <c r="N261" s="34" t="s">
        <v>65</v>
      </c>
      <c r="O261" s="33" t="n">
        <f>2404</f>
        <v>2404.0</v>
      </c>
      <c r="P261" s="34" t="s">
        <v>48</v>
      </c>
      <c r="Q261" s="33" t="n">
        <f>2527</f>
        <v>2527.0</v>
      </c>
      <c r="R261" s="34" t="s">
        <v>50</v>
      </c>
      <c r="S261" s="35" t="n">
        <f>2496.36</f>
        <v>2496.36</v>
      </c>
      <c r="T261" s="32" t="n">
        <f>3185920</f>
        <v>3185920.0</v>
      </c>
      <c r="U261" s="32" t="n">
        <f>1642710</f>
        <v>1642710.0</v>
      </c>
      <c r="V261" s="32" t="n">
        <f>7965654948</f>
        <v>7.965654948E9</v>
      </c>
      <c r="W261" s="32" t="n">
        <f>4106381688</f>
        <v>4.106381688E9</v>
      </c>
      <c r="X261" s="36" t="n">
        <f>22</f>
        <v>22.0</v>
      </c>
    </row>
    <row r="262">
      <c r="A262" s="27" t="s">
        <v>42</v>
      </c>
      <c r="B262" s="27" t="s">
        <v>842</v>
      </c>
      <c r="C262" s="27" t="s">
        <v>843</v>
      </c>
      <c r="D262" s="27" t="s">
        <v>844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310.5</f>
        <v>310.5</v>
      </c>
      <c r="L262" s="34" t="s">
        <v>48</v>
      </c>
      <c r="M262" s="33" t="n">
        <f>323</f>
        <v>323.0</v>
      </c>
      <c r="N262" s="34" t="s">
        <v>50</v>
      </c>
      <c r="O262" s="33" t="n">
        <f>310.1</f>
        <v>310.1</v>
      </c>
      <c r="P262" s="34" t="s">
        <v>80</v>
      </c>
      <c r="Q262" s="33" t="n">
        <f>322.1</f>
        <v>322.1</v>
      </c>
      <c r="R262" s="34" t="s">
        <v>50</v>
      </c>
      <c r="S262" s="35" t="n">
        <f>315.37</f>
        <v>315.37</v>
      </c>
      <c r="T262" s="32" t="n">
        <f>21399240</f>
        <v>2.139924E7</v>
      </c>
      <c r="U262" s="32" t="n">
        <f>17300660</f>
        <v>1.730066E7</v>
      </c>
      <c r="V262" s="32" t="n">
        <f>6726250199</f>
        <v>6.726250199E9</v>
      </c>
      <c r="W262" s="32" t="n">
        <f>5425095978</f>
        <v>5.425095978E9</v>
      </c>
      <c r="X262" s="36" t="n">
        <f>22</f>
        <v>22.0</v>
      </c>
    </row>
    <row r="263">
      <c r="A263" s="27" t="s">
        <v>42</v>
      </c>
      <c r="B263" s="27" t="s">
        <v>845</v>
      </c>
      <c r="C263" s="27" t="s">
        <v>846</v>
      </c>
      <c r="D263" s="27" t="s">
        <v>847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1458</f>
        <v>1458.0</v>
      </c>
      <c r="L263" s="34" t="s">
        <v>48</v>
      </c>
      <c r="M263" s="33" t="n">
        <f>1469</f>
        <v>1469.0</v>
      </c>
      <c r="N263" s="34" t="s">
        <v>226</v>
      </c>
      <c r="O263" s="33" t="n">
        <f>1432</f>
        <v>1432.0</v>
      </c>
      <c r="P263" s="34" t="s">
        <v>208</v>
      </c>
      <c r="Q263" s="33" t="n">
        <f>1444</f>
        <v>1444.0</v>
      </c>
      <c r="R263" s="34" t="s">
        <v>50</v>
      </c>
      <c r="S263" s="35" t="n">
        <f>1452.73</f>
        <v>1452.73</v>
      </c>
      <c r="T263" s="32" t="n">
        <f>14417867</f>
        <v>1.4417867E7</v>
      </c>
      <c r="U263" s="32" t="n">
        <f>1095445</f>
        <v>1095445.0</v>
      </c>
      <c r="V263" s="32" t="n">
        <f>20931811685</f>
        <v>2.0931811685E10</v>
      </c>
      <c r="W263" s="32" t="n">
        <f>1591563876</f>
        <v>1.591563876E9</v>
      </c>
      <c r="X263" s="36" t="n">
        <f>22</f>
        <v>22.0</v>
      </c>
    </row>
    <row r="264">
      <c r="A264" s="27" t="s">
        <v>42</v>
      </c>
      <c r="B264" s="27" t="s">
        <v>848</v>
      </c>
      <c r="C264" s="27" t="s">
        <v>849</v>
      </c>
      <c r="D264" s="27" t="s">
        <v>850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1795</f>
        <v>1795.0</v>
      </c>
      <c r="L264" s="34" t="s">
        <v>48</v>
      </c>
      <c r="M264" s="33" t="n">
        <f>1842</f>
        <v>1842.0</v>
      </c>
      <c r="N264" s="34" t="s">
        <v>102</v>
      </c>
      <c r="O264" s="33" t="n">
        <f>1790</f>
        <v>1790.0</v>
      </c>
      <c r="P264" s="34" t="s">
        <v>186</v>
      </c>
      <c r="Q264" s="33" t="n">
        <f>1817</f>
        <v>1817.0</v>
      </c>
      <c r="R264" s="34" t="s">
        <v>50</v>
      </c>
      <c r="S264" s="35" t="n">
        <f>1810.86</f>
        <v>1810.86</v>
      </c>
      <c r="T264" s="32" t="n">
        <f>34127</f>
        <v>34127.0</v>
      </c>
      <c r="U264" s="32" t="n">
        <f>10000</f>
        <v>10000.0</v>
      </c>
      <c r="V264" s="32" t="n">
        <f>61957681</f>
        <v>6.1957681E7</v>
      </c>
      <c r="W264" s="32" t="n">
        <f>18185500</f>
        <v>1.81855E7</v>
      </c>
      <c r="X264" s="36" t="n">
        <f>22</f>
        <v>22.0</v>
      </c>
    </row>
    <row r="265">
      <c r="A265" s="27" t="s">
        <v>42</v>
      </c>
      <c r="B265" s="27" t="s">
        <v>851</v>
      </c>
      <c r="C265" s="27" t="s">
        <v>852</v>
      </c>
      <c r="D265" s="27" t="s">
        <v>853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2098</f>
        <v>2098.0</v>
      </c>
      <c r="L265" s="34" t="s">
        <v>48</v>
      </c>
      <c r="M265" s="33" t="n">
        <f>2132</f>
        <v>2132.0</v>
      </c>
      <c r="N265" s="34" t="s">
        <v>116</v>
      </c>
      <c r="O265" s="33" t="n">
        <f>2077</f>
        <v>2077.0</v>
      </c>
      <c r="P265" s="34" t="s">
        <v>50</v>
      </c>
      <c r="Q265" s="33" t="n">
        <f>2078</f>
        <v>2078.0</v>
      </c>
      <c r="R265" s="34" t="s">
        <v>50</v>
      </c>
      <c r="S265" s="35" t="n">
        <f>2091.5</f>
        <v>2091.5</v>
      </c>
      <c r="T265" s="32" t="n">
        <f>84531</f>
        <v>84531.0</v>
      </c>
      <c r="U265" s="32" t="n">
        <f>82000</f>
        <v>82000.0</v>
      </c>
      <c r="V265" s="32" t="n">
        <f>177286720</f>
        <v>1.7728672E8</v>
      </c>
      <c r="W265" s="32" t="n">
        <f>171995000</f>
        <v>1.71995E8</v>
      </c>
      <c r="X265" s="36" t="n">
        <f>22</f>
        <v>22.0</v>
      </c>
    </row>
    <row r="266">
      <c r="A266" s="27" t="s">
        <v>42</v>
      </c>
      <c r="B266" s="27" t="s">
        <v>854</v>
      </c>
      <c r="C266" s="27" t="s">
        <v>855</v>
      </c>
      <c r="D266" s="27" t="s">
        <v>856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3095</f>
        <v>3095.0</v>
      </c>
      <c r="L266" s="34" t="s">
        <v>48</v>
      </c>
      <c r="M266" s="33" t="n">
        <f>3390</f>
        <v>3390.0</v>
      </c>
      <c r="N266" s="34" t="s">
        <v>65</v>
      </c>
      <c r="O266" s="33" t="n">
        <f>3095</f>
        <v>3095.0</v>
      </c>
      <c r="P266" s="34" t="s">
        <v>48</v>
      </c>
      <c r="Q266" s="33" t="n">
        <f>3335</f>
        <v>3335.0</v>
      </c>
      <c r="R266" s="34" t="s">
        <v>50</v>
      </c>
      <c r="S266" s="35" t="n">
        <f>3288.18</f>
        <v>3288.18</v>
      </c>
      <c r="T266" s="32" t="n">
        <f>967700</f>
        <v>967700.0</v>
      </c>
      <c r="U266" s="32" t="n">
        <f>305000</f>
        <v>305000.0</v>
      </c>
      <c r="V266" s="32" t="n">
        <f>3214484750</f>
        <v>3.21448475E9</v>
      </c>
      <c r="W266" s="32" t="n">
        <f>1021449000</f>
        <v>1.021449E9</v>
      </c>
      <c r="X266" s="36" t="n">
        <f>22</f>
        <v>22.0</v>
      </c>
    </row>
    <row r="267">
      <c r="A267" s="27" t="s">
        <v>42</v>
      </c>
      <c r="B267" s="27" t="s">
        <v>857</v>
      </c>
      <c r="C267" s="27" t="s">
        <v>858</v>
      </c>
      <c r="D267" s="27" t="s">
        <v>859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2133</f>
        <v>2133.0</v>
      </c>
      <c r="L267" s="34" t="s">
        <v>48</v>
      </c>
      <c r="M267" s="33" t="n">
        <f>2318</f>
        <v>2318.0</v>
      </c>
      <c r="N267" s="34" t="s">
        <v>49</v>
      </c>
      <c r="O267" s="33" t="n">
        <f>2133</f>
        <v>2133.0</v>
      </c>
      <c r="P267" s="34" t="s">
        <v>48</v>
      </c>
      <c r="Q267" s="33" t="n">
        <f>2295</f>
        <v>2295.0</v>
      </c>
      <c r="R267" s="34" t="s">
        <v>50</v>
      </c>
      <c r="S267" s="35" t="n">
        <f>2259.59</f>
        <v>2259.59</v>
      </c>
      <c r="T267" s="32" t="n">
        <f>373264</f>
        <v>373264.0</v>
      </c>
      <c r="U267" s="32" t="n">
        <f>15000</f>
        <v>15000.0</v>
      </c>
      <c r="V267" s="32" t="n">
        <f>843716261</f>
        <v>8.43716261E8</v>
      </c>
      <c r="W267" s="32" t="n">
        <f>33781500</f>
        <v>3.37815E7</v>
      </c>
      <c r="X267" s="36" t="n">
        <f>22</f>
        <v>22.0</v>
      </c>
    </row>
    <row r="268">
      <c r="A268" s="27" t="s">
        <v>42</v>
      </c>
      <c r="B268" s="27" t="s">
        <v>860</v>
      </c>
      <c r="C268" s="27" t="s">
        <v>861</v>
      </c>
      <c r="D268" s="27" t="s">
        <v>862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1963</f>
        <v>1963.0</v>
      </c>
      <c r="L268" s="34" t="s">
        <v>48</v>
      </c>
      <c r="M268" s="33" t="n">
        <f>2089</f>
        <v>2089.0</v>
      </c>
      <c r="N268" s="34" t="s">
        <v>60</v>
      </c>
      <c r="O268" s="33" t="n">
        <f>1963</f>
        <v>1963.0</v>
      </c>
      <c r="P268" s="34" t="s">
        <v>48</v>
      </c>
      <c r="Q268" s="33" t="n">
        <f>2036</f>
        <v>2036.0</v>
      </c>
      <c r="R268" s="34" t="s">
        <v>50</v>
      </c>
      <c r="S268" s="35" t="n">
        <f>2044.09</f>
        <v>2044.09</v>
      </c>
      <c r="T268" s="32" t="n">
        <f>81056</f>
        <v>81056.0</v>
      </c>
      <c r="U268" s="32" t="str">
        <f>"－"</f>
        <v>－</v>
      </c>
      <c r="V268" s="32" t="n">
        <f>165825647</f>
        <v>1.65825647E8</v>
      </c>
      <c r="W268" s="32" t="str">
        <f>"－"</f>
        <v>－</v>
      </c>
      <c r="X268" s="36" t="n">
        <f>22</f>
        <v>22.0</v>
      </c>
    </row>
    <row r="269">
      <c r="A269" s="27" t="s">
        <v>42</v>
      </c>
      <c r="B269" s="27" t="s">
        <v>863</v>
      </c>
      <c r="C269" s="27" t="s">
        <v>864</v>
      </c>
      <c r="D269" s="27" t="s">
        <v>865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1326</f>
        <v>1326.0</v>
      </c>
      <c r="L269" s="34" t="s">
        <v>48</v>
      </c>
      <c r="M269" s="33" t="n">
        <f>1416</f>
        <v>1416.0</v>
      </c>
      <c r="N269" s="34" t="s">
        <v>226</v>
      </c>
      <c r="O269" s="33" t="n">
        <f>1326</f>
        <v>1326.0</v>
      </c>
      <c r="P269" s="34" t="s">
        <v>48</v>
      </c>
      <c r="Q269" s="33" t="n">
        <f>1370</f>
        <v>1370.0</v>
      </c>
      <c r="R269" s="34" t="s">
        <v>50</v>
      </c>
      <c r="S269" s="35" t="n">
        <f>1378.73</f>
        <v>1378.73</v>
      </c>
      <c r="T269" s="32" t="n">
        <f>34160</f>
        <v>34160.0</v>
      </c>
      <c r="U269" s="32" t="str">
        <f>"－"</f>
        <v>－</v>
      </c>
      <c r="V269" s="32" t="n">
        <f>47559218</f>
        <v>4.7559218E7</v>
      </c>
      <c r="W269" s="32" t="str">
        <f>"－"</f>
        <v>－</v>
      </c>
      <c r="X269" s="36" t="n">
        <f>22</f>
        <v>22.0</v>
      </c>
    </row>
    <row r="270">
      <c r="A270" s="27" t="s">
        <v>42</v>
      </c>
      <c r="B270" s="27" t="s">
        <v>866</v>
      </c>
      <c r="C270" s="27" t="s">
        <v>867</v>
      </c>
      <c r="D270" s="27" t="s">
        <v>868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2080</f>
        <v>2080.0</v>
      </c>
      <c r="L270" s="34" t="s">
        <v>48</v>
      </c>
      <c r="M270" s="33" t="n">
        <f>2150</f>
        <v>2150.0</v>
      </c>
      <c r="N270" s="34" t="s">
        <v>60</v>
      </c>
      <c r="O270" s="33" t="n">
        <f>1998</f>
        <v>1998.0</v>
      </c>
      <c r="P270" s="34" t="s">
        <v>208</v>
      </c>
      <c r="Q270" s="33" t="n">
        <f>2033</f>
        <v>2033.0</v>
      </c>
      <c r="R270" s="34" t="s">
        <v>50</v>
      </c>
      <c r="S270" s="35" t="n">
        <f>2058.82</f>
        <v>2058.82</v>
      </c>
      <c r="T270" s="32" t="n">
        <f>11079</f>
        <v>11079.0</v>
      </c>
      <c r="U270" s="32" t="str">
        <f>"－"</f>
        <v>－</v>
      </c>
      <c r="V270" s="32" t="n">
        <f>22804001</f>
        <v>2.2804001E7</v>
      </c>
      <c r="W270" s="32" t="str">
        <f>"－"</f>
        <v>－</v>
      </c>
      <c r="X270" s="36" t="n">
        <f>22</f>
        <v>22.0</v>
      </c>
    </row>
    <row r="271">
      <c r="A271" s="27" t="s">
        <v>42</v>
      </c>
      <c r="B271" s="27" t="s">
        <v>869</v>
      </c>
      <c r="C271" s="27" t="s">
        <v>870</v>
      </c>
      <c r="D271" s="27" t="s">
        <v>871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2300</f>
        <v>2300.0</v>
      </c>
      <c r="L271" s="34" t="s">
        <v>48</v>
      </c>
      <c r="M271" s="33" t="n">
        <f>2578</f>
        <v>2578.0</v>
      </c>
      <c r="N271" s="34" t="s">
        <v>60</v>
      </c>
      <c r="O271" s="33" t="n">
        <f>2300</f>
        <v>2300.0</v>
      </c>
      <c r="P271" s="34" t="s">
        <v>48</v>
      </c>
      <c r="Q271" s="33" t="n">
        <f>2472</f>
        <v>2472.0</v>
      </c>
      <c r="R271" s="34" t="s">
        <v>50</v>
      </c>
      <c r="S271" s="35" t="n">
        <f>2429.75</f>
        <v>2429.75</v>
      </c>
      <c r="T271" s="32" t="n">
        <f>1192</f>
        <v>1192.0</v>
      </c>
      <c r="U271" s="32" t="str">
        <f>"－"</f>
        <v>－</v>
      </c>
      <c r="V271" s="32" t="n">
        <f>2923025</f>
        <v>2923025.0</v>
      </c>
      <c r="W271" s="32" t="str">
        <f>"－"</f>
        <v>－</v>
      </c>
      <c r="X271" s="36" t="n">
        <f>20</f>
        <v>20.0</v>
      </c>
    </row>
    <row r="272">
      <c r="A272" s="27" t="s">
        <v>42</v>
      </c>
      <c r="B272" s="27" t="s">
        <v>872</v>
      </c>
      <c r="C272" s="27" t="s">
        <v>873</v>
      </c>
      <c r="D272" s="27" t="s">
        <v>874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10280</f>
        <v>10280.0</v>
      </c>
      <c r="L272" s="34" t="s">
        <v>48</v>
      </c>
      <c r="M272" s="33" t="n">
        <f>10760</f>
        <v>10760.0</v>
      </c>
      <c r="N272" s="34" t="s">
        <v>65</v>
      </c>
      <c r="O272" s="33" t="n">
        <f>10240</f>
        <v>10240.0</v>
      </c>
      <c r="P272" s="34" t="s">
        <v>48</v>
      </c>
      <c r="Q272" s="33" t="n">
        <f>10690</f>
        <v>10690.0</v>
      </c>
      <c r="R272" s="34" t="s">
        <v>50</v>
      </c>
      <c r="S272" s="35" t="n">
        <f>10555.23</f>
        <v>10555.23</v>
      </c>
      <c r="T272" s="32" t="n">
        <f>1043688</f>
        <v>1043688.0</v>
      </c>
      <c r="U272" s="32" t="n">
        <f>683654</f>
        <v>683654.0</v>
      </c>
      <c r="V272" s="32" t="n">
        <f>10933881870</f>
        <v>1.093388187E10</v>
      </c>
      <c r="W272" s="32" t="n">
        <f>7143340290</f>
        <v>7.14334029E9</v>
      </c>
      <c r="X272" s="36" t="n">
        <f>22</f>
        <v>22.0</v>
      </c>
    </row>
    <row r="273">
      <c r="A273" s="27" t="s">
        <v>42</v>
      </c>
      <c r="B273" s="27" t="s">
        <v>875</v>
      </c>
      <c r="C273" s="27" t="s">
        <v>876</v>
      </c>
      <c r="D273" s="27" t="s">
        <v>877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14300</f>
        <v>14300.0</v>
      </c>
      <c r="L273" s="34" t="s">
        <v>48</v>
      </c>
      <c r="M273" s="33" t="n">
        <f>15595</f>
        <v>15595.0</v>
      </c>
      <c r="N273" s="34" t="s">
        <v>50</v>
      </c>
      <c r="O273" s="33" t="n">
        <f>14275</f>
        <v>14275.0</v>
      </c>
      <c r="P273" s="34" t="s">
        <v>48</v>
      </c>
      <c r="Q273" s="33" t="n">
        <f>15560</f>
        <v>15560.0</v>
      </c>
      <c r="R273" s="34" t="s">
        <v>50</v>
      </c>
      <c r="S273" s="35" t="n">
        <f>15007.05</f>
        <v>15007.05</v>
      </c>
      <c r="T273" s="32" t="n">
        <f>762189</f>
        <v>762189.0</v>
      </c>
      <c r="U273" s="32" t="n">
        <f>200</f>
        <v>200.0</v>
      </c>
      <c r="V273" s="32" t="n">
        <f>11498855545</f>
        <v>1.1498855545E10</v>
      </c>
      <c r="W273" s="32" t="n">
        <f>3071000</f>
        <v>3071000.0</v>
      </c>
      <c r="X273" s="36" t="n">
        <f>22</f>
        <v>22.0</v>
      </c>
    </row>
    <row r="274">
      <c r="A274" s="27" t="s">
        <v>42</v>
      </c>
      <c r="B274" s="27" t="s">
        <v>878</v>
      </c>
      <c r="C274" s="27" t="s">
        <v>879</v>
      </c>
      <c r="D274" s="27" t="s">
        <v>880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10165</f>
        <v>10165.0</v>
      </c>
      <c r="L274" s="34" t="s">
        <v>48</v>
      </c>
      <c r="M274" s="33" t="n">
        <f>10745</f>
        <v>10745.0</v>
      </c>
      <c r="N274" s="34" t="s">
        <v>65</v>
      </c>
      <c r="O274" s="33" t="n">
        <f>10085</f>
        <v>10085.0</v>
      </c>
      <c r="P274" s="34" t="s">
        <v>208</v>
      </c>
      <c r="Q274" s="33" t="n">
        <f>10595</f>
        <v>10595.0</v>
      </c>
      <c r="R274" s="34" t="s">
        <v>50</v>
      </c>
      <c r="S274" s="35" t="n">
        <f>10467.05</f>
        <v>10467.05</v>
      </c>
      <c r="T274" s="32" t="n">
        <f>732923</f>
        <v>732923.0</v>
      </c>
      <c r="U274" s="32" t="n">
        <f>443377</f>
        <v>443377.0</v>
      </c>
      <c r="V274" s="32" t="n">
        <f>7694994992</f>
        <v>7.694994992E9</v>
      </c>
      <c r="W274" s="32" t="n">
        <f>4661977267</f>
        <v>4.661977267E9</v>
      </c>
      <c r="X274" s="36" t="n">
        <f>22</f>
        <v>22.0</v>
      </c>
    </row>
    <row r="275">
      <c r="A275" s="27" t="s">
        <v>42</v>
      </c>
      <c r="B275" s="27" t="s">
        <v>881</v>
      </c>
      <c r="C275" s="27" t="s">
        <v>882</v>
      </c>
      <c r="D275" s="27" t="s">
        <v>883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10.0</v>
      </c>
      <c r="K275" s="33" t="n">
        <f>2691.5</f>
        <v>2691.5</v>
      </c>
      <c r="L275" s="34" t="s">
        <v>48</v>
      </c>
      <c r="M275" s="33" t="n">
        <f>2950</f>
        <v>2950.0</v>
      </c>
      <c r="N275" s="34" t="s">
        <v>50</v>
      </c>
      <c r="O275" s="33" t="n">
        <f>2687</f>
        <v>2687.0</v>
      </c>
      <c r="P275" s="34" t="s">
        <v>48</v>
      </c>
      <c r="Q275" s="33" t="n">
        <f>2944</f>
        <v>2944.0</v>
      </c>
      <c r="R275" s="34" t="s">
        <v>50</v>
      </c>
      <c r="S275" s="35" t="n">
        <f>2830.7</f>
        <v>2830.7</v>
      </c>
      <c r="T275" s="32" t="n">
        <f>669470</f>
        <v>669470.0</v>
      </c>
      <c r="U275" s="32" t="n">
        <f>77010</f>
        <v>77010.0</v>
      </c>
      <c r="V275" s="32" t="n">
        <f>1880440580</f>
        <v>1.88044058E9</v>
      </c>
      <c r="W275" s="32" t="n">
        <f>212515550</f>
        <v>2.1251555E8</v>
      </c>
      <c r="X275" s="36" t="n">
        <f>22</f>
        <v>22.0</v>
      </c>
    </row>
    <row r="276">
      <c r="A276" s="27" t="s">
        <v>42</v>
      </c>
      <c r="B276" s="27" t="s">
        <v>884</v>
      </c>
      <c r="C276" s="27" t="s">
        <v>885</v>
      </c>
      <c r="D276" s="27" t="s">
        <v>886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2013.5</f>
        <v>2013.5</v>
      </c>
      <c r="L276" s="34" t="s">
        <v>48</v>
      </c>
      <c r="M276" s="33" t="n">
        <f>2121</f>
        <v>2121.0</v>
      </c>
      <c r="N276" s="34" t="s">
        <v>65</v>
      </c>
      <c r="O276" s="33" t="n">
        <f>2005</f>
        <v>2005.0</v>
      </c>
      <c r="P276" s="34" t="s">
        <v>48</v>
      </c>
      <c r="Q276" s="33" t="n">
        <f>2111</f>
        <v>2111.0</v>
      </c>
      <c r="R276" s="34" t="s">
        <v>50</v>
      </c>
      <c r="S276" s="35" t="n">
        <f>2078.89</f>
        <v>2078.89</v>
      </c>
      <c r="T276" s="32" t="n">
        <f>8091610</f>
        <v>8091610.0</v>
      </c>
      <c r="U276" s="32" t="n">
        <f>5337140</f>
        <v>5337140.0</v>
      </c>
      <c r="V276" s="32" t="n">
        <f>16693914084</f>
        <v>1.6693914084E10</v>
      </c>
      <c r="W276" s="32" t="n">
        <f>11101110214</f>
        <v>1.1101110214E10</v>
      </c>
      <c r="X276" s="36" t="n">
        <f>22</f>
        <v>22.0</v>
      </c>
    </row>
    <row r="277">
      <c r="A277" s="27" t="s">
        <v>42</v>
      </c>
      <c r="B277" s="27" t="s">
        <v>887</v>
      </c>
      <c r="C277" s="27" t="s">
        <v>888</v>
      </c>
      <c r="D277" s="27" t="s">
        <v>889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2777</f>
        <v>2777.0</v>
      </c>
      <c r="L277" s="34" t="s">
        <v>48</v>
      </c>
      <c r="M277" s="33" t="n">
        <f>3066</f>
        <v>3066.0</v>
      </c>
      <c r="N277" s="34" t="s">
        <v>50</v>
      </c>
      <c r="O277" s="33" t="n">
        <f>2777</f>
        <v>2777.0</v>
      </c>
      <c r="P277" s="34" t="s">
        <v>48</v>
      </c>
      <c r="Q277" s="33" t="n">
        <f>3063</f>
        <v>3063.0</v>
      </c>
      <c r="R277" s="34" t="s">
        <v>50</v>
      </c>
      <c r="S277" s="35" t="n">
        <f>2947.61</f>
        <v>2947.61</v>
      </c>
      <c r="T277" s="32" t="n">
        <f>28570</f>
        <v>28570.0</v>
      </c>
      <c r="U277" s="32" t="n">
        <f>10</f>
        <v>10.0</v>
      </c>
      <c r="V277" s="32" t="n">
        <f>85518115</f>
        <v>8.5518115E7</v>
      </c>
      <c r="W277" s="32" t="n">
        <f>29440</f>
        <v>29440.0</v>
      </c>
      <c r="X277" s="36" t="n">
        <f>22</f>
        <v>22.0</v>
      </c>
    </row>
    <row r="278">
      <c r="A278" s="27" t="s">
        <v>42</v>
      </c>
      <c r="B278" s="27" t="s">
        <v>890</v>
      </c>
      <c r="C278" s="27" t="s">
        <v>891</v>
      </c>
      <c r="D278" s="27" t="s">
        <v>892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2695</f>
        <v>2695.0</v>
      </c>
      <c r="L278" s="34" t="s">
        <v>48</v>
      </c>
      <c r="M278" s="33" t="n">
        <f>2948</f>
        <v>2948.0</v>
      </c>
      <c r="N278" s="34" t="s">
        <v>65</v>
      </c>
      <c r="O278" s="33" t="n">
        <f>2695</f>
        <v>2695.0</v>
      </c>
      <c r="P278" s="34" t="s">
        <v>48</v>
      </c>
      <c r="Q278" s="33" t="n">
        <f>2846</f>
        <v>2846.0</v>
      </c>
      <c r="R278" s="34" t="s">
        <v>50</v>
      </c>
      <c r="S278" s="35" t="n">
        <f>2833.5</f>
        <v>2833.5</v>
      </c>
      <c r="T278" s="32" t="n">
        <f>63644</f>
        <v>63644.0</v>
      </c>
      <c r="U278" s="32" t="str">
        <f>"－"</f>
        <v>－</v>
      </c>
      <c r="V278" s="32" t="n">
        <f>182100302</f>
        <v>1.82100302E8</v>
      </c>
      <c r="W278" s="32" t="str">
        <f>"－"</f>
        <v>－</v>
      </c>
      <c r="X278" s="36" t="n">
        <f>22</f>
        <v>22.0</v>
      </c>
    </row>
    <row r="279">
      <c r="A279" s="27" t="s">
        <v>42</v>
      </c>
      <c r="B279" s="27" t="s">
        <v>893</v>
      </c>
      <c r="C279" s="27" t="s">
        <v>894</v>
      </c>
      <c r="D279" s="27" t="s">
        <v>895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1547</f>
        <v>1547.0</v>
      </c>
      <c r="L279" s="34" t="s">
        <v>48</v>
      </c>
      <c r="M279" s="33" t="n">
        <f>1649</f>
        <v>1649.0</v>
      </c>
      <c r="N279" s="34" t="s">
        <v>70</v>
      </c>
      <c r="O279" s="33" t="n">
        <f>1547</f>
        <v>1547.0</v>
      </c>
      <c r="P279" s="34" t="s">
        <v>48</v>
      </c>
      <c r="Q279" s="33" t="n">
        <f>1616</f>
        <v>1616.0</v>
      </c>
      <c r="R279" s="34" t="s">
        <v>50</v>
      </c>
      <c r="S279" s="35" t="n">
        <f>1613.95</f>
        <v>1613.95</v>
      </c>
      <c r="T279" s="32" t="n">
        <f>33496</f>
        <v>33496.0</v>
      </c>
      <c r="U279" s="32" t="n">
        <f>8</f>
        <v>8.0</v>
      </c>
      <c r="V279" s="32" t="n">
        <f>54433196</f>
        <v>5.4433196E7</v>
      </c>
      <c r="W279" s="32" t="n">
        <f>12967</f>
        <v>12967.0</v>
      </c>
      <c r="X279" s="36" t="n">
        <f>22</f>
        <v>22.0</v>
      </c>
    </row>
    <row r="280">
      <c r="A280" s="27" t="s">
        <v>42</v>
      </c>
      <c r="B280" s="27" t="s">
        <v>896</v>
      </c>
      <c r="C280" s="27" t="s">
        <v>897</v>
      </c>
      <c r="D280" s="27" t="s">
        <v>898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2116</f>
        <v>2116.0</v>
      </c>
      <c r="L280" s="34" t="s">
        <v>48</v>
      </c>
      <c r="M280" s="33" t="n">
        <f>2340</f>
        <v>2340.0</v>
      </c>
      <c r="N280" s="34" t="s">
        <v>65</v>
      </c>
      <c r="O280" s="33" t="n">
        <f>2110</f>
        <v>2110.0</v>
      </c>
      <c r="P280" s="34" t="s">
        <v>48</v>
      </c>
      <c r="Q280" s="33" t="n">
        <f>2248</f>
        <v>2248.0</v>
      </c>
      <c r="R280" s="34" t="s">
        <v>50</v>
      </c>
      <c r="S280" s="35" t="n">
        <f>2250.64</f>
        <v>2250.64</v>
      </c>
      <c r="T280" s="32" t="n">
        <f>138986</f>
        <v>138986.0</v>
      </c>
      <c r="U280" s="32" t="str">
        <f>"－"</f>
        <v>－</v>
      </c>
      <c r="V280" s="32" t="n">
        <f>312147851</f>
        <v>3.12147851E8</v>
      </c>
      <c r="W280" s="32" t="str">
        <f>"－"</f>
        <v>－</v>
      </c>
      <c r="X280" s="36" t="n">
        <f>22</f>
        <v>22.0</v>
      </c>
    </row>
    <row r="281">
      <c r="A281" s="27" t="s">
        <v>42</v>
      </c>
      <c r="B281" s="27" t="s">
        <v>899</v>
      </c>
      <c r="C281" s="27" t="s">
        <v>900</v>
      </c>
      <c r="D281" s="27" t="s">
        <v>901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1608</f>
        <v>1608.0</v>
      </c>
      <c r="L281" s="34" t="s">
        <v>48</v>
      </c>
      <c r="M281" s="33" t="n">
        <f>1735</f>
        <v>1735.0</v>
      </c>
      <c r="N281" s="34" t="s">
        <v>65</v>
      </c>
      <c r="O281" s="33" t="n">
        <f>1608</f>
        <v>1608.0</v>
      </c>
      <c r="P281" s="34" t="s">
        <v>48</v>
      </c>
      <c r="Q281" s="33" t="n">
        <f>1667</f>
        <v>1667.0</v>
      </c>
      <c r="R281" s="34" t="s">
        <v>50</v>
      </c>
      <c r="S281" s="35" t="n">
        <f>1682.27</f>
        <v>1682.27</v>
      </c>
      <c r="T281" s="32" t="n">
        <f>122112</f>
        <v>122112.0</v>
      </c>
      <c r="U281" s="32" t="str">
        <f>"－"</f>
        <v>－</v>
      </c>
      <c r="V281" s="32" t="n">
        <f>206382152</f>
        <v>2.06382152E8</v>
      </c>
      <c r="W281" s="32" t="str">
        <f>"－"</f>
        <v>－</v>
      </c>
      <c r="X281" s="36" t="n">
        <f>22</f>
        <v>22.0</v>
      </c>
    </row>
    <row r="282">
      <c r="A282" s="27" t="s">
        <v>42</v>
      </c>
      <c r="B282" s="27" t="s">
        <v>902</v>
      </c>
      <c r="C282" s="27" t="s">
        <v>903</v>
      </c>
      <c r="D282" s="27" t="s">
        <v>904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2831</f>
        <v>2831.0</v>
      </c>
      <c r="L282" s="34" t="s">
        <v>48</v>
      </c>
      <c r="M282" s="33" t="n">
        <f>3045</f>
        <v>3045.0</v>
      </c>
      <c r="N282" s="34" t="s">
        <v>116</v>
      </c>
      <c r="O282" s="33" t="n">
        <f>2831</f>
        <v>2831.0</v>
      </c>
      <c r="P282" s="34" t="s">
        <v>48</v>
      </c>
      <c r="Q282" s="33" t="n">
        <f>2920</f>
        <v>2920.0</v>
      </c>
      <c r="R282" s="34" t="s">
        <v>50</v>
      </c>
      <c r="S282" s="35" t="n">
        <f>2943.64</f>
        <v>2943.64</v>
      </c>
      <c r="T282" s="32" t="n">
        <f>66937</f>
        <v>66937.0</v>
      </c>
      <c r="U282" s="32" t="str">
        <f>"－"</f>
        <v>－</v>
      </c>
      <c r="V282" s="32" t="n">
        <f>197603556</f>
        <v>1.97603556E8</v>
      </c>
      <c r="W282" s="32" t="str">
        <f>"－"</f>
        <v>－</v>
      </c>
      <c r="X282" s="36" t="n">
        <f>22</f>
        <v>22.0</v>
      </c>
    </row>
    <row r="283">
      <c r="A283" s="27" t="s">
        <v>42</v>
      </c>
      <c r="B283" s="27" t="s">
        <v>905</v>
      </c>
      <c r="C283" s="27" t="s">
        <v>906</v>
      </c>
      <c r="D283" s="27" t="s">
        <v>907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2325</f>
        <v>2325.0</v>
      </c>
      <c r="L283" s="34" t="s">
        <v>48</v>
      </c>
      <c r="M283" s="33" t="n">
        <f>2629</f>
        <v>2629.0</v>
      </c>
      <c r="N283" s="34" t="s">
        <v>212</v>
      </c>
      <c r="O283" s="33" t="n">
        <f>2324</f>
        <v>2324.0</v>
      </c>
      <c r="P283" s="34" t="s">
        <v>48</v>
      </c>
      <c r="Q283" s="33" t="n">
        <f>2512</f>
        <v>2512.0</v>
      </c>
      <c r="R283" s="34" t="s">
        <v>50</v>
      </c>
      <c r="S283" s="35" t="n">
        <f>2496.14</f>
        <v>2496.14</v>
      </c>
      <c r="T283" s="32" t="n">
        <f>559437</f>
        <v>559437.0</v>
      </c>
      <c r="U283" s="32" t="n">
        <f>50006</f>
        <v>50006.0</v>
      </c>
      <c r="V283" s="32" t="n">
        <f>1405011257</f>
        <v>1.405011257E9</v>
      </c>
      <c r="W283" s="32" t="n">
        <f>127964668</f>
        <v>1.27964668E8</v>
      </c>
      <c r="X283" s="36" t="n">
        <f>22</f>
        <v>22.0</v>
      </c>
    </row>
    <row r="284">
      <c r="A284" s="27" t="s">
        <v>42</v>
      </c>
      <c r="B284" s="27" t="s">
        <v>908</v>
      </c>
      <c r="C284" s="27" t="s">
        <v>909</v>
      </c>
      <c r="D284" s="27" t="s">
        <v>910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28945</f>
        <v>28945.0</v>
      </c>
      <c r="L284" s="34" t="s">
        <v>117</v>
      </c>
      <c r="M284" s="33" t="n">
        <f>30840</f>
        <v>30840.0</v>
      </c>
      <c r="N284" s="34" t="s">
        <v>70</v>
      </c>
      <c r="O284" s="33" t="n">
        <f>28945</f>
        <v>28945.0</v>
      </c>
      <c r="P284" s="34" t="s">
        <v>117</v>
      </c>
      <c r="Q284" s="33" t="n">
        <f>30590</f>
        <v>30590.0</v>
      </c>
      <c r="R284" s="34" t="s">
        <v>49</v>
      </c>
      <c r="S284" s="35" t="n">
        <f>30086.76</f>
        <v>30086.76</v>
      </c>
      <c r="T284" s="32" t="n">
        <f>229</f>
        <v>229.0</v>
      </c>
      <c r="U284" s="32" t="str">
        <f>"－"</f>
        <v>－</v>
      </c>
      <c r="V284" s="32" t="n">
        <f>6901685</f>
        <v>6901685.0</v>
      </c>
      <c r="W284" s="32" t="str">
        <f>"－"</f>
        <v>－</v>
      </c>
      <c r="X284" s="36" t="n">
        <f>17</f>
        <v>17.0</v>
      </c>
    </row>
    <row r="285">
      <c r="A285" s="27" t="s">
        <v>42</v>
      </c>
      <c r="B285" s="27" t="s">
        <v>911</v>
      </c>
      <c r="C285" s="27" t="s">
        <v>912</v>
      </c>
      <c r="D285" s="27" t="s">
        <v>913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2226</f>
        <v>2226.0</v>
      </c>
      <c r="L285" s="34" t="s">
        <v>117</v>
      </c>
      <c r="M285" s="33" t="n">
        <f>2378</f>
        <v>2378.0</v>
      </c>
      <c r="N285" s="34" t="s">
        <v>69</v>
      </c>
      <c r="O285" s="33" t="n">
        <f>2225</f>
        <v>2225.0</v>
      </c>
      <c r="P285" s="34" t="s">
        <v>117</v>
      </c>
      <c r="Q285" s="33" t="n">
        <f>2340</f>
        <v>2340.0</v>
      </c>
      <c r="R285" s="34" t="s">
        <v>50</v>
      </c>
      <c r="S285" s="35" t="n">
        <f>2322.85</f>
        <v>2322.85</v>
      </c>
      <c r="T285" s="32" t="n">
        <f>3340</f>
        <v>3340.0</v>
      </c>
      <c r="U285" s="32" t="str">
        <f>"－"</f>
        <v>－</v>
      </c>
      <c r="V285" s="32" t="n">
        <f>7789976</f>
        <v>7789976.0</v>
      </c>
      <c r="W285" s="32" t="str">
        <f>"－"</f>
        <v>－</v>
      </c>
      <c r="X285" s="36" t="n">
        <f>20</f>
        <v>20.0</v>
      </c>
    </row>
    <row r="286">
      <c r="A286" s="27" t="s">
        <v>42</v>
      </c>
      <c r="B286" s="27" t="s">
        <v>914</v>
      </c>
      <c r="C286" s="27" t="s">
        <v>915</v>
      </c>
      <c r="D286" s="27" t="s">
        <v>916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2923</f>
        <v>2923.0</v>
      </c>
      <c r="L286" s="34" t="s">
        <v>48</v>
      </c>
      <c r="M286" s="33" t="n">
        <f>3290</f>
        <v>3290.0</v>
      </c>
      <c r="N286" s="34" t="s">
        <v>70</v>
      </c>
      <c r="O286" s="33" t="n">
        <f>2919</f>
        <v>2919.0</v>
      </c>
      <c r="P286" s="34" t="s">
        <v>48</v>
      </c>
      <c r="Q286" s="33" t="n">
        <f>3230</f>
        <v>3230.0</v>
      </c>
      <c r="R286" s="34" t="s">
        <v>50</v>
      </c>
      <c r="S286" s="35" t="n">
        <f>3131.64</f>
        <v>3131.64</v>
      </c>
      <c r="T286" s="32" t="n">
        <f>2684799</f>
        <v>2684799.0</v>
      </c>
      <c r="U286" s="32" t="n">
        <f>48421</f>
        <v>48421.0</v>
      </c>
      <c r="V286" s="32" t="n">
        <f>8408399826</f>
        <v>8.408399826E9</v>
      </c>
      <c r="W286" s="32" t="n">
        <f>148848412</f>
        <v>1.48848412E8</v>
      </c>
      <c r="X286" s="36" t="n">
        <f>22</f>
        <v>22.0</v>
      </c>
    </row>
    <row r="287">
      <c r="A287" s="27" t="s">
        <v>42</v>
      </c>
      <c r="B287" s="27" t="s">
        <v>917</v>
      </c>
      <c r="C287" s="27" t="s">
        <v>918</v>
      </c>
      <c r="D287" s="27" t="s">
        <v>919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1902</f>
        <v>1902.0</v>
      </c>
      <c r="L287" s="34" t="s">
        <v>48</v>
      </c>
      <c r="M287" s="33" t="n">
        <f>1999</f>
        <v>1999.0</v>
      </c>
      <c r="N287" s="34" t="s">
        <v>70</v>
      </c>
      <c r="O287" s="33" t="n">
        <f>1899</f>
        <v>1899.0</v>
      </c>
      <c r="P287" s="34" t="s">
        <v>48</v>
      </c>
      <c r="Q287" s="33" t="n">
        <f>1951</f>
        <v>1951.0</v>
      </c>
      <c r="R287" s="34" t="s">
        <v>50</v>
      </c>
      <c r="S287" s="35" t="n">
        <f>1952.23</f>
        <v>1952.23</v>
      </c>
      <c r="T287" s="32" t="n">
        <f>24756</f>
        <v>24756.0</v>
      </c>
      <c r="U287" s="32" t="str">
        <f>"－"</f>
        <v>－</v>
      </c>
      <c r="V287" s="32" t="n">
        <f>48690387</f>
        <v>4.8690387E7</v>
      </c>
      <c r="W287" s="32" t="str">
        <f>"－"</f>
        <v>－</v>
      </c>
      <c r="X287" s="36" t="n">
        <f>22</f>
        <v>22.0</v>
      </c>
    </row>
    <row r="288">
      <c r="A288" s="27" t="s">
        <v>42</v>
      </c>
      <c r="B288" s="27" t="s">
        <v>920</v>
      </c>
      <c r="C288" s="27" t="s">
        <v>921</v>
      </c>
      <c r="D288" s="27" t="s">
        <v>922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1506</f>
        <v>1506.0</v>
      </c>
      <c r="L288" s="34" t="s">
        <v>48</v>
      </c>
      <c r="M288" s="33" t="n">
        <f>1696</f>
        <v>1696.0</v>
      </c>
      <c r="N288" s="34" t="s">
        <v>65</v>
      </c>
      <c r="O288" s="33" t="n">
        <f>1506</f>
        <v>1506.0</v>
      </c>
      <c r="P288" s="34" t="s">
        <v>48</v>
      </c>
      <c r="Q288" s="33" t="n">
        <f>1646</f>
        <v>1646.0</v>
      </c>
      <c r="R288" s="34" t="s">
        <v>50</v>
      </c>
      <c r="S288" s="35" t="n">
        <f>1619.82</f>
        <v>1619.82</v>
      </c>
      <c r="T288" s="32" t="n">
        <f>14079</f>
        <v>14079.0</v>
      </c>
      <c r="U288" s="32" t="str">
        <f>"－"</f>
        <v>－</v>
      </c>
      <c r="V288" s="32" t="n">
        <f>22689270</f>
        <v>2.268927E7</v>
      </c>
      <c r="W288" s="32" t="str">
        <f>"－"</f>
        <v>－</v>
      </c>
      <c r="X288" s="36" t="n">
        <f>22</f>
        <v>22.0</v>
      </c>
    </row>
    <row r="289">
      <c r="A289" s="27" t="s">
        <v>42</v>
      </c>
      <c r="B289" s="27" t="s">
        <v>923</v>
      </c>
      <c r="C289" s="27" t="s">
        <v>924</v>
      </c>
      <c r="D289" s="27" t="s">
        <v>925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5322</f>
        <v>5322.0</v>
      </c>
      <c r="L289" s="34" t="s">
        <v>48</v>
      </c>
      <c r="M289" s="33" t="n">
        <f>5467</f>
        <v>5467.0</v>
      </c>
      <c r="N289" s="34" t="s">
        <v>49</v>
      </c>
      <c r="O289" s="33" t="n">
        <f>5253</f>
        <v>5253.0</v>
      </c>
      <c r="P289" s="34" t="s">
        <v>69</v>
      </c>
      <c r="Q289" s="33" t="n">
        <f>5467</f>
        <v>5467.0</v>
      </c>
      <c r="R289" s="34" t="s">
        <v>49</v>
      </c>
      <c r="S289" s="35" t="n">
        <f>5341.59</f>
        <v>5341.59</v>
      </c>
      <c r="T289" s="32" t="n">
        <f>41440</f>
        <v>41440.0</v>
      </c>
      <c r="U289" s="32" t="n">
        <f>35700</f>
        <v>35700.0</v>
      </c>
      <c r="V289" s="32" t="n">
        <f>223096850</f>
        <v>2.2309685E8</v>
      </c>
      <c r="W289" s="32" t="n">
        <f>192728010</f>
        <v>1.9272801E8</v>
      </c>
      <c r="X289" s="36" t="n">
        <f>17</f>
        <v>17.0</v>
      </c>
    </row>
    <row r="290">
      <c r="A290" s="27" t="s">
        <v>42</v>
      </c>
      <c r="B290" s="27" t="s">
        <v>926</v>
      </c>
      <c r="C290" s="27" t="s">
        <v>927</v>
      </c>
      <c r="D290" s="27" t="s">
        <v>928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4096</f>
        <v>4096.0</v>
      </c>
      <c r="L290" s="34" t="s">
        <v>48</v>
      </c>
      <c r="M290" s="33" t="n">
        <f>4200</f>
        <v>4200.0</v>
      </c>
      <c r="N290" s="34" t="s">
        <v>186</v>
      </c>
      <c r="O290" s="33" t="n">
        <f>3999</f>
        <v>3999.0</v>
      </c>
      <c r="P290" s="34" t="s">
        <v>50</v>
      </c>
      <c r="Q290" s="33" t="n">
        <f>4001</f>
        <v>4001.0</v>
      </c>
      <c r="R290" s="34" t="s">
        <v>50</v>
      </c>
      <c r="S290" s="35" t="n">
        <f>4040.09</f>
        <v>4040.09</v>
      </c>
      <c r="T290" s="32" t="n">
        <f>272710</f>
        <v>272710.0</v>
      </c>
      <c r="U290" s="32" t="n">
        <f>171200</f>
        <v>171200.0</v>
      </c>
      <c r="V290" s="32" t="n">
        <f>1099326982</f>
        <v>1.099326982E9</v>
      </c>
      <c r="W290" s="32" t="n">
        <f>690124352</f>
        <v>6.90124352E8</v>
      </c>
      <c r="X290" s="36" t="n">
        <f>22</f>
        <v>22.0</v>
      </c>
    </row>
    <row r="291">
      <c r="A291" s="27" t="s">
        <v>42</v>
      </c>
      <c r="B291" s="27" t="s">
        <v>929</v>
      </c>
      <c r="C291" s="27" t="s">
        <v>930</v>
      </c>
      <c r="D291" s="27" t="s">
        <v>931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670.5</f>
        <v>670.5</v>
      </c>
      <c r="L291" s="34" t="s">
        <v>48</v>
      </c>
      <c r="M291" s="33" t="n">
        <f>690.4</f>
        <v>690.4</v>
      </c>
      <c r="N291" s="34" t="s">
        <v>186</v>
      </c>
      <c r="O291" s="33" t="n">
        <f>670.5</f>
        <v>670.5</v>
      </c>
      <c r="P291" s="34" t="s">
        <v>48</v>
      </c>
      <c r="Q291" s="33" t="n">
        <f>672.1</f>
        <v>672.1</v>
      </c>
      <c r="R291" s="34" t="s">
        <v>50</v>
      </c>
      <c r="S291" s="35" t="n">
        <f>679.24</f>
        <v>679.24</v>
      </c>
      <c r="T291" s="32" t="n">
        <f>17980</f>
        <v>17980.0</v>
      </c>
      <c r="U291" s="32" t="str">
        <f>"－"</f>
        <v>－</v>
      </c>
      <c r="V291" s="32" t="n">
        <f>12224749</f>
        <v>1.2224749E7</v>
      </c>
      <c r="W291" s="32" t="str">
        <f>"－"</f>
        <v>－</v>
      </c>
      <c r="X291" s="36" t="n">
        <f>13</f>
        <v>13.0</v>
      </c>
    </row>
    <row r="292">
      <c r="A292" s="27" t="s">
        <v>42</v>
      </c>
      <c r="B292" s="27" t="s">
        <v>932</v>
      </c>
      <c r="C292" s="27" t="s">
        <v>933</v>
      </c>
      <c r="D292" s="27" t="s">
        <v>934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2150</f>
        <v>2150.0</v>
      </c>
      <c r="L292" s="34" t="s">
        <v>48</v>
      </c>
      <c r="M292" s="33" t="n">
        <f>2330</f>
        <v>2330.0</v>
      </c>
      <c r="N292" s="34" t="s">
        <v>60</v>
      </c>
      <c r="O292" s="33" t="n">
        <f>2150</f>
        <v>2150.0</v>
      </c>
      <c r="P292" s="34" t="s">
        <v>48</v>
      </c>
      <c r="Q292" s="33" t="n">
        <f>2208</f>
        <v>2208.0</v>
      </c>
      <c r="R292" s="34" t="s">
        <v>50</v>
      </c>
      <c r="S292" s="35" t="n">
        <f>2241.36</f>
        <v>2241.36</v>
      </c>
      <c r="T292" s="32" t="n">
        <f>6570</f>
        <v>6570.0</v>
      </c>
      <c r="U292" s="32" t="str">
        <f>"－"</f>
        <v>－</v>
      </c>
      <c r="V292" s="32" t="n">
        <f>14735742</f>
        <v>1.4735742E7</v>
      </c>
      <c r="W292" s="32" t="str">
        <f>"－"</f>
        <v>－</v>
      </c>
      <c r="X292" s="36" t="n">
        <f>22</f>
        <v>22.0</v>
      </c>
    </row>
    <row r="293">
      <c r="A293" s="27" t="s">
        <v>42</v>
      </c>
      <c r="B293" s="27" t="s">
        <v>935</v>
      </c>
      <c r="C293" s="27" t="s">
        <v>936</v>
      </c>
      <c r="D293" s="27" t="s">
        <v>937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1997</f>
        <v>1997.0</v>
      </c>
      <c r="L293" s="34" t="s">
        <v>48</v>
      </c>
      <c r="M293" s="33" t="n">
        <f>2155</f>
        <v>2155.0</v>
      </c>
      <c r="N293" s="34" t="s">
        <v>65</v>
      </c>
      <c r="O293" s="33" t="n">
        <f>1997</f>
        <v>1997.0</v>
      </c>
      <c r="P293" s="34" t="s">
        <v>48</v>
      </c>
      <c r="Q293" s="33" t="n">
        <f>2090</f>
        <v>2090.0</v>
      </c>
      <c r="R293" s="34" t="s">
        <v>50</v>
      </c>
      <c r="S293" s="35" t="n">
        <f>2088.82</f>
        <v>2088.82</v>
      </c>
      <c r="T293" s="32" t="n">
        <f>90514</f>
        <v>90514.0</v>
      </c>
      <c r="U293" s="32" t="n">
        <f>50000</f>
        <v>50000.0</v>
      </c>
      <c r="V293" s="32" t="n">
        <f>189825916</f>
        <v>1.89825916E8</v>
      </c>
      <c r="W293" s="32" t="n">
        <f>105465000</f>
        <v>1.05465E8</v>
      </c>
      <c r="X293" s="36" t="n">
        <f>22</f>
        <v>22.0</v>
      </c>
    </row>
    <row r="294">
      <c r="A294" s="27" t="s">
        <v>42</v>
      </c>
      <c r="B294" s="27" t="s">
        <v>938</v>
      </c>
      <c r="C294" s="27" t="s">
        <v>939</v>
      </c>
      <c r="D294" s="27" t="s">
        <v>940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7900</f>
        <v>7900.0</v>
      </c>
      <c r="L294" s="34" t="s">
        <v>48</v>
      </c>
      <c r="M294" s="33" t="n">
        <f>8163</f>
        <v>8163.0</v>
      </c>
      <c r="N294" s="34" t="s">
        <v>49</v>
      </c>
      <c r="O294" s="33" t="n">
        <f>7843</f>
        <v>7843.0</v>
      </c>
      <c r="P294" s="34" t="s">
        <v>222</v>
      </c>
      <c r="Q294" s="33" t="n">
        <f>8098</f>
        <v>8098.0</v>
      </c>
      <c r="R294" s="34" t="s">
        <v>50</v>
      </c>
      <c r="S294" s="35" t="n">
        <f>7960.36</f>
        <v>7960.36</v>
      </c>
      <c r="T294" s="32" t="n">
        <f>681796</f>
        <v>681796.0</v>
      </c>
      <c r="U294" s="32" t="n">
        <f>678188</f>
        <v>678188.0</v>
      </c>
      <c r="V294" s="32" t="n">
        <f>5479911287</f>
        <v>5.479911287E9</v>
      </c>
      <c r="W294" s="32" t="n">
        <f>5451011057</f>
        <v>5.451011057E9</v>
      </c>
      <c r="X294" s="36" t="n">
        <f>22</f>
        <v>22.0</v>
      </c>
    </row>
    <row r="295">
      <c r="A295" s="27" t="s">
        <v>42</v>
      </c>
      <c r="B295" s="27" t="s">
        <v>941</v>
      </c>
      <c r="C295" s="27" t="s">
        <v>942</v>
      </c>
      <c r="D295" s="27" t="s">
        <v>943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6074</f>
        <v>6074.0</v>
      </c>
      <c r="L295" s="34" t="s">
        <v>48</v>
      </c>
      <c r="M295" s="33" t="n">
        <f>6183</f>
        <v>6183.0</v>
      </c>
      <c r="N295" s="34" t="s">
        <v>186</v>
      </c>
      <c r="O295" s="33" t="n">
        <f>5959</f>
        <v>5959.0</v>
      </c>
      <c r="P295" s="34" t="s">
        <v>50</v>
      </c>
      <c r="Q295" s="33" t="n">
        <f>5959</f>
        <v>5959.0</v>
      </c>
      <c r="R295" s="34" t="s">
        <v>50</v>
      </c>
      <c r="S295" s="35" t="n">
        <f>6016.55</f>
        <v>6016.55</v>
      </c>
      <c r="T295" s="32" t="n">
        <f>74393</f>
        <v>74393.0</v>
      </c>
      <c r="U295" s="32" t="str">
        <f>"－"</f>
        <v>－</v>
      </c>
      <c r="V295" s="32" t="n">
        <f>447385102</f>
        <v>4.47385102E8</v>
      </c>
      <c r="W295" s="32" t="str">
        <f>"－"</f>
        <v>－</v>
      </c>
      <c r="X295" s="36" t="n">
        <f>22</f>
        <v>22.0</v>
      </c>
    </row>
    <row r="296">
      <c r="A296" s="27" t="s">
        <v>42</v>
      </c>
      <c r="B296" s="27" t="s">
        <v>944</v>
      </c>
      <c r="C296" s="27" t="s">
        <v>945</v>
      </c>
      <c r="D296" s="27" t="s">
        <v>946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18570</f>
        <v>18570.0</v>
      </c>
      <c r="L296" s="34" t="s">
        <v>48</v>
      </c>
      <c r="M296" s="33" t="n">
        <f>20300</f>
        <v>20300.0</v>
      </c>
      <c r="N296" s="34" t="s">
        <v>50</v>
      </c>
      <c r="O296" s="33" t="n">
        <f>18540</f>
        <v>18540.0</v>
      </c>
      <c r="P296" s="34" t="s">
        <v>48</v>
      </c>
      <c r="Q296" s="33" t="n">
        <f>20270</f>
        <v>20270.0</v>
      </c>
      <c r="R296" s="34" t="s">
        <v>50</v>
      </c>
      <c r="S296" s="35" t="n">
        <f>19526.59</f>
        <v>19526.59</v>
      </c>
      <c r="T296" s="32" t="n">
        <f>296479</f>
        <v>296479.0</v>
      </c>
      <c r="U296" s="32" t="str">
        <f>"－"</f>
        <v>－</v>
      </c>
      <c r="V296" s="32" t="n">
        <f>5844647960</f>
        <v>5.84464796E9</v>
      </c>
      <c r="W296" s="32" t="str">
        <f>"－"</f>
        <v>－</v>
      </c>
      <c r="X296" s="36" t="n">
        <f>22</f>
        <v>22.0</v>
      </c>
    </row>
    <row r="297">
      <c r="A297" s="27" t="s">
        <v>42</v>
      </c>
      <c r="B297" s="27" t="s">
        <v>947</v>
      </c>
      <c r="C297" s="27" t="s">
        <v>948</v>
      </c>
      <c r="D297" s="27" t="s">
        <v>949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9534</f>
        <v>9534.0</v>
      </c>
      <c r="L297" s="34" t="s">
        <v>48</v>
      </c>
      <c r="M297" s="33" t="n">
        <f>10130</f>
        <v>10130.0</v>
      </c>
      <c r="N297" s="34" t="s">
        <v>65</v>
      </c>
      <c r="O297" s="33" t="n">
        <f>9504</f>
        <v>9504.0</v>
      </c>
      <c r="P297" s="34" t="s">
        <v>48</v>
      </c>
      <c r="Q297" s="33" t="n">
        <f>9985</f>
        <v>9985.0</v>
      </c>
      <c r="R297" s="34" t="s">
        <v>50</v>
      </c>
      <c r="S297" s="35" t="n">
        <f>9860.77</f>
        <v>9860.77</v>
      </c>
      <c r="T297" s="32" t="n">
        <f>442689</f>
        <v>442689.0</v>
      </c>
      <c r="U297" s="32" t="n">
        <f>33001</f>
        <v>33001.0</v>
      </c>
      <c r="V297" s="32" t="n">
        <f>4363352332</f>
        <v>4.363352332E9</v>
      </c>
      <c r="W297" s="32" t="n">
        <f>313898933</f>
        <v>3.13898933E8</v>
      </c>
      <c r="X297" s="36" t="n">
        <f>22</f>
        <v>22.0</v>
      </c>
    </row>
    <row r="298">
      <c r="A298" s="27" t="s">
        <v>42</v>
      </c>
      <c r="B298" s="27" t="s">
        <v>950</v>
      </c>
      <c r="C298" s="27" t="s">
        <v>951</v>
      </c>
      <c r="D298" s="27" t="s">
        <v>952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25430</f>
        <v>25430.0</v>
      </c>
      <c r="L298" s="34" t="s">
        <v>48</v>
      </c>
      <c r="M298" s="33" t="n">
        <f>25540</f>
        <v>25540.0</v>
      </c>
      <c r="N298" s="34" t="s">
        <v>48</v>
      </c>
      <c r="O298" s="33" t="n">
        <f>23945</f>
        <v>23945.0</v>
      </c>
      <c r="P298" s="34" t="s">
        <v>65</v>
      </c>
      <c r="Q298" s="33" t="n">
        <f>24270</f>
        <v>24270.0</v>
      </c>
      <c r="R298" s="34" t="s">
        <v>50</v>
      </c>
      <c r="S298" s="35" t="n">
        <f>24601.14</f>
        <v>24601.14</v>
      </c>
      <c r="T298" s="32" t="n">
        <f>409286</f>
        <v>409286.0</v>
      </c>
      <c r="U298" s="32" t="n">
        <f>66100</f>
        <v>66100.0</v>
      </c>
      <c r="V298" s="32" t="n">
        <f>10030345237</f>
        <v>1.0030345237E10</v>
      </c>
      <c r="W298" s="32" t="n">
        <f>1612562052</f>
        <v>1.612562052E9</v>
      </c>
      <c r="X298" s="36" t="n">
        <f>22</f>
        <v>22.0</v>
      </c>
    </row>
    <row r="299">
      <c r="A299" s="27" t="s">
        <v>42</v>
      </c>
      <c r="B299" s="27" t="s">
        <v>953</v>
      </c>
      <c r="C299" s="27" t="s">
        <v>954</v>
      </c>
      <c r="D299" s="27" t="s">
        <v>955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4405</f>
        <v>4405.0</v>
      </c>
      <c r="L299" s="34" t="s">
        <v>117</v>
      </c>
      <c r="M299" s="33" t="n">
        <f>4405</f>
        <v>4405.0</v>
      </c>
      <c r="N299" s="34" t="s">
        <v>117</v>
      </c>
      <c r="O299" s="33" t="n">
        <f>4247</f>
        <v>4247.0</v>
      </c>
      <c r="P299" s="34" t="s">
        <v>116</v>
      </c>
      <c r="Q299" s="33" t="n">
        <f>4267</f>
        <v>4267.0</v>
      </c>
      <c r="R299" s="34" t="s">
        <v>50</v>
      </c>
      <c r="S299" s="35" t="n">
        <f>4299.06</f>
        <v>4299.06</v>
      </c>
      <c r="T299" s="32" t="n">
        <f>321900</f>
        <v>321900.0</v>
      </c>
      <c r="U299" s="32" t="n">
        <f>317900</f>
        <v>317900.0</v>
      </c>
      <c r="V299" s="32" t="n">
        <f>1391633295</f>
        <v>1.391633295E9</v>
      </c>
      <c r="W299" s="32" t="n">
        <f>1374517055</f>
        <v>1.374517055E9</v>
      </c>
      <c r="X299" s="36" t="n">
        <f>17</f>
        <v>17.0</v>
      </c>
    </row>
    <row r="300">
      <c r="A300" s="27" t="s">
        <v>42</v>
      </c>
      <c r="B300" s="27" t="s">
        <v>956</v>
      </c>
      <c r="C300" s="27" t="s">
        <v>957</v>
      </c>
      <c r="D300" s="27" t="s">
        <v>958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5002</f>
        <v>5002.0</v>
      </c>
      <c r="L300" s="34" t="s">
        <v>117</v>
      </c>
      <c r="M300" s="33" t="n">
        <f>5169</f>
        <v>5169.0</v>
      </c>
      <c r="N300" s="34" t="s">
        <v>65</v>
      </c>
      <c r="O300" s="33" t="n">
        <f>4945</f>
        <v>4945.0</v>
      </c>
      <c r="P300" s="34" t="s">
        <v>208</v>
      </c>
      <c r="Q300" s="33" t="n">
        <f>5096</f>
        <v>5096.0</v>
      </c>
      <c r="R300" s="34" t="s">
        <v>50</v>
      </c>
      <c r="S300" s="35" t="n">
        <f>5063.8</f>
        <v>5063.8</v>
      </c>
      <c r="T300" s="32" t="n">
        <f>1157940</f>
        <v>1157940.0</v>
      </c>
      <c r="U300" s="32" t="n">
        <f>1137500</f>
        <v>1137500.0</v>
      </c>
      <c r="V300" s="32" t="n">
        <f>5956357460</f>
        <v>5.95635746E9</v>
      </c>
      <c r="W300" s="32" t="n">
        <f>5854199120</f>
        <v>5.85419912E9</v>
      </c>
      <c r="X300" s="36" t="n">
        <f>20</f>
        <v>20.0</v>
      </c>
    </row>
    <row r="301">
      <c r="A301" s="27" t="s">
        <v>42</v>
      </c>
      <c r="B301" s="27" t="s">
        <v>959</v>
      </c>
      <c r="C301" s="27" t="s">
        <v>960</v>
      </c>
      <c r="D301" s="27" t="s">
        <v>961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1995</f>
        <v>1995.0</v>
      </c>
      <c r="L301" s="34" t="s">
        <v>48</v>
      </c>
      <c r="M301" s="33" t="n">
        <f>2115.5</f>
        <v>2115.5</v>
      </c>
      <c r="N301" s="34" t="s">
        <v>65</v>
      </c>
      <c r="O301" s="33" t="n">
        <f>1985</f>
        <v>1985.0</v>
      </c>
      <c r="P301" s="34" t="s">
        <v>48</v>
      </c>
      <c r="Q301" s="33" t="n">
        <f>2085</f>
        <v>2085.0</v>
      </c>
      <c r="R301" s="34" t="s">
        <v>50</v>
      </c>
      <c r="S301" s="35" t="n">
        <f>2059.57</f>
        <v>2059.57</v>
      </c>
      <c r="T301" s="32" t="n">
        <f>1755300</f>
        <v>1755300.0</v>
      </c>
      <c r="U301" s="32" t="n">
        <f>250010</f>
        <v>250010.0</v>
      </c>
      <c r="V301" s="32" t="n">
        <f>3613651565</f>
        <v>3.613651565E9</v>
      </c>
      <c r="W301" s="32" t="n">
        <f>518795190</f>
        <v>5.1879519E8</v>
      </c>
      <c r="X301" s="36" t="n">
        <f>22</f>
        <v>22.0</v>
      </c>
    </row>
    <row r="302">
      <c r="A302" s="27" t="s">
        <v>42</v>
      </c>
      <c r="B302" s="27" t="s">
        <v>962</v>
      </c>
      <c r="C302" s="27" t="s">
        <v>963</v>
      </c>
      <c r="D302" s="27" t="s">
        <v>964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10.0</v>
      </c>
      <c r="K302" s="33" t="n">
        <f>1860</f>
        <v>1860.0</v>
      </c>
      <c r="L302" s="34" t="s">
        <v>48</v>
      </c>
      <c r="M302" s="33" t="n">
        <f>2023</f>
        <v>2023.0</v>
      </c>
      <c r="N302" s="34" t="s">
        <v>60</v>
      </c>
      <c r="O302" s="33" t="n">
        <f>1854</f>
        <v>1854.0</v>
      </c>
      <c r="P302" s="34" t="s">
        <v>48</v>
      </c>
      <c r="Q302" s="33" t="n">
        <f>1922.5</f>
        <v>1922.5</v>
      </c>
      <c r="R302" s="34" t="s">
        <v>50</v>
      </c>
      <c r="S302" s="35" t="n">
        <f>1908.84</f>
        <v>1908.84</v>
      </c>
      <c r="T302" s="32" t="n">
        <f>541500</f>
        <v>541500.0</v>
      </c>
      <c r="U302" s="32" t="str">
        <f>"－"</f>
        <v>－</v>
      </c>
      <c r="V302" s="32" t="n">
        <f>1034755770</f>
        <v>1.03475577E9</v>
      </c>
      <c r="W302" s="32" t="str">
        <f>"－"</f>
        <v>－</v>
      </c>
      <c r="X302" s="36" t="n">
        <f>22</f>
        <v>22.0</v>
      </c>
    </row>
    <row r="303">
      <c r="A303" s="27" t="s">
        <v>42</v>
      </c>
      <c r="B303" s="27" t="s">
        <v>965</v>
      </c>
      <c r="C303" s="27" t="s">
        <v>966</v>
      </c>
      <c r="D303" s="27" t="s">
        <v>967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1647</f>
        <v>1647.0</v>
      </c>
      <c r="L303" s="34" t="s">
        <v>117</v>
      </c>
      <c r="M303" s="33" t="n">
        <f>1740</f>
        <v>1740.0</v>
      </c>
      <c r="N303" s="34" t="s">
        <v>226</v>
      </c>
      <c r="O303" s="33" t="n">
        <f>1647</f>
        <v>1647.0</v>
      </c>
      <c r="P303" s="34" t="s">
        <v>117</v>
      </c>
      <c r="Q303" s="33" t="n">
        <f>1720</f>
        <v>1720.0</v>
      </c>
      <c r="R303" s="34" t="s">
        <v>50</v>
      </c>
      <c r="S303" s="35" t="n">
        <f>1710.24</f>
        <v>1710.24</v>
      </c>
      <c r="T303" s="32" t="n">
        <f>719</f>
        <v>719.0</v>
      </c>
      <c r="U303" s="32" t="str">
        <f>"－"</f>
        <v>－</v>
      </c>
      <c r="V303" s="32" t="n">
        <f>1234509</f>
        <v>1234509.0</v>
      </c>
      <c r="W303" s="32" t="str">
        <f>"－"</f>
        <v>－</v>
      </c>
      <c r="X303" s="36" t="n">
        <f>21</f>
        <v>21.0</v>
      </c>
    </row>
    <row r="304">
      <c r="A304" s="27" t="s">
        <v>42</v>
      </c>
      <c r="B304" s="27" t="s">
        <v>968</v>
      </c>
      <c r="C304" s="27" t="s">
        <v>969</v>
      </c>
      <c r="D304" s="27" t="s">
        <v>970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1707</f>
        <v>1707.0</v>
      </c>
      <c r="L304" s="34" t="s">
        <v>48</v>
      </c>
      <c r="M304" s="33" t="n">
        <f>1822</f>
        <v>1822.0</v>
      </c>
      <c r="N304" s="34" t="s">
        <v>60</v>
      </c>
      <c r="O304" s="33" t="n">
        <f>1707</f>
        <v>1707.0</v>
      </c>
      <c r="P304" s="34" t="s">
        <v>48</v>
      </c>
      <c r="Q304" s="33" t="n">
        <f>1797</f>
        <v>1797.0</v>
      </c>
      <c r="R304" s="34" t="s">
        <v>50</v>
      </c>
      <c r="S304" s="35" t="n">
        <f>1778.91</f>
        <v>1778.91</v>
      </c>
      <c r="T304" s="32" t="n">
        <f>16140</f>
        <v>16140.0</v>
      </c>
      <c r="U304" s="32" t="str">
        <f>"－"</f>
        <v>－</v>
      </c>
      <c r="V304" s="32" t="n">
        <f>28591149</f>
        <v>2.8591149E7</v>
      </c>
      <c r="W304" s="32" t="str">
        <f>"－"</f>
        <v>－</v>
      </c>
      <c r="X304" s="36" t="n">
        <f>22</f>
        <v>22.0</v>
      </c>
    </row>
    <row r="305">
      <c r="A305" s="27" t="s">
        <v>42</v>
      </c>
      <c r="B305" s="27" t="s">
        <v>971</v>
      </c>
      <c r="C305" s="27" t="s">
        <v>972</v>
      </c>
      <c r="D305" s="27" t="s">
        <v>973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3475</f>
        <v>3475.0</v>
      </c>
      <c r="L305" s="34" t="s">
        <v>48</v>
      </c>
      <c r="M305" s="33" t="n">
        <f>3800</f>
        <v>3800.0</v>
      </c>
      <c r="N305" s="34" t="s">
        <v>49</v>
      </c>
      <c r="O305" s="33" t="n">
        <f>3475</f>
        <v>3475.0</v>
      </c>
      <c r="P305" s="34" t="s">
        <v>48</v>
      </c>
      <c r="Q305" s="33" t="n">
        <f>3770</f>
        <v>3770.0</v>
      </c>
      <c r="R305" s="34" t="s">
        <v>50</v>
      </c>
      <c r="S305" s="35" t="n">
        <f>3675.91</f>
        <v>3675.91</v>
      </c>
      <c r="T305" s="32" t="n">
        <f>206162</f>
        <v>206162.0</v>
      </c>
      <c r="U305" s="32" t="str">
        <f>"－"</f>
        <v>－</v>
      </c>
      <c r="V305" s="32" t="n">
        <f>765844890</f>
        <v>7.6584489E8</v>
      </c>
      <c r="W305" s="32" t="str">
        <f>"－"</f>
        <v>－</v>
      </c>
      <c r="X305" s="36" t="n">
        <f>22</f>
        <v>22.0</v>
      </c>
    </row>
    <row r="306">
      <c r="A306" s="27" t="s">
        <v>42</v>
      </c>
      <c r="B306" s="27" t="s">
        <v>974</v>
      </c>
      <c r="C306" s="27" t="s">
        <v>975</v>
      </c>
      <c r="D306" s="27" t="s">
        <v>976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2300</f>
        <v>2300.0</v>
      </c>
      <c r="L306" s="34" t="s">
        <v>186</v>
      </c>
      <c r="M306" s="33" t="n">
        <f>2373</f>
        <v>2373.0</v>
      </c>
      <c r="N306" s="34" t="s">
        <v>70</v>
      </c>
      <c r="O306" s="33" t="n">
        <f>2300</f>
        <v>2300.0</v>
      </c>
      <c r="P306" s="34" t="s">
        <v>186</v>
      </c>
      <c r="Q306" s="33" t="n">
        <f>2345.5</f>
        <v>2345.5</v>
      </c>
      <c r="R306" s="34" t="s">
        <v>116</v>
      </c>
      <c r="S306" s="35" t="n">
        <f>2335</f>
        <v>2335.0</v>
      </c>
      <c r="T306" s="32" t="n">
        <f>90</f>
        <v>90.0</v>
      </c>
      <c r="U306" s="32" t="str">
        <f>"－"</f>
        <v>－</v>
      </c>
      <c r="V306" s="32" t="n">
        <f>211600</f>
        <v>211600.0</v>
      </c>
      <c r="W306" s="32" t="str">
        <f>"－"</f>
        <v>－</v>
      </c>
      <c r="X306" s="36" t="n">
        <f>4</f>
        <v>4.0</v>
      </c>
    </row>
    <row r="307">
      <c r="A307" s="27" t="s">
        <v>42</v>
      </c>
      <c r="B307" s="27" t="s">
        <v>977</v>
      </c>
      <c r="C307" s="27" t="s">
        <v>978</v>
      </c>
      <c r="D307" s="27" t="s">
        <v>979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220</f>
        <v>220.0</v>
      </c>
      <c r="L307" s="34" t="s">
        <v>48</v>
      </c>
      <c r="M307" s="33" t="n">
        <f>239.2</f>
        <v>239.2</v>
      </c>
      <c r="N307" s="34" t="s">
        <v>102</v>
      </c>
      <c r="O307" s="33" t="n">
        <f>217</f>
        <v>217.0</v>
      </c>
      <c r="P307" s="34" t="s">
        <v>102</v>
      </c>
      <c r="Q307" s="33" t="n">
        <f>231.5</f>
        <v>231.5</v>
      </c>
      <c r="R307" s="34" t="s">
        <v>50</v>
      </c>
      <c r="S307" s="35" t="n">
        <f>228.64</f>
        <v>228.64</v>
      </c>
      <c r="T307" s="32" t="n">
        <f>33120</f>
        <v>33120.0</v>
      </c>
      <c r="U307" s="32" t="str">
        <f>"－"</f>
        <v>－</v>
      </c>
      <c r="V307" s="32" t="n">
        <f>7581771</f>
        <v>7581771.0</v>
      </c>
      <c r="W307" s="32" t="str">
        <f>"－"</f>
        <v>－</v>
      </c>
      <c r="X307" s="36" t="n">
        <f>22</f>
        <v>22.0</v>
      </c>
    </row>
    <row r="308">
      <c r="A308" s="27" t="s">
        <v>42</v>
      </c>
      <c r="B308" s="27" t="s">
        <v>980</v>
      </c>
      <c r="C308" s="27" t="s">
        <v>981</v>
      </c>
      <c r="D308" s="27" t="s">
        <v>982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188.9</f>
        <v>188.9</v>
      </c>
      <c r="L308" s="34" t="s">
        <v>48</v>
      </c>
      <c r="M308" s="33" t="n">
        <f>190.5</f>
        <v>190.5</v>
      </c>
      <c r="N308" s="34" t="s">
        <v>61</v>
      </c>
      <c r="O308" s="33" t="n">
        <f>184.4</f>
        <v>184.4</v>
      </c>
      <c r="P308" s="34" t="s">
        <v>103</v>
      </c>
      <c r="Q308" s="33" t="n">
        <f>185.7</f>
        <v>185.7</v>
      </c>
      <c r="R308" s="34" t="s">
        <v>50</v>
      </c>
      <c r="S308" s="35" t="n">
        <f>186.95</f>
        <v>186.95</v>
      </c>
      <c r="T308" s="32" t="n">
        <f>36240</f>
        <v>36240.0</v>
      </c>
      <c r="U308" s="32" t="n">
        <f>24120</f>
        <v>24120.0</v>
      </c>
      <c r="V308" s="32" t="n">
        <f>6803752</f>
        <v>6803752.0</v>
      </c>
      <c r="W308" s="32" t="n">
        <f>4534560</f>
        <v>4534560.0</v>
      </c>
      <c r="X308" s="36" t="n">
        <f>22</f>
        <v>22.0</v>
      </c>
    </row>
    <row r="309">
      <c r="A309" s="27" t="s">
        <v>42</v>
      </c>
      <c r="B309" s="27" t="s">
        <v>983</v>
      </c>
      <c r="C309" s="27" t="s">
        <v>984</v>
      </c>
      <c r="D309" s="27" t="s">
        <v>985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10.0</v>
      </c>
      <c r="K309" s="33" t="n">
        <f>705.5</f>
        <v>705.5</v>
      </c>
      <c r="L309" s="34" t="s">
        <v>186</v>
      </c>
      <c r="M309" s="33" t="n">
        <f>707.6</f>
        <v>707.6</v>
      </c>
      <c r="N309" s="34" t="s">
        <v>50</v>
      </c>
      <c r="O309" s="33" t="n">
        <f>693.9</f>
        <v>693.9</v>
      </c>
      <c r="P309" s="34" t="s">
        <v>65</v>
      </c>
      <c r="Q309" s="33" t="n">
        <f>707.6</f>
        <v>707.6</v>
      </c>
      <c r="R309" s="34" t="s">
        <v>50</v>
      </c>
      <c r="S309" s="35" t="n">
        <f>701.37</f>
        <v>701.37</v>
      </c>
      <c r="T309" s="32" t="n">
        <f>32160</f>
        <v>32160.0</v>
      </c>
      <c r="U309" s="32" t="n">
        <f>29730</f>
        <v>29730.0</v>
      </c>
      <c r="V309" s="32" t="n">
        <f>22524945</f>
        <v>2.2524945E7</v>
      </c>
      <c r="W309" s="32" t="n">
        <f>20829095</f>
        <v>2.0829095E7</v>
      </c>
      <c r="X309" s="36" t="n">
        <f>9</f>
        <v>9.0</v>
      </c>
    </row>
    <row r="310">
      <c r="A310" s="27" t="s">
        <v>42</v>
      </c>
      <c r="B310" s="27" t="s">
        <v>986</v>
      </c>
      <c r="C310" s="27" t="s">
        <v>987</v>
      </c>
      <c r="D310" s="27" t="s">
        <v>988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1179</f>
        <v>1179.0</v>
      </c>
      <c r="L310" s="34" t="s">
        <v>48</v>
      </c>
      <c r="M310" s="33" t="n">
        <f>1258</f>
        <v>1258.0</v>
      </c>
      <c r="N310" s="34" t="s">
        <v>65</v>
      </c>
      <c r="O310" s="33" t="n">
        <f>1177</f>
        <v>1177.0</v>
      </c>
      <c r="P310" s="34" t="s">
        <v>48</v>
      </c>
      <c r="Q310" s="33" t="n">
        <f>1219</f>
        <v>1219.0</v>
      </c>
      <c r="R310" s="34" t="s">
        <v>50</v>
      </c>
      <c r="S310" s="35" t="n">
        <f>1219.68</f>
        <v>1219.68</v>
      </c>
      <c r="T310" s="32" t="n">
        <f>259954</f>
        <v>259954.0</v>
      </c>
      <c r="U310" s="32" t="n">
        <f>2</f>
        <v>2.0</v>
      </c>
      <c r="V310" s="32" t="n">
        <f>315644819</f>
        <v>3.15644819E8</v>
      </c>
      <c r="W310" s="32" t="n">
        <f>2412</f>
        <v>2412.0</v>
      </c>
      <c r="X310" s="36" t="n">
        <f>22</f>
        <v>22.0</v>
      </c>
    </row>
    <row r="311">
      <c r="A311" s="27" t="s">
        <v>42</v>
      </c>
      <c r="B311" s="27" t="s">
        <v>989</v>
      </c>
      <c r="C311" s="27" t="s">
        <v>990</v>
      </c>
      <c r="D311" s="27" t="s">
        <v>991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962</f>
        <v>962.0</v>
      </c>
      <c r="L311" s="34" t="s">
        <v>48</v>
      </c>
      <c r="M311" s="33" t="n">
        <f>987</f>
        <v>987.0</v>
      </c>
      <c r="N311" s="34" t="s">
        <v>80</v>
      </c>
      <c r="O311" s="33" t="n">
        <f>943</f>
        <v>943.0</v>
      </c>
      <c r="P311" s="34" t="s">
        <v>103</v>
      </c>
      <c r="Q311" s="33" t="n">
        <f>956</f>
        <v>956.0</v>
      </c>
      <c r="R311" s="34" t="s">
        <v>50</v>
      </c>
      <c r="S311" s="35" t="n">
        <f>959.36</f>
        <v>959.36</v>
      </c>
      <c r="T311" s="32" t="n">
        <f>180452</f>
        <v>180452.0</v>
      </c>
      <c r="U311" s="32" t="n">
        <f>100001</f>
        <v>100001.0</v>
      </c>
      <c r="V311" s="32" t="n">
        <f>172487090</f>
        <v>1.7248709E8</v>
      </c>
      <c r="W311" s="32" t="n">
        <f>95915950</f>
        <v>9.591595E7</v>
      </c>
      <c r="X311" s="36" t="n">
        <f>22</f>
        <v>22.0</v>
      </c>
    </row>
    <row r="312">
      <c r="A312" s="27" t="s">
        <v>42</v>
      </c>
      <c r="B312" s="27" t="s">
        <v>992</v>
      </c>
      <c r="C312" s="27" t="s">
        <v>993</v>
      </c>
      <c r="D312" s="27" t="s">
        <v>994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10.0</v>
      </c>
      <c r="K312" s="33" t="n">
        <f>747.1</f>
        <v>747.1</v>
      </c>
      <c r="L312" s="34" t="s">
        <v>48</v>
      </c>
      <c r="M312" s="33" t="n">
        <f>753</f>
        <v>753.0</v>
      </c>
      <c r="N312" s="34" t="s">
        <v>397</v>
      </c>
      <c r="O312" s="33" t="n">
        <f>733.8</f>
        <v>733.8</v>
      </c>
      <c r="P312" s="34" t="s">
        <v>50</v>
      </c>
      <c r="Q312" s="33" t="n">
        <f>735.6</f>
        <v>735.6</v>
      </c>
      <c r="R312" s="34" t="s">
        <v>50</v>
      </c>
      <c r="S312" s="35" t="n">
        <f>741.98</f>
        <v>741.98</v>
      </c>
      <c r="T312" s="32" t="n">
        <f>3055270</f>
        <v>3055270.0</v>
      </c>
      <c r="U312" s="32" t="n">
        <f>2719680</f>
        <v>2719680.0</v>
      </c>
      <c r="V312" s="32" t="n">
        <f>2248924530</f>
        <v>2.24892453E9</v>
      </c>
      <c r="W312" s="32" t="n">
        <f>1999780911</f>
        <v>1.999780911E9</v>
      </c>
      <c r="X312" s="36" t="n">
        <f>22</f>
        <v>22.0</v>
      </c>
    </row>
    <row r="313">
      <c r="A313" s="27" t="s">
        <v>42</v>
      </c>
      <c r="B313" s="27" t="s">
        <v>995</v>
      </c>
      <c r="C313" s="27" t="s">
        <v>996</v>
      </c>
      <c r="D313" s="27" t="s">
        <v>997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10.0</v>
      </c>
      <c r="K313" s="33" t="n">
        <f>725</f>
        <v>725.0</v>
      </c>
      <c r="L313" s="34" t="s">
        <v>48</v>
      </c>
      <c r="M313" s="33" t="n">
        <f>725</f>
        <v>725.0</v>
      </c>
      <c r="N313" s="34" t="s">
        <v>48</v>
      </c>
      <c r="O313" s="33" t="n">
        <f>704</f>
        <v>704.0</v>
      </c>
      <c r="P313" s="34" t="s">
        <v>116</v>
      </c>
      <c r="Q313" s="33" t="n">
        <f>709.5</f>
        <v>709.5</v>
      </c>
      <c r="R313" s="34" t="s">
        <v>50</v>
      </c>
      <c r="S313" s="35" t="n">
        <f>710.48</f>
        <v>710.48</v>
      </c>
      <c r="T313" s="32" t="n">
        <f>2594870</f>
        <v>2594870.0</v>
      </c>
      <c r="U313" s="32" t="n">
        <f>2401940</f>
        <v>2401940.0</v>
      </c>
      <c r="V313" s="32" t="n">
        <f>1848750673</f>
        <v>1.848750673E9</v>
      </c>
      <c r="W313" s="32" t="n">
        <f>1711441717</f>
        <v>1.711441717E9</v>
      </c>
      <c r="X313" s="36" t="n">
        <f>22</f>
        <v>22.0</v>
      </c>
    </row>
    <row r="314">
      <c r="A314" s="27" t="s">
        <v>42</v>
      </c>
      <c r="B314" s="27" t="s">
        <v>998</v>
      </c>
      <c r="C314" s="27" t="s">
        <v>999</v>
      </c>
      <c r="D314" s="27" t="s">
        <v>1000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1085</f>
        <v>1085.0</v>
      </c>
      <c r="L314" s="34" t="s">
        <v>48</v>
      </c>
      <c r="M314" s="33" t="n">
        <f>1113</f>
        <v>1113.0</v>
      </c>
      <c r="N314" s="34" t="s">
        <v>49</v>
      </c>
      <c r="O314" s="33" t="n">
        <f>1083</f>
        <v>1083.0</v>
      </c>
      <c r="P314" s="34" t="s">
        <v>222</v>
      </c>
      <c r="Q314" s="33" t="n">
        <f>1112</f>
        <v>1112.0</v>
      </c>
      <c r="R314" s="34" t="s">
        <v>50</v>
      </c>
      <c r="S314" s="35" t="n">
        <f>1100.77</f>
        <v>1100.77</v>
      </c>
      <c r="T314" s="32" t="n">
        <f>27098</f>
        <v>27098.0</v>
      </c>
      <c r="U314" s="32" t="n">
        <f>14</f>
        <v>14.0</v>
      </c>
      <c r="V314" s="32" t="n">
        <f>29745015</f>
        <v>2.9745015E7</v>
      </c>
      <c r="W314" s="32" t="n">
        <f>14389</f>
        <v>14389.0</v>
      </c>
      <c r="X314" s="36" t="n">
        <f>22</f>
        <v>22.0</v>
      </c>
    </row>
    <row r="315">
      <c r="A315" s="27" t="s">
        <v>42</v>
      </c>
      <c r="B315" s="27" t="s">
        <v>1001</v>
      </c>
      <c r="C315" s="27" t="s">
        <v>1002</v>
      </c>
      <c r="D315" s="27" t="s">
        <v>1003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10.0</v>
      </c>
      <c r="K315" s="33" t="n">
        <f>2377.5</f>
        <v>2377.5</v>
      </c>
      <c r="L315" s="34" t="s">
        <v>48</v>
      </c>
      <c r="M315" s="33" t="n">
        <f>2417.5</f>
        <v>2417.5</v>
      </c>
      <c r="N315" s="34" t="s">
        <v>186</v>
      </c>
      <c r="O315" s="33" t="n">
        <f>2341</f>
        <v>2341.0</v>
      </c>
      <c r="P315" s="34" t="s">
        <v>212</v>
      </c>
      <c r="Q315" s="33" t="n">
        <f>2387</f>
        <v>2387.0</v>
      </c>
      <c r="R315" s="34" t="s">
        <v>50</v>
      </c>
      <c r="S315" s="35" t="n">
        <f>2377.95</f>
        <v>2377.95</v>
      </c>
      <c r="T315" s="32" t="n">
        <f>121450</f>
        <v>121450.0</v>
      </c>
      <c r="U315" s="32" t="str">
        <f>"－"</f>
        <v>－</v>
      </c>
      <c r="V315" s="32" t="n">
        <f>289143460</f>
        <v>2.8914346E8</v>
      </c>
      <c r="W315" s="32" t="str">
        <f>"－"</f>
        <v>－</v>
      </c>
      <c r="X315" s="36" t="n">
        <f>22</f>
        <v>22.0</v>
      </c>
    </row>
    <row r="316">
      <c r="A316" s="27" t="s">
        <v>42</v>
      </c>
      <c r="B316" s="27" t="s">
        <v>1004</v>
      </c>
      <c r="C316" s="27" t="s">
        <v>1005</v>
      </c>
      <c r="D316" s="27" t="s">
        <v>1006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10.0</v>
      </c>
      <c r="K316" s="33" t="n">
        <f>2415.5</f>
        <v>2415.5</v>
      </c>
      <c r="L316" s="34" t="s">
        <v>48</v>
      </c>
      <c r="M316" s="33" t="n">
        <f>2447.5</f>
        <v>2447.5</v>
      </c>
      <c r="N316" s="34" t="s">
        <v>60</v>
      </c>
      <c r="O316" s="33" t="n">
        <f>2331</f>
        <v>2331.0</v>
      </c>
      <c r="P316" s="34" t="s">
        <v>479</v>
      </c>
      <c r="Q316" s="33" t="n">
        <f>2356.5</f>
        <v>2356.5</v>
      </c>
      <c r="R316" s="34" t="s">
        <v>50</v>
      </c>
      <c r="S316" s="35" t="n">
        <f>2372.57</f>
        <v>2372.57</v>
      </c>
      <c r="T316" s="32" t="n">
        <f>328020</f>
        <v>328020.0</v>
      </c>
      <c r="U316" s="32" t="n">
        <f>83000</f>
        <v>83000.0</v>
      </c>
      <c r="V316" s="32" t="n">
        <f>784414266</f>
        <v>7.84414266E8</v>
      </c>
      <c r="W316" s="32" t="n">
        <f>199428001</f>
        <v>1.99428001E8</v>
      </c>
      <c r="X316" s="36" t="n">
        <f>22</f>
        <v>22.0</v>
      </c>
    </row>
    <row r="317">
      <c r="A317" s="27" t="s">
        <v>42</v>
      </c>
      <c r="B317" s="27" t="s">
        <v>1007</v>
      </c>
      <c r="C317" s="27" t="s">
        <v>1008</v>
      </c>
      <c r="D317" s="27" t="s">
        <v>1009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10.0</v>
      </c>
      <c r="K317" s="33" t="n">
        <f>4930</f>
        <v>4930.0</v>
      </c>
      <c r="L317" s="34" t="s">
        <v>314</v>
      </c>
      <c r="M317" s="33" t="n">
        <f>5274</f>
        <v>5274.0</v>
      </c>
      <c r="N317" s="34" t="s">
        <v>102</v>
      </c>
      <c r="O317" s="33" t="n">
        <f>4930</f>
        <v>4930.0</v>
      </c>
      <c r="P317" s="34" t="s">
        <v>314</v>
      </c>
      <c r="Q317" s="33" t="n">
        <f>5195</f>
        <v>5195.0</v>
      </c>
      <c r="R317" s="34" t="s">
        <v>50</v>
      </c>
      <c r="S317" s="35" t="n">
        <f>5090.33</f>
        <v>5090.33</v>
      </c>
      <c r="T317" s="32" t="n">
        <f>6260</f>
        <v>6260.0</v>
      </c>
      <c r="U317" s="32" t="n">
        <f>6000</f>
        <v>6000.0</v>
      </c>
      <c r="V317" s="32" t="n">
        <f>31536770</f>
        <v>3.153677E7</v>
      </c>
      <c r="W317" s="32" t="n">
        <f>30212600</f>
        <v>3.02126E7</v>
      </c>
      <c r="X317" s="36" t="n">
        <f>12</f>
        <v>12.0</v>
      </c>
    </row>
    <row r="318">
      <c r="A318" s="27" t="s">
        <v>42</v>
      </c>
      <c r="B318" s="27" t="s">
        <v>1010</v>
      </c>
      <c r="C318" s="27" t="s">
        <v>1011</v>
      </c>
      <c r="D318" s="27" t="s">
        <v>1012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10.0</v>
      </c>
      <c r="K318" s="33" t="n">
        <f>4414</f>
        <v>4414.0</v>
      </c>
      <c r="L318" s="34" t="s">
        <v>186</v>
      </c>
      <c r="M318" s="33" t="n">
        <f>4426</f>
        <v>4426.0</v>
      </c>
      <c r="N318" s="34" t="s">
        <v>397</v>
      </c>
      <c r="O318" s="33" t="n">
        <f>4368</f>
        <v>4368.0</v>
      </c>
      <c r="P318" s="34" t="s">
        <v>65</v>
      </c>
      <c r="Q318" s="33" t="n">
        <f>4424</f>
        <v>4424.0</v>
      </c>
      <c r="R318" s="34" t="s">
        <v>479</v>
      </c>
      <c r="S318" s="35" t="n">
        <f>4401.83</f>
        <v>4401.83</v>
      </c>
      <c r="T318" s="32" t="n">
        <f>110320</f>
        <v>110320.0</v>
      </c>
      <c r="U318" s="32" t="n">
        <f>110000</f>
        <v>110000.0</v>
      </c>
      <c r="V318" s="32" t="n">
        <f>481709560</f>
        <v>4.8170956E8</v>
      </c>
      <c r="W318" s="32" t="n">
        <f>480304000</f>
        <v>4.80304E8</v>
      </c>
      <c r="X318" s="36" t="n">
        <f>6</f>
        <v>6.0</v>
      </c>
    </row>
    <row r="319">
      <c r="A319" s="27" t="s">
        <v>42</v>
      </c>
      <c r="B319" s="27" t="s">
        <v>1013</v>
      </c>
      <c r="C319" s="27" t="s">
        <v>1014</v>
      </c>
      <c r="D319" s="27" t="s">
        <v>1015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10.0</v>
      </c>
      <c r="K319" s="33" t="n">
        <f>1866</f>
        <v>1866.0</v>
      </c>
      <c r="L319" s="34" t="s">
        <v>397</v>
      </c>
      <c r="M319" s="33" t="n">
        <f>1968.5</f>
        <v>1968.5</v>
      </c>
      <c r="N319" s="34" t="s">
        <v>65</v>
      </c>
      <c r="O319" s="33" t="n">
        <f>1866</f>
        <v>1866.0</v>
      </c>
      <c r="P319" s="34" t="s">
        <v>397</v>
      </c>
      <c r="Q319" s="33" t="n">
        <f>1958.5</f>
        <v>1958.5</v>
      </c>
      <c r="R319" s="34" t="s">
        <v>226</v>
      </c>
      <c r="S319" s="35" t="n">
        <f>1957.25</f>
        <v>1957.25</v>
      </c>
      <c r="T319" s="32" t="n">
        <f>2510</f>
        <v>2510.0</v>
      </c>
      <c r="U319" s="32" t="str">
        <f>"－"</f>
        <v>－</v>
      </c>
      <c r="V319" s="32" t="n">
        <f>4881280</f>
        <v>4881280.0</v>
      </c>
      <c r="W319" s="32" t="str">
        <f>"－"</f>
        <v>－</v>
      </c>
      <c r="X319" s="36" t="n">
        <f>6</f>
        <v>6.0</v>
      </c>
    </row>
    <row r="320">
      <c r="A320" s="27" t="s">
        <v>42</v>
      </c>
      <c r="B320" s="27" t="s">
        <v>1016</v>
      </c>
      <c r="C320" s="27" t="s">
        <v>1017</v>
      </c>
      <c r="D320" s="27" t="s">
        <v>1018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1102</f>
        <v>1102.0</v>
      </c>
      <c r="L320" s="34" t="s">
        <v>48</v>
      </c>
      <c r="M320" s="33" t="n">
        <f>1196</f>
        <v>1196.0</v>
      </c>
      <c r="N320" s="34" t="s">
        <v>60</v>
      </c>
      <c r="O320" s="33" t="n">
        <f>1102</f>
        <v>1102.0</v>
      </c>
      <c r="P320" s="34" t="s">
        <v>48</v>
      </c>
      <c r="Q320" s="33" t="n">
        <f>1168</f>
        <v>1168.0</v>
      </c>
      <c r="R320" s="34" t="s">
        <v>50</v>
      </c>
      <c r="S320" s="35" t="n">
        <f>1144.91</f>
        <v>1144.91</v>
      </c>
      <c r="T320" s="32" t="n">
        <f>4332</f>
        <v>4332.0</v>
      </c>
      <c r="U320" s="32" t="str">
        <f>"－"</f>
        <v>－</v>
      </c>
      <c r="V320" s="32" t="n">
        <f>4980659</f>
        <v>4980659.0</v>
      </c>
      <c r="W320" s="32" t="str">
        <f>"－"</f>
        <v>－</v>
      </c>
      <c r="X320" s="36" t="n">
        <f>22</f>
        <v>22.0</v>
      </c>
    </row>
    <row r="321">
      <c r="A321" s="27" t="s">
        <v>42</v>
      </c>
      <c r="B321" s="27" t="s">
        <v>1019</v>
      </c>
      <c r="C321" s="27" t="s">
        <v>1020</v>
      </c>
      <c r="D321" s="27" t="s">
        <v>1021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1067</f>
        <v>1067.0</v>
      </c>
      <c r="L321" s="34" t="s">
        <v>48</v>
      </c>
      <c r="M321" s="33" t="n">
        <f>1137</f>
        <v>1137.0</v>
      </c>
      <c r="N321" s="34" t="s">
        <v>61</v>
      </c>
      <c r="O321" s="33" t="n">
        <f>1063</f>
        <v>1063.0</v>
      </c>
      <c r="P321" s="34" t="s">
        <v>48</v>
      </c>
      <c r="Q321" s="33" t="n">
        <f>1113</f>
        <v>1113.0</v>
      </c>
      <c r="R321" s="34" t="s">
        <v>50</v>
      </c>
      <c r="S321" s="35" t="n">
        <f>1088.59</f>
        <v>1088.59</v>
      </c>
      <c r="T321" s="32" t="n">
        <f>797354</f>
        <v>797354.0</v>
      </c>
      <c r="U321" s="32" t="n">
        <f>14</f>
        <v>14.0</v>
      </c>
      <c r="V321" s="32" t="n">
        <f>863413410</f>
        <v>8.6341341E8</v>
      </c>
      <c r="W321" s="32" t="n">
        <f>14203</f>
        <v>14203.0</v>
      </c>
      <c r="X321" s="36" t="n">
        <f>22</f>
        <v>22.0</v>
      </c>
    </row>
    <row r="322">
      <c r="A322" s="27" t="s">
        <v>42</v>
      </c>
      <c r="B322" s="27" t="s">
        <v>1022</v>
      </c>
      <c r="C322" s="27" t="s">
        <v>1023</v>
      </c>
      <c r="D322" s="27" t="s">
        <v>1024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898</f>
        <v>898.0</v>
      </c>
      <c r="L322" s="34" t="s">
        <v>48</v>
      </c>
      <c r="M322" s="33" t="n">
        <f>931</f>
        <v>931.0</v>
      </c>
      <c r="N322" s="34" t="s">
        <v>50</v>
      </c>
      <c r="O322" s="33" t="n">
        <f>894</f>
        <v>894.0</v>
      </c>
      <c r="P322" s="34" t="s">
        <v>70</v>
      </c>
      <c r="Q322" s="33" t="n">
        <f>930</f>
        <v>930.0</v>
      </c>
      <c r="R322" s="34" t="s">
        <v>50</v>
      </c>
      <c r="S322" s="35" t="n">
        <f>911.68</f>
        <v>911.68</v>
      </c>
      <c r="T322" s="32" t="n">
        <f>715817</f>
        <v>715817.0</v>
      </c>
      <c r="U322" s="32" t="n">
        <f>6</f>
        <v>6.0</v>
      </c>
      <c r="V322" s="32" t="n">
        <f>651574597</f>
        <v>6.51574597E8</v>
      </c>
      <c r="W322" s="32" t="n">
        <f>5520</f>
        <v>5520.0</v>
      </c>
      <c r="X322" s="36" t="n">
        <f>22</f>
        <v>22.0</v>
      </c>
    </row>
    <row r="323">
      <c r="A323" s="27" t="s">
        <v>42</v>
      </c>
      <c r="B323" s="27" t="s">
        <v>1025</v>
      </c>
      <c r="C323" s="27" t="s">
        <v>1026</v>
      </c>
      <c r="D323" s="27" t="s">
        <v>1027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1022</f>
        <v>1022.0</v>
      </c>
      <c r="L323" s="34" t="s">
        <v>48</v>
      </c>
      <c r="M323" s="33" t="n">
        <f>1194</f>
        <v>1194.0</v>
      </c>
      <c r="N323" s="34" t="s">
        <v>50</v>
      </c>
      <c r="O323" s="33" t="n">
        <f>1022</f>
        <v>1022.0</v>
      </c>
      <c r="P323" s="34" t="s">
        <v>48</v>
      </c>
      <c r="Q323" s="33" t="n">
        <f>1181</f>
        <v>1181.0</v>
      </c>
      <c r="R323" s="34" t="s">
        <v>50</v>
      </c>
      <c r="S323" s="35" t="n">
        <f>1130.45</f>
        <v>1130.45</v>
      </c>
      <c r="T323" s="32" t="n">
        <f>66212</f>
        <v>66212.0</v>
      </c>
      <c r="U323" s="32" t="str">
        <f>"－"</f>
        <v>－</v>
      </c>
      <c r="V323" s="32" t="n">
        <f>75830842</f>
        <v>7.5830842E7</v>
      </c>
      <c r="W323" s="32" t="str">
        <f>"－"</f>
        <v>－</v>
      </c>
      <c r="X323" s="36" t="n">
        <f>22</f>
        <v>22.0</v>
      </c>
    </row>
    <row r="324">
      <c r="A324" s="27" t="s">
        <v>42</v>
      </c>
      <c r="B324" s="27" t="s">
        <v>1028</v>
      </c>
      <c r="C324" s="27" t="s">
        <v>1029</v>
      </c>
      <c r="D324" s="27" t="s">
        <v>1030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976</f>
        <v>976.0</v>
      </c>
      <c r="L324" s="34" t="s">
        <v>48</v>
      </c>
      <c r="M324" s="33" t="n">
        <f>1023</f>
        <v>1023.0</v>
      </c>
      <c r="N324" s="34" t="s">
        <v>50</v>
      </c>
      <c r="O324" s="33" t="n">
        <f>975</f>
        <v>975.0</v>
      </c>
      <c r="P324" s="34" t="s">
        <v>48</v>
      </c>
      <c r="Q324" s="33" t="n">
        <f>1022</f>
        <v>1022.0</v>
      </c>
      <c r="R324" s="34" t="s">
        <v>50</v>
      </c>
      <c r="S324" s="35" t="n">
        <f>995.5</f>
        <v>995.5</v>
      </c>
      <c r="T324" s="32" t="n">
        <f>273193</f>
        <v>273193.0</v>
      </c>
      <c r="U324" s="32" t="n">
        <f>14</f>
        <v>14.0</v>
      </c>
      <c r="V324" s="32" t="n">
        <f>271139393</f>
        <v>2.71139393E8</v>
      </c>
      <c r="W324" s="32" t="n">
        <f>13203</f>
        <v>13203.0</v>
      </c>
      <c r="X324" s="36" t="n">
        <f>22</f>
        <v>22.0</v>
      </c>
    </row>
    <row r="325">
      <c r="A325" s="27" t="s">
        <v>42</v>
      </c>
      <c r="B325" s="27" t="s">
        <v>1031</v>
      </c>
      <c r="C325" s="27" t="s">
        <v>1032</v>
      </c>
      <c r="D325" s="27" t="s">
        <v>1033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27250</f>
        <v>27250.0</v>
      </c>
      <c r="L325" s="34" t="s">
        <v>48</v>
      </c>
      <c r="M325" s="33" t="n">
        <f>31960</f>
        <v>31960.0</v>
      </c>
      <c r="N325" s="34" t="s">
        <v>65</v>
      </c>
      <c r="O325" s="33" t="n">
        <f>27040</f>
        <v>27040.0</v>
      </c>
      <c r="P325" s="34" t="s">
        <v>48</v>
      </c>
      <c r="Q325" s="33" t="n">
        <f>29665</f>
        <v>29665.0</v>
      </c>
      <c r="R325" s="34" t="s">
        <v>50</v>
      </c>
      <c r="S325" s="35" t="n">
        <f>29052.73</f>
        <v>29052.73</v>
      </c>
      <c r="T325" s="32" t="n">
        <f>355191</f>
        <v>355191.0</v>
      </c>
      <c r="U325" s="32" t="n">
        <f>18</f>
        <v>18.0</v>
      </c>
      <c r="V325" s="32" t="n">
        <f>10278377590</f>
        <v>1.027837759E10</v>
      </c>
      <c r="W325" s="32" t="n">
        <f>531815</f>
        <v>531815.0</v>
      </c>
      <c r="X325" s="36" t="n">
        <f>22</f>
        <v>22.0</v>
      </c>
    </row>
    <row r="326">
      <c r="A326" s="27" t="s">
        <v>42</v>
      </c>
      <c r="B326" s="27" t="s">
        <v>1034</v>
      </c>
      <c r="C326" s="27" t="s">
        <v>1035</v>
      </c>
      <c r="D326" s="27" t="s">
        <v>1036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38380</f>
        <v>38380.0</v>
      </c>
      <c r="L326" s="34" t="s">
        <v>48</v>
      </c>
      <c r="M326" s="33" t="n">
        <f>38650</f>
        <v>38650.0</v>
      </c>
      <c r="N326" s="34" t="s">
        <v>48</v>
      </c>
      <c r="O326" s="33" t="n">
        <f>33990</f>
        <v>33990.0</v>
      </c>
      <c r="P326" s="34" t="s">
        <v>65</v>
      </c>
      <c r="Q326" s="33" t="n">
        <f>34850</f>
        <v>34850.0</v>
      </c>
      <c r="R326" s="34" t="s">
        <v>50</v>
      </c>
      <c r="S326" s="35" t="n">
        <f>35865</f>
        <v>35865.0</v>
      </c>
      <c r="T326" s="32" t="n">
        <f>155518</f>
        <v>155518.0</v>
      </c>
      <c r="U326" s="32" t="str">
        <f>"－"</f>
        <v>－</v>
      </c>
      <c r="V326" s="32" t="n">
        <f>5575277710</f>
        <v>5.57527771E9</v>
      </c>
      <c r="W326" s="32" t="str">
        <f>"－"</f>
        <v>－</v>
      </c>
      <c r="X326" s="36" t="n">
        <f>22</f>
        <v>22.0</v>
      </c>
    </row>
    <row r="327">
      <c r="A327" s="27" t="s">
        <v>42</v>
      </c>
      <c r="B327" s="27" t="s">
        <v>1037</v>
      </c>
      <c r="C327" s="27" t="s">
        <v>1038</v>
      </c>
      <c r="D327" s="27" t="s">
        <v>1039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115500</f>
        <v>115500.0</v>
      </c>
      <c r="L327" s="34" t="s">
        <v>48</v>
      </c>
      <c r="M327" s="33" t="n">
        <f>122400</f>
        <v>122400.0</v>
      </c>
      <c r="N327" s="34" t="s">
        <v>50</v>
      </c>
      <c r="O327" s="33" t="n">
        <f>115000</f>
        <v>115000.0</v>
      </c>
      <c r="P327" s="34" t="s">
        <v>48</v>
      </c>
      <c r="Q327" s="33" t="n">
        <f>122400</f>
        <v>122400.0</v>
      </c>
      <c r="R327" s="34" t="s">
        <v>50</v>
      </c>
      <c r="S327" s="35" t="n">
        <f>118109.09</f>
        <v>118109.09</v>
      </c>
      <c r="T327" s="32" t="n">
        <f>15812</f>
        <v>15812.0</v>
      </c>
      <c r="U327" s="32" t="n">
        <f>2060</f>
        <v>2060.0</v>
      </c>
      <c r="V327" s="32" t="n">
        <f>1872313708</f>
        <v>1.872313708E9</v>
      </c>
      <c r="W327" s="32" t="n">
        <f>243849908</f>
        <v>2.43849908E8</v>
      </c>
      <c r="X327" s="36" t="n">
        <f>22</f>
        <v>22.0</v>
      </c>
    </row>
    <row r="328">
      <c r="A328" s="27" t="s">
        <v>42</v>
      </c>
      <c r="B328" s="27" t="s">
        <v>1040</v>
      </c>
      <c r="C328" s="27" t="s">
        <v>1041</v>
      </c>
      <c r="D328" s="27" t="s">
        <v>1042</v>
      </c>
      <c r="E328" s="28" t="s">
        <v>46</v>
      </c>
      <c r="F328" s="29" t="s">
        <v>46</v>
      </c>
      <c r="G328" s="30" t="s">
        <v>46</v>
      </c>
      <c r="H328" s="31"/>
      <c r="I328" s="31" t="s">
        <v>591</v>
      </c>
      <c r="J328" s="32" t="n">
        <v>1.0</v>
      </c>
      <c r="K328" s="33" t="n">
        <f>85800</f>
        <v>85800.0</v>
      </c>
      <c r="L328" s="34" t="s">
        <v>48</v>
      </c>
      <c r="M328" s="33" t="n">
        <f>90800</f>
        <v>90800.0</v>
      </c>
      <c r="N328" s="34" t="s">
        <v>50</v>
      </c>
      <c r="O328" s="33" t="n">
        <f>84800</f>
        <v>84800.0</v>
      </c>
      <c r="P328" s="34" t="s">
        <v>48</v>
      </c>
      <c r="Q328" s="33" t="n">
        <f>90800</f>
        <v>90800.0</v>
      </c>
      <c r="R328" s="34" t="s">
        <v>50</v>
      </c>
      <c r="S328" s="35" t="n">
        <f>87504.55</f>
        <v>87504.55</v>
      </c>
      <c r="T328" s="32" t="n">
        <f>40837</f>
        <v>40837.0</v>
      </c>
      <c r="U328" s="32" t="n">
        <f>7286</f>
        <v>7286.0</v>
      </c>
      <c r="V328" s="32" t="n">
        <f>3573946396</f>
        <v>3.573946396E9</v>
      </c>
      <c r="W328" s="32" t="n">
        <f>639715496</f>
        <v>6.39715496E8</v>
      </c>
      <c r="X328" s="36" t="n">
        <f>22</f>
        <v>22.0</v>
      </c>
    </row>
    <row r="329">
      <c r="A329" s="27" t="s">
        <v>42</v>
      </c>
      <c r="B329" s="27" t="s">
        <v>1043</v>
      </c>
      <c r="C329" s="27" t="s">
        <v>1044</v>
      </c>
      <c r="D329" s="27" t="s">
        <v>1045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134000</f>
        <v>134000.0</v>
      </c>
      <c r="L329" s="34" t="s">
        <v>48</v>
      </c>
      <c r="M329" s="33" t="n">
        <f>135500</f>
        <v>135500.0</v>
      </c>
      <c r="N329" s="34" t="s">
        <v>314</v>
      </c>
      <c r="O329" s="33" t="n">
        <f>129500</f>
        <v>129500.0</v>
      </c>
      <c r="P329" s="34" t="s">
        <v>50</v>
      </c>
      <c r="Q329" s="33" t="n">
        <f>130800</f>
        <v>130800.0</v>
      </c>
      <c r="R329" s="34" t="s">
        <v>50</v>
      </c>
      <c r="S329" s="35" t="n">
        <f>133131.82</f>
        <v>133131.82</v>
      </c>
      <c r="T329" s="32" t="n">
        <f>32915</f>
        <v>32915.0</v>
      </c>
      <c r="U329" s="32" t="n">
        <f>4937</f>
        <v>4937.0</v>
      </c>
      <c r="V329" s="32" t="n">
        <f>4374999976</f>
        <v>4.374999976E9</v>
      </c>
      <c r="W329" s="32" t="n">
        <f>656385176</f>
        <v>6.56385176E8</v>
      </c>
      <c r="X329" s="36" t="n">
        <f>22</f>
        <v>22.0</v>
      </c>
    </row>
    <row r="330">
      <c r="A330" s="27" t="s">
        <v>42</v>
      </c>
      <c r="B330" s="27" t="s">
        <v>1046</v>
      </c>
      <c r="C330" s="27" t="s">
        <v>1047</v>
      </c>
      <c r="D330" s="27" t="s">
        <v>1048</v>
      </c>
      <c r="E330" s="28" t="s">
        <v>46</v>
      </c>
      <c r="F330" s="29" t="s">
        <v>46</v>
      </c>
      <c r="G330" s="30" t="s">
        <v>46</v>
      </c>
      <c r="H330" s="31"/>
      <c r="I330" s="31" t="s">
        <v>591</v>
      </c>
      <c r="J330" s="32" t="n">
        <v>1.0</v>
      </c>
      <c r="K330" s="33" t="n">
        <f>119000</f>
        <v>119000.0</v>
      </c>
      <c r="L330" s="34" t="s">
        <v>48</v>
      </c>
      <c r="M330" s="33" t="n">
        <f>125900</f>
        <v>125900.0</v>
      </c>
      <c r="N330" s="34" t="s">
        <v>49</v>
      </c>
      <c r="O330" s="33" t="n">
        <f>118200</f>
        <v>118200.0</v>
      </c>
      <c r="P330" s="34" t="s">
        <v>48</v>
      </c>
      <c r="Q330" s="33" t="n">
        <f>125100</f>
        <v>125100.0</v>
      </c>
      <c r="R330" s="34" t="s">
        <v>50</v>
      </c>
      <c r="S330" s="35" t="n">
        <f>121500</f>
        <v>121500.0</v>
      </c>
      <c r="T330" s="32" t="n">
        <f>19423</f>
        <v>19423.0</v>
      </c>
      <c r="U330" s="32" t="n">
        <f>2290</f>
        <v>2290.0</v>
      </c>
      <c r="V330" s="32" t="n">
        <f>2364731886</f>
        <v>2.364731886E9</v>
      </c>
      <c r="W330" s="32" t="n">
        <f>279571186</f>
        <v>2.79571186E8</v>
      </c>
      <c r="X330" s="36" t="n">
        <f>22</f>
        <v>22.0</v>
      </c>
    </row>
    <row r="331">
      <c r="A331" s="27" t="s">
        <v>42</v>
      </c>
      <c r="B331" s="27" t="s">
        <v>1049</v>
      </c>
      <c r="C331" s="27" t="s">
        <v>1050</v>
      </c>
      <c r="D331" s="27" t="s">
        <v>1051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668000</f>
        <v>668000.0</v>
      </c>
      <c r="L331" s="34" t="s">
        <v>48</v>
      </c>
      <c r="M331" s="33" t="n">
        <f>672000</f>
        <v>672000.0</v>
      </c>
      <c r="N331" s="34" t="s">
        <v>155</v>
      </c>
      <c r="O331" s="33" t="n">
        <f>644000</f>
        <v>644000.0</v>
      </c>
      <c r="P331" s="34" t="s">
        <v>50</v>
      </c>
      <c r="Q331" s="33" t="n">
        <f>649000</f>
        <v>649000.0</v>
      </c>
      <c r="R331" s="34" t="s">
        <v>50</v>
      </c>
      <c r="S331" s="35" t="n">
        <f>659681.82</f>
        <v>659681.82</v>
      </c>
      <c r="T331" s="32" t="n">
        <f>30520</f>
        <v>30520.0</v>
      </c>
      <c r="U331" s="32" t="n">
        <f>5500</f>
        <v>5500.0</v>
      </c>
      <c r="V331" s="32" t="n">
        <f>20101675674</f>
        <v>2.0101675674E10</v>
      </c>
      <c r="W331" s="32" t="n">
        <f>3620051674</f>
        <v>3.620051674E9</v>
      </c>
      <c r="X331" s="36" t="n">
        <f>22</f>
        <v>22.0</v>
      </c>
    </row>
    <row r="332">
      <c r="A332" s="27" t="s">
        <v>42</v>
      </c>
      <c r="B332" s="27" t="s">
        <v>1052</v>
      </c>
      <c r="C332" s="27" t="s">
        <v>1053</v>
      </c>
      <c r="D332" s="27" t="s">
        <v>1054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149400</f>
        <v>149400.0</v>
      </c>
      <c r="L332" s="34" t="s">
        <v>48</v>
      </c>
      <c r="M332" s="33" t="n">
        <f>151200</f>
        <v>151200.0</v>
      </c>
      <c r="N332" s="34" t="s">
        <v>70</v>
      </c>
      <c r="O332" s="33" t="n">
        <f>144900</f>
        <v>144900.0</v>
      </c>
      <c r="P332" s="34" t="s">
        <v>479</v>
      </c>
      <c r="Q332" s="33" t="n">
        <f>147400</f>
        <v>147400.0</v>
      </c>
      <c r="R332" s="34" t="s">
        <v>50</v>
      </c>
      <c r="S332" s="35" t="n">
        <f>148304.55</f>
        <v>148304.55</v>
      </c>
      <c r="T332" s="32" t="n">
        <f>95429</f>
        <v>95429.0</v>
      </c>
      <c r="U332" s="32" t="n">
        <f>18656</f>
        <v>18656.0</v>
      </c>
      <c r="V332" s="32" t="n">
        <f>14132125645</f>
        <v>1.4132125645E10</v>
      </c>
      <c r="W332" s="32" t="n">
        <f>2764949645</f>
        <v>2.764949645E9</v>
      </c>
      <c r="X332" s="36" t="n">
        <f>22</f>
        <v>22.0</v>
      </c>
    </row>
    <row r="333">
      <c r="A333" s="27" t="s">
        <v>42</v>
      </c>
      <c r="B333" s="27" t="s">
        <v>1055</v>
      </c>
      <c r="C333" s="27" t="s">
        <v>1056</v>
      </c>
      <c r="D333" s="27" t="s">
        <v>1057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154500</f>
        <v>154500.0</v>
      </c>
      <c r="L333" s="34" t="s">
        <v>48</v>
      </c>
      <c r="M333" s="33" t="n">
        <f>158600</f>
        <v>158600.0</v>
      </c>
      <c r="N333" s="34" t="s">
        <v>222</v>
      </c>
      <c r="O333" s="33" t="n">
        <f>149700</f>
        <v>149700.0</v>
      </c>
      <c r="P333" s="34" t="s">
        <v>50</v>
      </c>
      <c r="Q333" s="33" t="n">
        <f>151600</f>
        <v>151600.0</v>
      </c>
      <c r="R333" s="34" t="s">
        <v>50</v>
      </c>
      <c r="S333" s="35" t="n">
        <f>154972.73</f>
        <v>154972.73</v>
      </c>
      <c r="T333" s="32" t="n">
        <f>123616</f>
        <v>123616.0</v>
      </c>
      <c r="U333" s="32" t="n">
        <f>20069</f>
        <v>20069.0</v>
      </c>
      <c r="V333" s="32" t="n">
        <f>19123511909</f>
        <v>1.9123511909E10</v>
      </c>
      <c r="W333" s="32" t="n">
        <f>3097874909</f>
        <v>3.097874909E9</v>
      </c>
      <c r="X333" s="36" t="n">
        <f>22</f>
        <v>22.0</v>
      </c>
    </row>
    <row r="334">
      <c r="A334" s="27" t="s">
        <v>42</v>
      </c>
      <c r="B334" s="27" t="s">
        <v>1058</v>
      </c>
      <c r="C334" s="27" t="s">
        <v>1059</v>
      </c>
      <c r="D334" s="27" t="s">
        <v>1060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353000</f>
        <v>353000.0</v>
      </c>
      <c r="L334" s="34" t="s">
        <v>48</v>
      </c>
      <c r="M334" s="33" t="n">
        <f>361500</f>
        <v>361500.0</v>
      </c>
      <c r="N334" s="34" t="s">
        <v>70</v>
      </c>
      <c r="O334" s="33" t="n">
        <f>342500</f>
        <v>342500.0</v>
      </c>
      <c r="P334" s="34" t="s">
        <v>50</v>
      </c>
      <c r="Q334" s="33" t="n">
        <f>344000</f>
        <v>344000.0</v>
      </c>
      <c r="R334" s="34" t="s">
        <v>50</v>
      </c>
      <c r="S334" s="35" t="n">
        <f>354386.36</f>
        <v>354386.36</v>
      </c>
      <c r="T334" s="32" t="n">
        <f>95484</f>
        <v>95484.0</v>
      </c>
      <c r="U334" s="32" t="n">
        <f>18489</f>
        <v>18489.0</v>
      </c>
      <c r="V334" s="32" t="n">
        <f>33811216633</f>
        <v>3.3811216633E10</v>
      </c>
      <c r="W334" s="32" t="n">
        <f>6542255133</f>
        <v>6.542255133E9</v>
      </c>
      <c r="X334" s="36" t="n">
        <f>22</f>
        <v>22.0</v>
      </c>
    </row>
    <row r="335">
      <c r="A335" s="27" t="s">
        <v>42</v>
      </c>
      <c r="B335" s="27" t="s">
        <v>1061</v>
      </c>
      <c r="C335" s="27" t="s">
        <v>1062</v>
      </c>
      <c r="D335" s="27" t="s">
        <v>1063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212700</f>
        <v>212700.0</v>
      </c>
      <c r="L335" s="34" t="s">
        <v>48</v>
      </c>
      <c r="M335" s="33" t="n">
        <f>234300</f>
        <v>234300.0</v>
      </c>
      <c r="N335" s="34" t="s">
        <v>50</v>
      </c>
      <c r="O335" s="33" t="n">
        <f>204800</f>
        <v>204800.0</v>
      </c>
      <c r="P335" s="34" t="s">
        <v>208</v>
      </c>
      <c r="Q335" s="33" t="n">
        <f>234300</f>
        <v>234300.0</v>
      </c>
      <c r="R335" s="34" t="s">
        <v>50</v>
      </c>
      <c r="S335" s="35" t="n">
        <f>215000</f>
        <v>215000.0</v>
      </c>
      <c r="T335" s="32" t="n">
        <f>129054</f>
        <v>129054.0</v>
      </c>
      <c r="U335" s="32" t="n">
        <f>34356</f>
        <v>34356.0</v>
      </c>
      <c r="V335" s="32" t="n">
        <f>28029135003</f>
        <v>2.8029135003E10</v>
      </c>
      <c r="W335" s="32" t="n">
        <f>7526223103</f>
        <v>7.526223103E9</v>
      </c>
      <c r="X335" s="36" t="n">
        <f>22</f>
        <v>22.0</v>
      </c>
    </row>
    <row r="336">
      <c r="A336" s="27" t="s">
        <v>42</v>
      </c>
      <c r="B336" s="27" t="s">
        <v>1064</v>
      </c>
      <c r="C336" s="27" t="s">
        <v>1065</v>
      </c>
      <c r="D336" s="27" t="s">
        <v>1066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397500</f>
        <v>397500.0</v>
      </c>
      <c r="L336" s="34" t="s">
        <v>48</v>
      </c>
      <c r="M336" s="33" t="n">
        <f>409000</f>
        <v>409000.0</v>
      </c>
      <c r="N336" s="34" t="s">
        <v>70</v>
      </c>
      <c r="O336" s="33" t="n">
        <f>396500</f>
        <v>396500.0</v>
      </c>
      <c r="P336" s="34" t="s">
        <v>208</v>
      </c>
      <c r="Q336" s="33" t="n">
        <f>402500</f>
        <v>402500.0</v>
      </c>
      <c r="R336" s="34" t="s">
        <v>50</v>
      </c>
      <c r="S336" s="35" t="n">
        <f>403931.82</f>
        <v>403931.82</v>
      </c>
      <c r="T336" s="32" t="n">
        <f>65177</f>
        <v>65177.0</v>
      </c>
      <c r="U336" s="32" t="n">
        <f>23974</f>
        <v>23974.0</v>
      </c>
      <c r="V336" s="32" t="n">
        <f>26313236158</f>
        <v>2.6313236158E10</v>
      </c>
      <c r="W336" s="32" t="n">
        <f>9688826158</f>
        <v>9.688826158E9</v>
      </c>
      <c r="X336" s="36" t="n">
        <f>22</f>
        <v>22.0</v>
      </c>
    </row>
    <row r="337">
      <c r="A337" s="27" t="s">
        <v>42</v>
      </c>
      <c r="B337" s="27" t="s">
        <v>1067</v>
      </c>
      <c r="C337" s="27" t="s">
        <v>1068</v>
      </c>
      <c r="D337" s="27" t="s">
        <v>1069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147100</f>
        <v>147100.0</v>
      </c>
      <c r="L337" s="34" t="s">
        <v>48</v>
      </c>
      <c r="M337" s="33" t="n">
        <f>148300</f>
        <v>148300.0</v>
      </c>
      <c r="N337" s="34" t="s">
        <v>48</v>
      </c>
      <c r="O337" s="33" t="n">
        <f>139500</f>
        <v>139500.0</v>
      </c>
      <c r="P337" s="34" t="s">
        <v>50</v>
      </c>
      <c r="Q337" s="33" t="n">
        <f>142100</f>
        <v>142100.0</v>
      </c>
      <c r="R337" s="34" t="s">
        <v>50</v>
      </c>
      <c r="S337" s="35" t="n">
        <f>145572.73</f>
        <v>145572.73</v>
      </c>
      <c r="T337" s="32" t="n">
        <f>369040</f>
        <v>369040.0</v>
      </c>
      <c r="U337" s="32" t="n">
        <f>71318</f>
        <v>71318.0</v>
      </c>
      <c r="V337" s="32" t="n">
        <f>53668295983</f>
        <v>5.3668295983E10</v>
      </c>
      <c r="W337" s="32" t="n">
        <f>10370660983</f>
        <v>1.0370660983E10</v>
      </c>
      <c r="X337" s="36" t="n">
        <f>22</f>
        <v>22.0</v>
      </c>
    </row>
    <row r="338">
      <c r="A338" s="27" t="s">
        <v>42</v>
      </c>
      <c r="B338" s="27" t="s">
        <v>1070</v>
      </c>
      <c r="C338" s="27" t="s">
        <v>1071</v>
      </c>
      <c r="D338" s="27" t="s">
        <v>1072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337000</f>
        <v>337000.0</v>
      </c>
      <c r="L338" s="34" t="s">
        <v>48</v>
      </c>
      <c r="M338" s="33" t="n">
        <f>355000</f>
        <v>355000.0</v>
      </c>
      <c r="N338" s="34" t="s">
        <v>65</v>
      </c>
      <c r="O338" s="33" t="n">
        <f>331000</f>
        <v>331000.0</v>
      </c>
      <c r="P338" s="34" t="s">
        <v>117</v>
      </c>
      <c r="Q338" s="33" t="n">
        <f>345000</f>
        <v>345000.0</v>
      </c>
      <c r="R338" s="34" t="s">
        <v>50</v>
      </c>
      <c r="S338" s="35" t="n">
        <f>346409.09</f>
        <v>346409.09</v>
      </c>
      <c r="T338" s="32" t="n">
        <f>58285</f>
        <v>58285.0</v>
      </c>
      <c r="U338" s="32" t="n">
        <f>15703</f>
        <v>15703.0</v>
      </c>
      <c r="V338" s="32" t="n">
        <f>20222660730</f>
        <v>2.022266073E10</v>
      </c>
      <c r="W338" s="32" t="n">
        <f>5474288730</f>
        <v>5.47428873E9</v>
      </c>
      <c r="X338" s="36" t="n">
        <f>22</f>
        <v>22.0</v>
      </c>
    </row>
    <row r="339">
      <c r="A339" s="27" t="s">
        <v>42</v>
      </c>
      <c r="B339" s="27" t="s">
        <v>1073</v>
      </c>
      <c r="C339" s="27" t="s">
        <v>1074</v>
      </c>
      <c r="D339" s="27" t="s">
        <v>1075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293000</f>
        <v>293000.0</v>
      </c>
      <c r="L339" s="34" t="s">
        <v>48</v>
      </c>
      <c r="M339" s="33" t="n">
        <f>310000</f>
        <v>310000.0</v>
      </c>
      <c r="N339" s="34" t="s">
        <v>61</v>
      </c>
      <c r="O339" s="33" t="n">
        <f>282600</f>
        <v>282600.0</v>
      </c>
      <c r="P339" s="34" t="s">
        <v>50</v>
      </c>
      <c r="Q339" s="33" t="n">
        <f>289300</f>
        <v>289300.0</v>
      </c>
      <c r="R339" s="34" t="s">
        <v>50</v>
      </c>
      <c r="S339" s="35" t="n">
        <f>296595.45</f>
        <v>296595.45</v>
      </c>
      <c r="T339" s="32" t="n">
        <f>263425</f>
        <v>263425.0</v>
      </c>
      <c r="U339" s="32" t="n">
        <f>57495</f>
        <v>57495.0</v>
      </c>
      <c r="V339" s="32" t="n">
        <f>78197296530</f>
        <v>7.819729653E10</v>
      </c>
      <c r="W339" s="32" t="n">
        <f>17118905230</f>
        <v>1.711890523E10</v>
      </c>
      <c r="X339" s="36" t="n">
        <f>22</f>
        <v>22.0</v>
      </c>
    </row>
    <row r="340">
      <c r="A340" s="27" t="s">
        <v>42</v>
      </c>
      <c r="B340" s="27" t="s">
        <v>1076</v>
      </c>
      <c r="C340" s="27" t="s">
        <v>1077</v>
      </c>
      <c r="D340" s="27" t="s">
        <v>1078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684000</f>
        <v>684000.0</v>
      </c>
      <c r="L340" s="34" t="s">
        <v>48</v>
      </c>
      <c r="M340" s="33" t="n">
        <f>686000</f>
        <v>686000.0</v>
      </c>
      <c r="N340" s="34" t="s">
        <v>48</v>
      </c>
      <c r="O340" s="33" t="n">
        <f>606000</f>
        <v>606000.0</v>
      </c>
      <c r="P340" s="34" t="s">
        <v>103</v>
      </c>
      <c r="Q340" s="33" t="n">
        <f>618000</f>
        <v>618000.0</v>
      </c>
      <c r="R340" s="34" t="s">
        <v>50</v>
      </c>
      <c r="S340" s="35" t="n">
        <f>647818.18</f>
        <v>647818.18</v>
      </c>
      <c r="T340" s="32" t="n">
        <f>31210</f>
        <v>31210.0</v>
      </c>
      <c r="U340" s="32" t="n">
        <f>6081</f>
        <v>6081.0</v>
      </c>
      <c r="V340" s="32" t="n">
        <f>20078897751</f>
        <v>2.0078897751E10</v>
      </c>
      <c r="W340" s="32" t="n">
        <f>3866135751</f>
        <v>3.866135751E9</v>
      </c>
      <c r="X340" s="36" t="n">
        <f>22</f>
        <v>22.0</v>
      </c>
    </row>
    <row r="341">
      <c r="A341" s="27" t="s">
        <v>42</v>
      </c>
      <c r="B341" s="27" t="s">
        <v>1079</v>
      </c>
      <c r="C341" s="27" t="s">
        <v>1080</v>
      </c>
      <c r="D341" s="27" t="s">
        <v>1081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234900</f>
        <v>234900.0</v>
      </c>
      <c r="L341" s="34" t="s">
        <v>48</v>
      </c>
      <c r="M341" s="33" t="n">
        <f>249300</f>
        <v>249300.0</v>
      </c>
      <c r="N341" s="34" t="s">
        <v>50</v>
      </c>
      <c r="O341" s="33" t="n">
        <f>232400</f>
        <v>232400.0</v>
      </c>
      <c r="P341" s="34" t="s">
        <v>48</v>
      </c>
      <c r="Q341" s="33" t="n">
        <f>249100</f>
        <v>249100.0</v>
      </c>
      <c r="R341" s="34" t="s">
        <v>50</v>
      </c>
      <c r="S341" s="35" t="n">
        <f>241413.64</f>
        <v>241413.64</v>
      </c>
      <c r="T341" s="32" t="n">
        <f>28211</f>
        <v>28211.0</v>
      </c>
      <c r="U341" s="32" t="n">
        <f>7227</f>
        <v>7227.0</v>
      </c>
      <c r="V341" s="32" t="n">
        <f>6783534078</f>
        <v>6.783534078E9</v>
      </c>
      <c r="W341" s="32" t="n">
        <f>1732052678</f>
        <v>1.732052678E9</v>
      </c>
      <c r="X341" s="36" t="n">
        <f>22</f>
        <v>22.0</v>
      </c>
    </row>
    <row r="342">
      <c r="A342" s="27" t="s">
        <v>42</v>
      </c>
      <c r="B342" s="27" t="s">
        <v>1082</v>
      </c>
      <c r="C342" s="27" t="s">
        <v>1083</v>
      </c>
      <c r="D342" s="27" t="s">
        <v>1084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157100</f>
        <v>157100.0</v>
      </c>
      <c r="L342" s="34" t="s">
        <v>48</v>
      </c>
      <c r="M342" s="33" t="n">
        <f>157400</f>
        <v>157400.0</v>
      </c>
      <c r="N342" s="34" t="s">
        <v>48</v>
      </c>
      <c r="O342" s="33" t="n">
        <f>152600</f>
        <v>152600.0</v>
      </c>
      <c r="P342" s="34" t="s">
        <v>226</v>
      </c>
      <c r="Q342" s="33" t="n">
        <f>155400</f>
        <v>155400.0</v>
      </c>
      <c r="R342" s="34" t="s">
        <v>50</v>
      </c>
      <c r="S342" s="35" t="n">
        <f>155063.64</f>
        <v>155063.64</v>
      </c>
      <c r="T342" s="32" t="n">
        <f>100395</f>
        <v>100395.0</v>
      </c>
      <c r="U342" s="32" t="n">
        <f>16651</f>
        <v>16651.0</v>
      </c>
      <c r="V342" s="32" t="n">
        <f>15557098431</f>
        <v>1.5557098431E10</v>
      </c>
      <c r="W342" s="32" t="n">
        <f>2579528631</f>
        <v>2.579528631E9</v>
      </c>
      <c r="X342" s="36" t="n">
        <f>22</f>
        <v>22.0</v>
      </c>
    </row>
    <row r="343">
      <c r="A343" s="27" t="s">
        <v>42</v>
      </c>
      <c r="B343" s="27" t="s">
        <v>1085</v>
      </c>
      <c r="C343" s="27" t="s">
        <v>1086</v>
      </c>
      <c r="D343" s="27" t="s">
        <v>1087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161600</f>
        <v>161600.0</v>
      </c>
      <c r="L343" s="34" t="s">
        <v>48</v>
      </c>
      <c r="M343" s="33" t="n">
        <f>162700</f>
        <v>162700.0</v>
      </c>
      <c r="N343" s="34" t="s">
        <v>48</v>
      </c>
      <c r="O343" s="33" t="n">
        <f>152800</f>
        <v>152800.0</v>
      </c>
      <c r="P343" s="34" t="s">
        <v>60</v>
      </c>
      <c r="Q343" s="33" t="n">
        <f>161000</f>
        <v>161000.0</v>
      </c>
      <c r="R343" s="34" t="s">
        <v>50</v>
      </c>
      <c r="S343" s="35" t="n">
        <f>156986.36</f>
        <v>156986.36</v>
      </c>
      <c r="T343" s="32" t="n">
        <f>72199</f>
        <v>72199.0</v>
      </c>
      <c r="U343" s="32" t="n">
        <f>14045</f>
        <v>14045.0</v>
      </c>
      <c r="V343" s="32" t="n">
        <f>11340279124</f>
        <v>1.1340279124E10</v>
      </c>
      <c r="W343" s="32" t="n">
        <f>2206347524</f>
        <v>2.206347524E9</v>
      </c>
      <c r="X343" s="36" t="n">
        <f>22</f>
        <v>22.0</v>
      </c>
    </row>
    <row r="344">
      <c r="A344" s="27" t="s">
        <v>42</v>
      </c>
      <c r="B344" s="27" t="s">
        <v>1088</v>
      </c>
      <c r="C344" s="27" t="s">
        <v>1089</v>
      </c>
      <c r="D344" s="27" t="s">
        <v>1090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332500</f>
        <v>332500.0</v>
      </c>
      <c r="L344" s="34" t="s">
        <v>48</v>
      </c>
      <c r="M344" s="33" t="n">
        <f>347000</f>
        <v>347000.0</v>
      </c>
      <c r="N344" s="34" t="s">
        <v>102</v>
      </c>
      <c r="O344" s="33" t="n">
        <f>328000</f>
        <v>328000.0</v>
      </c>
      <c r="P344" s="34" t="s">
        <v>208</v>
      </c>
      <c r="Q344" s="33" t="n">
        <f>341500</f>
        <v>341500.0</v>
      </c>
      <c r="R344" s="34" t="s">
        <v>50</v>
      </c>
      <c r="S344" s="35" t="n">
        <f>335295.45</f>
        <v>335295.45</v>
      </c>
      <c r="T344" s="32" t="n">
        <f>36933</f>
        <v>36933.0</v>
      </c>
      <c r="U344" s="32" t="n">
        <f>5369</f>
        <v>5369.0</v>
      </c>
      <c r="V344" s="32" t="n">
        <f>12402455103</f>
        <v>1.2402455103E10</v>
      </c>
      <c r="W344" s="32" t="n">
        <f>1801980603</f>
        <v>1.801980603E9</v>
      </c>
      <c r="X344" s="36" t="n">
        <f>22</f>
        <v>22.0</v>
      </c>
    </row>
    <row r="345">
      <c r="A345" s="27" t="s">
        <v>42</v>
      </c>
      <c r="B345" s="27" t="s">
        <v>1091</v>
      </c>
      <c r="C345" s="27" t="s">
        <v>1092</v>
      </c>
      <c r="D345" s="27" t="s">
        <v>1093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81000</f>
        <v>81000.0</v>
      </c>
      <c r="L345" s="34" t="s">
        <v>48</v>
      </c>
      <c r="M345" s="33" t="n">
        <f>85300</f>
        <v>85300.0</v>
      </c>
      <c r="N345" s="34" t="s">
        <v>102</v>
      </c>
      <c r="O345" s="33" t="n">
        <f>78300</f>
        <v>78300.0</v>
      </c>
      <c r="P345" s="34" t="s">
        <v>208</v>
      </c>
      <c r="Q345" s="33" t="n">
        <f>83900</f>
        <v>83900.0</v>
      </c>
      <c r="R345" s="34" t="s">
        <v>50</v>
      </c>
      <c r="S345" s="35" t="n">
        <f>81036.36</f>
        <v>81036.36</v>
      </c>
      <c r="T345" s="32" t="n">
        <f>309900</f>
        <v>309900.0</v>
      </c>
      <c r="U345" s="32" t="n">
        <f>58355</f>
        <v>58355.0</v>
      </c>
      <c r="V345" s="32" t="n">
        <f>25098057885</f>
        <v>2.5098057885E10</v>
      </c>
      <c r="W345" s="32" t="n">
        <f>4731824585</f>
        <v>4.731824585E9</v>
      </c>
      <c r="X345" s="36" t="n">
        <f>22</f>
        <v>22.0</v>
      </c>
    </row>
    <row r="346">
      <c r="A346" s="27" t="s">
        <v>42</v>
      </c>
      <c r="B346" s="27" t="s">
        <v>1094</v>
      </c>
      <c r="C346" s="27" t="s">
        <v>1095</v>
      </c>
      <c r="D346" s="27" t="s">
        <v>1096</v>
      </c>
      <c r="E346" s="28" t="s">
        <v>46</v>
      </c>
      <c r="F346" s="29" t="s">
        <v>46</v>
      </c>
      <c r="G346" s="30" t="s">
        <v>46</v>
      </c>
      <c r="H346" s="31"/>
      <c r="I346" s="31" t="s">
        <v>591</v>
      </c>
      <c r="J346" s="32" t="n">
        <v>1.0</v>
      </c>
      <c r="K346" s="33" t="n">
        <f>131400</f>
        <v>131400.0</v>
      </c>
      <c r="L346" s="34" t="s">
        <v>48</v>
      </c>
      <c r="M346" s="33" t="n">
        <f>133500</f>
        <v>133500.0</v>
      </c>
      <c r="N346" s="34" t="s">
        <v>50</v>
      </c>
      <c r="O346" s="33" t="n">
        <f>129200</f>
        <v>129200.0</v>
      </c>
      <c r="P346" s="34" t="s">
        <v>208</v>
      </c>
      <c r="Q346" s="33" t="n">
        <f>133400</f>
        <v>133400.0</v>
      </c>
      <c r="R346" s="34" t="s">
        <v>50</v>
      </c>
      <c r="S346" s="35" t="n">
        <f>131172.73</f>
        <v>131172.73</v>
      </c>
      <c r="T346" s="32" t="n">
        <f>17162</f>
        <v>17162.0</v>
      </c>
      <c r="U346" s="32" t="n">
        <f>1952</f>
        <v>1952.0</v>
      </c>
      <c r="V346" s="32" t="n">
        <f>2250380311</f>
        <v>2.250380311E9</v>
      </c>
      <c r="W346" s="32" t="n">
        <f>255994711</f>
        <v>2.55994711E8</v>
      </c>
      <c r="X346" s="36" t="n">
        <f>22</f>
        <v>22.0</v>
      </c>
    </row>
    <row r="347">
      <c r="A347" s="27" t="s">
        <v>42</v>
      </c>
      <c r="B347" s="27" t="s">
        <v>1097</v>
      </c>
      <c r="C347" s="27" t="s">
        <v>1098</v>
      </c>
      <c r="D347" s="27" t="s">
        <v>1099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250000</f>
        <v>250000.0</v>
      </c>
      <c r="L347" s="34" t="s">
        <v>48</v>
      </c>
      <c r="M347" s="33" t="n">
        <f>290500</f>
        <v>290500.0</v>
      </c>
      <c r="N347" s="34" t="s">
        <v>50</v>
      </c>
      <c r="O347" s="33" t="n">
        <f>247500</f>
        <v>247500.0</v>
      </c>
      <c r="P347" s="34" t="s">
        <v>48</v>
      </c>
      <c r="Q347" s="33" t="n">
        <f>290500</f>
        <v>290500.0</v>
      </c>
      <c r="R347" s="34" t="s">
        <v>50</v>
      </c>
      <c r="S347" s="35" t="n">
        <f>265390.91</f>
        <v>265390.91</v>
      </c>
      <c r="T347" s="32" t="n">
        <f>105285</f>
        <v>105285.0</v>
      </c>
      <c r="U347" s="32" t="n">
        <f>21664</f>
        <v>21664.0</v>
      </c>
      <c r="V347" s="32" t="n">
        <f>28434689220</f>
        <v>2.843468922E10</v>
      </c>
      <c r="W347" s="32" t="n">
        <f>5923602420</f>
        <v>5.92360242E9</v>
      </c>
      <c r="X347" s="36" t="n">
        <f>22</f>
        <v>22.0</v>
      </c>
    </row>
    <row r="348">
      <c r="A348" s="27" t="s">
        <v>42</v>
      </c>
      <c r="B348" s="27" t="s">
        <v>1100</v>
      </c>
      <c r="C348" s="27" t="s">
        <v>1101</v>
      </c>
      <c r="D348" s="27" t="s">
        <v>1102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162000</f>
        <v>162000.0</v>
      </c>
      <c r="L348" s="34" t="s">
        <v>48</v>
      </c>
      <c r="M348" s="33" t="n">
        <f>169900</f>
        <v>169900.0</v>
      </c>
      <c r="N348" s="34" t="s">
        <v>65</v>
      </c>
      <c r="O348" s="33" t="n">
        <f>160000</f>
        <v>160000.0</v>
      </c>
      <c r="P348" s="34" t="s">
        <v>314</v>
      </c>
      <c r="Q348" s="33" t="n">
        <f>162700</f>
        <v>162700.0</v>
      </c>
      <c r="R348" s="34" t="s">
        <v>50</v>
      </c>
      <c r="S348" s="35" t="n">
        <f>163827.27</f>
        <v>163827.27</v>
      </c>
      <c r="T348" s="32" t="n">
        <f>18693</f>
        <v>18693.0</v>
      </c>
      <c r="U348" s="32" t="n">
        <f>2951</f>
        <v>2951.0</v>
      </c>
      <c r="V348" s="32" t="n">
        <f>3061242932</f>
        <v>3.061242932E9</v>
      </c>
      <c r="W348" s="32" t="n">
        <f>483682132</f>
        <v>4.83682132E8</v>
      </c>
      <c r="X348" s="36" t="n">
        <f>22</f>
        <v>22.0</v>
      </c>
    </row>
    <row r="349">
      <c r="A349" s="27" t="s">
        <v>42</v>
      </c>
      <c r="B349" s="27" t="s">
        <v>1103</v>
      </c>
      <c r="C349" s="27" t="s">
        <v>1104</v>
      </c>
      <c r="D349" s="27" t="s">
        <v>1105</v>
      </c>
      <c r="E349" s="28" t="s">
        <v>46</v>
      </c>
      <c r="F349" s="29" t="s">
        <v>46</v>
      </c>
      <c r="G349" s="30" t="s">
        <v>46</v>
      </c>
      <c r="H349" s="31"/>
      <c r="I349" s="31" t="s">
        <v>591</v>
      </c>
      <c r="J349" s="32" t="n">
        <v>1.0</v>
      </c>
      <c r="K349" s="33" t="n">
        <f>117200</f>
        <v>117200.0</v>
      </c>
      <c r="L349" s="34" t="s">
        <v>48</v>
      </c>
      <c r="M349" s="33" t="n">
        <f>121600</f>
        <v>121600.0</v>
      </c>
      <c r="N349" s="34" t="s">
        <v>49</v>
      </c>
      <c r="O349" s="33" t="n">
        <f>113900</f>
        <v>113900.0</v>
      </c>
      <c r="P349" s="34" t="s">
        <v>117</v>
      </c>
      <c r="Q349" s="33" t="n">
        <f>119300</f>
        <v>119300.0</v>
      </c>
      <c r="R349" s="34" t="s">
        <v>50</v>
      </c>
      <c r="S349" s="35" t="n">
        <f>117600</f>
        <v>117600.0</v>
      </c>
      <c r="T349" s="32" t="n">
        <f>19664</f>
        <v>19664.0</v>
      </c>
      <c r="U349" s="32" t="n">
        <f>2601</f>
        <v>2601.0</v>
      </c>
      <c r="V349" s="32" t="n">
        <f>2311083531</f>
        <v>2.311083531E9</v>
      </c>
      <c r="W349" s="32" t="n">
        <f>306610531</f>
        <v>3.06610531E8</v>
      </c>
      <c r="X349" s="36" t="n">
        <f>22</f>
        <v>22.0</v>
      </c>
    </row>
    <row r="350">
      <c r="A350" s="27" t="s">
        <v>42</v>
      </c>
      <c r="B350" s="27" t="s">
        <v>1106</v>
      </c>
      <c r="C350" s="27" t="s">
        <v>1107</v>
      </c>
      <c r="D350" s="27" t="s">
        <v>1108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166500</f>
        <v>166500.0</v>
      </c>
      <c r="L350" s="34" t="s">
        <v>48</v>
      </c>
      <c r="M350" s="33" t="n">
        <f>167500</f>
        <v>167500.0</v>
      </c>
      <c r="N350" s="34" t="s">
        <v>49</v>
      </c>
      <c r="O350" s="33" t="n">
        <f>159000</f>
        <v>159000.0</v>
      </c>
      <c r="P350" s="34" t="s">
        <v>65</v>
      </c>
      <c r="Q350" s="33" t="n">
        <f>166100</f>
        <v>166100.0</v>
      </c>
      <c r="R350" s="34" t="s">
        <v>50</v>
      </c>
      <c r="S350" s="35" t="n">
        <f>163340.91</f>
        <v>163340.91</v>
      </c>
      <c r="T350" s="32" t="n">
        <f>259899</f>
        <v>259899.0</v>
      </c>
      <c r="U350" s="32" t="n">
        <f>50219</f>
        <v>50219.0</v>
      </c>
      <c r="V350" s="32" t="n">
        <f>42436950165</f>
        <v>4.2436950165E10</v>
      </c>
      <c r="W350" s="32" t="n">
        <f>8179538365</f>
        <v>8.179538365E9</v>
      </c>
      <c r="X350" s="36" t="n">
        <f>22</f>
        <v>22.0</v>
      </c>
    </row>
    <row r="351">
      <c r="A351" s="27" t="s">
        <v>42</v>
      </c>
      <c r="B351" s="27" t="s">
        <v>1109</v>
      </c>
      <c r="C351" s="27" t="s">
        <v>1110</v>
      </c>
      <c r="D351" s="27" t="s">
        <v>1111</v>
      </c>
      <c r="E351" s="28" t="s">
        <v>46</v>
      </c>
      <c r="F351" s="29" t="s">
        <v>46</v>
      </c>
      <c r="G351" s="30" t="s">
        <v>46</v>
      </c>
      <c r="H351" s="31"/>
      <c r="I351" s="31" t="s">
        <v>591</v>
      </c>
      <c r="J351" s="32" t="n">
        <v>1.0</v>
      </c>
      <c r="K351" s="33" t="n">
        <f>101500</f>
        <v>101500.0</v>
      </c>
      <c r="L351" s="34" t="s">
        <v>48</v>
      </c>
      <c r="M351" s="33" t="n">
        <f>104300</f>
        <v>104300.0</v>
      </c>
      <c r="N351" s="34" t="s">
        <v>49</v>
      </c>
      <c r="O351" s="33" t="n">
        <f>98100</f>
        <v>98100.0</v>
      </c>
      <c r="P351" s="34" t="s">
        <v>208</v>
      </c>
      <c r="Q351" s="33" t="n">
        <f>104000</f>
        <v>104000.0</v>
      </c>
      <c r="R351" s="34" t="s">
        <v>50</v>
      </c>
      <c r="S351" s="35" t="n">
        <f>101068.18</f>
        <v>101068.18</v>
      </c>
      <c r="T351" s="32" t="n">
        <f>31971</f>
        <v>31971.0</v>
      </c>
      <c r="U351" s="32" t="n">
        <f>1599</f>
        <v>1599.0</v>
      </c>
      <c r="V351" s="32" t="n">
        <f>3234286146</f>
        <v>3.234286146E9</v>
      </c>
      <c r="W351" s="32" t="n">
        <f>161395546</f>
        <v>1.61395546E8</v>
      </c>
      <c r="X351" s="36" t="n">
        <f>22</f>
        <v>22.0</v>
      </c>
    </row>
    <row r="352">
      <c r="A352" s="27" t="s">
        <v>42</v>
      </c>
      <c r="B352" s="27" t="s">
        <v>1112</v>
      </c>
      <c r="C352" s="27" t="s">
        <v>1113</v>
      </c>
      <c r="D352" s="27" t="s">
        <v>1114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163900</f>
        <v>163900.0</v>
      </c>
      <c r="L352" s="34" t="s">
        <v>48</v>
      </c>
      <c r="M352" s="33" t="n">
        <f>164300</f>
        <v>164300.0</v>
      </c>
      <c r="N352" s="34" t="s">
        <v>314</v>
      </c>
      <c r="O352" s="33" t="n">
        <f>148800</f>
        <v>148800.0</v>
      </c>
      <c r="P352" s="34" t="s">
        <v>50</v>
      </c>
      <c r="Q352" s="33" t="n">
        <f>151100</f>
        <v>151100.0</v>
      </c>
      <c r="R352" s="34" t="s">
        <v>50</v>
      </c>
      <c r="S352" s="35" t="n">
        <f>159340.91</f>
        <v>159340.91</v>
      </c>
      <c r="T352" s="32" t="n">
        <f>150047</f>
        <v>150047.0</v>
      </c>
      <c r="U352" s="32" t="n">
        <f>17385</f>
        <v>17385.0</v>
      </c>
      <c r="V352" s="32" t="n">
        <f>23393054904</f>
        <v>2.3393054904E10</v>
      </c>
      <c r="W352" s="32" t="n">
        <f>2763406704</f>
        <v>2.763406704E9</v>
      </c>
      <c r="X352" s="36" t="n">
        <f>22</f>
        <v>22.0</v>
      </c>
    </row>
    <row r="353">
      <c r="A353" s="27" t="s">
        <v>42</v>
      </c>
      <c r="B353" s="27" t="s">
        <v>1115</v>
      </c>
      <c r="C353" s="27" t="s">
        <v>1116</v>
      </c>
      <c r="D353" s="27" t="s">
        <v>1117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58200</f>
        <v>58200.0</v>
      </c>
      <c r="L353" s="34" t="s">
        <v>48</v>
      </c>
      <c r="M353" s="33" t="n">
        <f>59900</f>
        <v>59900.0</v>
      </c>
      <c r="N353" s="34" t="s">
        <v>70</v>
      </c>
      <c r="O353" s="33" t="n">
        <f>57700</f>
        <v>57700.0</v>
      </c>
      <c r="P353" s="34" t="s">
        <v>48</v>
      </c>
      <c r="Q353" s="33" t="n">
        <f>59300</f>
        <v>59300.0</v>
      </c>
      <c r="R353" s="34" t="s">
        <v>50</v>
      </c>
      <c r="S353" s="35" t="n">
        <f>58840.91</f>
        <v>58840.91</v>
      </c>
      <c r="T353" s="32" t="n">
        <f>103803</f>
        <v>103803.0</v>
      </c>
      <c r="U353" s="32" t="n">
        <f>20279</f>
        <v>20279.0</v>
      </c>
      <c r="V353" s="32" t="n">
        <f>6107190078</f>
        <v>6.107190078E9</v>
      </c>
      <c r="W353" s="32" t="n">
        <f>1192579478</f>
        <v>1.192579478E9</v>
      </c>
      <c r="X353" s="36" t="n">
        <f>22</f>
        <v>22.0</v>
      </c>
    </row>
    <row r="354">
      <c r="A354" s="27" t="s">
        <v>42</v>
      </c>
      <c r="B354" s="27" t="s">
        <v>1118</v>
      </c>
      <c r="C354" s="27" t="s">
        <v>1119</v>
      </c>
      <c r="D354" s="27" t="s">
        <v>1120</v>
      </c>
      <c r="E354" s="28" t="s">
        <v>46</v>
      </c>
      <c r="F354" s="29" t="s">
        <v>46</v>
      </c>
      <c r="G354" s="30" t="s">
        <v>46</v>
      </c>
      <c r="H354" s="31"/>
      <c r="I354" s="31" t="s">
        <v>591</v>
      </c>
      <c r="J354" s="32" t="n">
        <v>1.0</v>
      </c>
      <c r="K354" s="33" t="n">
        <f>130900</f>
        <v>130900.0</v>
      </c>
      <c r="L354" s="34" t="s">
        <v>48</v>
      </c>
      <c r="M354" s="33" t="n">
        <f>133700</f>
        <v>133700.0</v>
      </c>
      <c r="N354" s="34" t="s">
        <v>61</v>
      </c>
      <c r="O354" s="33" t="n">
        <f>126800</f>
        <v>126800.0</v>
      </c>
      <c r="P354" s="34" t="s">
        <v>49</v>
      </c>
      <c r="Q354" s="33" t="n">
        <f>127900</f>
        <v>127900.0</v>
      </c>
      <c r="R354" s="34" t="s">
        <v>50</v>
      </c>
      <c r="S354" s="35" t="n">
        <f>131731.82</f>
        <v>131731.82</v>
      </c>
      <c r="T354" s="32" t="n">
        <f>24305</f>
        <v>24305.0</v>
      </c>
      <c r="U354" s="32" t="n">
        <f>2621</f>
        <v>2621.0</v>
      </c>
      <c r="V354" s="32" t="n">
        <f>3191284447</f>
        <v>3.191284447E9</v>
      </c>
      <c r="W354" s="32" t="n">
        <f>344874147</f>
        <v>3.44874147E8</v>
      </c>
      <c r="X354" s="36" t="n">
        <f>22</f>
        <v>22.0</v>
      </c>
    </row>
    <row r="355">
      <c r="A355" s="27" t="s">
        <v>42</v>
      </c>
      <c r="B355" s="27" t="s">
        <v>1121</v>
      </c>
      <c r="C355" s="27" t="s">
        <v>1122</v>
      </c>
      <c r="D355" s="27" t="s">
        <v>1123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500000</f>
        <v>500000.0</v>
      </c>
      <c r="L355" s="34" t="s">
        <v>48</v>
      </c>
      <c r="M355" s="33" t="n">
        <f>519000</f>
        <v>519000.0</v>
      </c>
      <c r="N355" s="34" t="s">
        <v>65</v>
      </c>
      <c r="O355" s="33" t="n">
        <f>490000</f>
        <v>490000.0</v>
      </c>
      <c r="P355" s="34" t="s">
        <v>208</v>
      </c>
      <c r="Q355" s="33" t="n">
        <f>500000</f>
        <v>500000.0</v>
      </c>
      <c r="R355" s="34" t="s">
        <v>50</v>
      </c>
      <c r="S355" s="35" t="n">
        <f>504772.73</f>
        <v>504772.73</v>
      </c>
      <c r="T355" s="32" t="n">
        <f>46980</f>
        <v>46980.0</v>
      </c>
      <c r="U355" s="32" t="n">
        <f>12043</f>
        <v>12043.0</v>
      </c>
      <c r="V355" s="32" t="n">
        <f>23677652029</f>
        <v>2.3677652029E10</v>
      </c>
      <c r="W355" s="32" t="n">
        <f>6083174029</f>
        <v>6.083174029E9</v>
      </c>
      <c r="X355" s="36" t="n">
        <f>22</f>
        <v>22.0</v>
      </c>
    </row>
    <row r="356">
      <c r="A356" s="27" t="s">
        <v>42</v>
      </c>
      <c r="B356" s="27" t="s">
        <v>1124</v>
      </c>
      <c r="C356" s="27" t="s">
        <v>1125</v>
      </c>
      <c r="D356" s="27" t="s">
        <v>1126</v>
      </c>
      <c r="E356" s="28" t="s">
        <v>46</v>
      </c>
      <c r="F356" s="29" t="s">
        <v>46</v>
      </c>
      <c r="G356" s="30" t="s">
        <v>46</v>
      </c>
      <c r="H356" s="31"/>
      <c r="I356" s="31" t="s">
        <v>591</v>
      </c>
      <c r="J356" s="32" t="n">
        <v>1.0</v>
      </c>
      <c r="K356" s="33" t="n">
        <f>65100</f>
        <v>65100.0</v>
      </c>
      <c r="L356" s="34" t="s">
        <v>48</v>
      </c>
      <c r="M356" s="33" t="n">
        <f>66000</f>
        <v>66000.0</v>
      </c>
      <c r="N356" s="34" t="s">
        <v>69</v>
      </c>
      <c r="O356" s="33" t="n">
        <f>63800</f>
        <v>63800.0</v>
      </c>
      <c r="P356" s="34" t="s">
        <v>103</v>
      </c>
      <c r="Q356" s="33" t="n">
        <f>64600</f>
        <v>64600.0</v>
      </c>
      <c r="R356" s="34" t="s">
        <v>50</v>
      </c>
      <c r="S356" s="35" t="n">
        <f>64759.09</f>
        <v>64759.09</v>
      </c>
      <c r="T356" s="32" t="n">
        <f>21734</f>
        <v>21734.0</v>
      </c>
      <c r="U356" s="32" t="n">
        <f>5654</f>
        <v>5654.0</v>
      </c>
      <c r="V356" s="32" t="n">
        <f>1408025004</f>
        <v>1.408025004E9</v>
      </c>
      <c r="W356" s="32" t="n">
        <f>366297704</f>
        <v>3.66297704E8</v>
      </c>
      <c r="X356" s="36" t="n">
        <f>22</f>
        <v>22.0</v>
      </c>
    </row>
    <row r="357">
      <c r="A357" s="27" t="s">
        <v>42</v>
      </c>
      <c r="B357" s="27" t="s">
        <v>1127</v>
      </c>
      <c r="C357" s="27" t="s">
        <v>1128</v>
      </c>
      <c r="D357" s="27" t="s">
        <v>1129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45900</f>
        <v>45900.0</v>
      </c>
      <c r="L357" s="34" t="s">
        <v>48</v>
      </c>
      <c r="M357" s="33" t="n">
        <f>46250</f>
        <v>46250.0</v>
      </c>
      <c r="N357" s="34" t="s">
        <v>222</v>
      </c>
      <c r="O357" s="33" t="n">
        <f>45100</f>
        <v>45100.0</v>
      </c>
      <c r="P357" s="34" t="s">
        <v>60</v>
      </c>
      <c r="Q357" s="33" t="n">
        <f>46200</f>
        <v>46200.0</v>
      </c>
      <c r="R357" s="34" t="s">
        <v>50</v>
      </c>
      <c r="S357" s="35" t="n">
        <f>45770.45</f>
        <v>45770.45</v>
      </c>
      <c r="T357" s="32" t="n">
        <f>111284</f>
        <v>111284.0</v>
      </c>
      <c r="U357" s="32" t="n">
        <f>16239</f>
        <v>16239.0</v>
      </c>
      <c r="V357" s="32" t="n">
        <f>5091854085</f>
        <v>5.091854085E9</v>
      </c>
      <c r="W357" s="32" t="n">
        <f>743540535</f>
        <v>7.43540535E8</v>
      </c>
      <c r="X357" s="36" t="n">
        <f>22</f>
        <v>22.0</v>
      </c>
    </row>
    <row r="358">
      <c r="A358" s="27" t="s">
        <v>42</v>
      </c>
      <c r="B358" s="27" t="s">
        <v>1130</v>
      </c>
      <c r="C358" s="27" t="s">
        <v>1131</v>
      </c>
      <c r="D358" s="27" t="s">
        <v>1132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430000</f>
        <v>430000.0</v>
      </c>
      <c r="L358" s="34" t="s">
        <v>48</v>
      </c>
      <c r="M358" s="33" t="n">
        <f>430000</f>
        <v>430000.0</v>
      </c>
      <c r="N358" s="34" t="s">
        <v>48</v>
      </c>
      <c r="O358" s="33" t="n">
        <f>408000</f>
        <v>408000.0</v>
      </c>
      <c r="P358" s="34" t="s">
        <v>50</v>
      </c>
      <c r="Q358" s="33" t="n">
        <f>413000</f>
        <v>413000.0</v>
      </c>
      <c r="R358" s="34" t="s">
        <v>50</v>
      </c>
      <c r="S358" s="35" t="n">
        <f>419613.64</f>
        <v>419613.64</v>
      </c>
      <c r="T358" s="32" t="n">
        <f>27206</f>
        <v>27206.0</v>
      </c>
      <c r="U358" s="32" t="n">
        <f>4220</f>
        <v>4220.0</v>
      </c>
      <c r="V358" s="32" t="n">
        <f>11410636878</f>
        <v>1.1410636878E10</v>
      </c>
      <c r="W358" s="32" t="n">
        <f>1769140378</f>
        <v>1.769140378E9</v>
      </c>
      <c r="X358" s="36" t="n">
        <f>22</f>
        <v>22.0</v>
      </c>
    </row>
    <row r="359">
      <c r="A359" s="27" t="s">
        <v>42</v>
      </c>
      <c r="B359" s="27" t="s">
        <v>1133</v>
      </c>
      <c r="C359" s="27" t="s">
        <v>1134</v>
      </c>
      <c r="D359" s="27" t="s">
        <v>1135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190400</f>
        <v>190400.0</v>
      </c>
      <c r="L359" s="34" t="s">
        <v>48</v>
      </c>
      <c r="M359" s="33" t="n">
        <f>192200</f>
        <v>192200.0</v>
      </c>
      <c r="N359" s="34" t="s">
        <v>65</v>
      </c>
      <c r="O359" s="33" t="n">
        <f>176100</f>
        <v>176100.0</v>
      </c>
      <c r="P359" s="34" t="s">
        <v>50</v>
      </c>
      <c r="Q359" s="33" t="n">
        <f>178300</f>
        <v>178300.0</v>
      </c>
      <c r="R359" s="34" t="s">
        <v>50</v>
      </c>
      <c r="S359" s="35" t="n">
        <f>187204.55</f>
        <v>187204.55</v>
      </c>
      <c r="T359" s="32" t="n">
        <f>59113</f>
        <v>59113.0</v>
      </c>
      <c r="U359" s="32" t="n">
        <f>8956</f>
        <v>8956.0</v>
      </c>
      <c r="V359" s="32" t="n">
        <f>11053471542</f>
        <v>1.1053471542E10</v>
      </c>
      <c r="W359" s="32" t="n">
        <f>1681608342</f>
        <v>1.681608342E9</v>
      </c>
      <c r="X359" s="36" t="n">
        <f>22</f>
        <v>22.0</v>
      </c>
    </row>
    <row r="360">
      <c r="A360" s="27" t="s">
        <v>42</v>
      </c>
      <c r="B360" s="27" t="s">
        <v>1136</v>
      </c>
      <c r="C360" s="27" t="s">
        <v>1137</v>
      </c>
      <c r="D360" s="27" t="s">
        <v>1138</v>
      </c>
      <c r="E360" s="28" t="s">
        <v>46</v>
      </c>
      <c r="F360" s="29" t="s">
        <v>46</v>
      </c>
      <c r="G360" s="30" t="s">
        <v>46</v>
      </c>
      <c r="H360" s="31"/>
      <c r="I360" s="31" t="s">
        <v>591</v>
      </c>
      <c r="J360" s="32" t="n">
        <v>1.0</v>
      </c>
      <c r="K360" s="33" t="n">
        <f>109800</f>
        <v>109800.0</v>
      </c>
      <c r="L360" s="34" t="s">
        <v>48</v>
      </c>
      <c r="M360" s="33" t="n">
        <f>115700</f>
        <v>115700.0</v>
      </c>
      <c r="N360" s="34" t="s">
        <v>50</v>
      </c>
      <c r="O360" s="33" t="n">
        <f>108700</f>
        <v>108700.0</v>
      </c>
      <c r="P360" s="34" t="s">
        <v>48</v>
      </c>
      <c r="Q360" s="33" t="n">
        <f>115700</f>
        <v>115700.0</v>
      </c>
      <c r="R360" s="34" t="s">
        <v>50</v>
      </c>
      <c r="S360" s="35" t="n">
        <f>111709.09</f>
        <v>111709.09</v>
      </c>
      <c r="T360" s="32" t="n">
        <f>17046</f>
        <v>17046.0</v>
      </c>
      <c r="U360" s="32" t="n">
        <f>1375</f>
        <v>1375.0</v>
      </c>
      <c r="V360" s="32" t="n">
        <f>1901368456</f>
        <v>1.901368456E9</v>
      </c>
      <c r="W360" s="32" t="n">
        <f>153305356</f>
        <v>1.53305356E8</v>
      </c>
      <c r="X360" s="36" t="n">
        <f>22</f>
        <v>22.0</v>
      </c>
    </row>
    <row r="361">
      <c r="A361" s="27" t="s">
        <v>42</v>
      </c>
      <c r="B361" s="27" t="s">
        <v>1139</v>
      </c>
      <c r="C361" s="27" t="s">
        <v>1140</v>
      </c>
      <c r="D361" s="27" t="s">
        <v>1141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93100</f>
        <v>93100.0</v>
      </c>
      <c r="L361" s="34" t="s">
        <v>48</v>
      </c>
      <c r="M361" s="33" t="n">
        <f>96600</f>
        <v>96600.0</v>
      </c>
      <c r="N361" s="34" t="s">
        <v>50</v>
      </c>
      <c r="O361" s="33" t="n">
        <f>91900</f>
        <v>91900.0</v>
      </c>
      <c r="P361" s="34" t="s">
        <v>48</v>
      </c>
      <c r="Q361" s="33" t="n">
        <f>96600</f>
        <v>96600.0</v>
      </c>
      <c r="R361" s="34" t="s">
        <v>50</v>
      </c>
      <c r="S361" s="35" t="n">
        <f>94013.64</f>
        <v>94013.64</v>
      </c>
      <c r="T361" s="32" t="n">
        <f>72439</f>
        <v>72439.0</v>
      </c>
      <c r="U361" s="32" t="n">
        <f>8102</f>
        <v>8102.0</v>
      </c>
      <c r="V361" s="32" t="n">
        <f>6813817016</f>
        <v>6.813817016E9</v>
      </c>
      <c r="W361" s="32" t="n">
        <f>762781116</f>
        <v>7.62781116E8</v>
      </c>
      <c r="X361" s="36" t="n">
        <f>22</f>
        <v>22.0</v>
      </c>
    </row>
    <row r="362">
      <c r="A362" s="27" t="s">
        <v>42</v>
      </c>
      <c r="B362" s="27" t="s">
        <v>1142</v>
      </c>
      <c r="C362" s="27" t="s">
        <v>1143</v>
      </c>
      <c r="D362" s="27" t="s">
        <v>1144</v>
      </c>
      <c r="E362" s="28" t="s">
        <v>46</v>
      </c>
      <c r="F362" s="29" t="s">
        <v>46</v>
      </c>
      <c r="G362" s="30" t="s">
        <v>46</v>
      </c>
      <c r="H362" s="31"/>
      <c r="I362" s="31" t="s">
        <v>591</v>
      </c>
      <c r="J362" s="32" t="n">
        <v>1.0</v>
      </c>
      <c r="K362" s="33" t="n">
        <f>138300</f>
        <v>138300.0</v>
      </c>
      <c r="L362" s="34" t="s">
        <v>48</v>
      </c>
      <c r="M362" s="33" t="n">
        <f>138700</f>
        <v>138700.0</v>
      </c>
      <c r="N362" s="34" t="s">
        <v>48</v>
      </c>
      <c r="O362" s="33" t="n">
        <f>133300</f>
        <v>133300.0</v>
      </c>
      <c r="P362" s="34" t="s">
        <v>50</v>
      </c>
      <c r="Q362" s="33" t="n">
        <f>134100</f>
        <v>134100.0</v>
      </c>
      <c r="R362" s="34" t="s">
        <v>50</v>
      </c>
      <c r="S362" s="35" t="n">
        <f>136245.45</f>
        <v>136245.45</v>
      </c>
      <c r="T362" s="32" t="n">
        <f>28870</f>
        <v>28870.0</v>
      </c>
      <c r="U362" s="32" t="n">
        <f>4735</f>
        <v>4735.0</v>
      </c>
      <c r="V362" s="32" t="n">
        <f>3933183125</f>
        <v>3.933183125E9</v>
      </c>
      <c r="W362" s="32" t="n">
        <f>645545625</f>
        <v>6.45545625E8</v>
      </c>
      <c r="X362" s="36" t="n">
        <f>22</f>
        <v>22.0</v>
      </c>
    </row>
    <row r="363">
      <c r="A363" s="27" t="s">
        <v>42</v>
      </c>
      <c r="B363" s="27" t="s">
        <v>1145</v>
      </c>
      <c r="C363" s="27" t="s">
        <v>1146</v>
      </c>
      <c r="D363" s="27" t="s">
        <v>1147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554000</f>
        <v>554000.0</v>
      </c>
      <c r="L363" s="34" t="s">
        <v>48</v>
      </c>
      <c r="M363" s="33" t="n">
        <f>594000</f>
        <v>594000.0</v>
      </c>
      <c r="N363" s="34" t="s">
        <v>102</v>
      </c>
      <c r="O363" s="33" t="n">
        <f>548000</f>
        <v>548000.0</v>
      </c>
      <c r="P363" s="34" t="s">
        <v>48</v>
      </c>
      <c r="Q363" s="33" t="n">
        <f>566000</f>
        <v>566000.0</v>
      </c>
      <c r="R363" s="34" t="s">
        <v>50</v>
      </c>
      <c r="S363" s="35" t="n">
        <f>564454.55</f>
        <v>564454.55</v>
      </c>
      <c r="T363" s="32" t="n">
        <f>141001</f>
        <v>141001.0</v>
      </c>
      <c r="U363" s="32" t="n">
        <f>23421</f>
        <v>23421.0</v>
      </c>
      <c r="V363" s="32" t="n">
        <f>79825496341</f>
        <v>7.9825496341E10</v>
      </c>
      <c r="W363" s="32" t="n">
        <f>13268861341</f>
        <v>1.3268861341E10</v>
      </c>
      <c r="X363" s="36" t="n">
        <f>22</f>
        <v>22.0</v>
      </c>
    </row>
    <row r="364">
      <c r="A364" s="27" t="s">
        <v>42</v>
      </c>
      <c r="B364" s="27" t="s">
        <v>1148</v>
      </c>
      <c r="C364" s="27" t="s">
        <v>1149</v>
      </c>
      <c r="D364" s="27" t="s">
        <v>1150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534000</f>
        <v>534000.0</v>
      </c>
      <c r="L364" s="34" t="s">
        <v>48</v>
      </c>
      <c r="M364" s="33" t="n">
        <f>568000</f>
        <v>568000.0</v>
      </c>
      <c r="N364" s="34" t="s">
        <v>102</v>
      </c>
      <c r="O364" s="33" t="n">
        <f>524000</f>
        <v>524000.0</v>
      </c>
      <c r="P364" s="34" t="s">
        <v>48</v>
      </c>
      <c r="Q364" s="33" t="n">
        <f>548000</f>
        <v>548000.0</v>
      </c>
      <c r="R364" s="34" t="s">
        <v>50</v>
      </c>
      <c r="S364" s="35" t="n">
        <f>539318.18</f>
        <v>539318.18</v>
      </c>
      <c r="T364" s="32" t="n">
        <f>122852</f>
        <v>122852.0</v>
      </c>
      <c r="U364" s="32" t="n">
        <f>16987</f>
        <v>16987.0</v>
      </c>
      <c r="V364" s="32" t="n">
        <f>66532666568</f>
        <v>6.6532666568E10</v>
      </c>
      <c r="W364" s="32" t="n">
        <f>9211710568</f>
        <v>9.211710568E9</v>
      </c>
      <c r="X364" s="36" t="n">
        <f>22</f>
        <v>22.0</v>
      </c>
    </row>
    <row r="365">
      <c r="A365" s="27" t="s">
        <v>42</v>
      </c>
      <c r="B365" s="27" t="s">
        <v>1151</v>
      </c>
      <c r="C365" s="27" t="s">
        <v>1152</v>
      </c>
      <c r="D365" s="27" t="s">
        <v>1153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97300</f>
        <v>97300.0</v>
      </c>
      <c r="L365" s="34" t="s">
        <v>48</v>
      </c>
      <c r="M365" s="33" t="n">
        <f>98800</f>
        <v>98800.0</v>
      </c>
      <c r="N365" s="34" t="s">
        <v>222</v>
      </c>
      <c r="O365" s="33" t="n">
        <f>93300</f>
        <v>93300.0</v>
      </c>
      <c r="P365" s="34" t="s">
        <v>479</v>
      </c>
      <c r="Q365" s="33" t="n">
        <f>96300</f>
        <v>96300.0</v>
      </c>
      <c r="R365" s="34" t="s">
        <v>50</v>
      </c>
      <c r="S365" s="35" t="n">
        <f>96736.36</f>
        <v>96736.36</v>
      </c>
      <c r="T365" s="32" t="n">
        <f>540885</f>
        <v>540885.0</v>
      </c>
      <c r="U365" s="32" t="n">
        <f>144885</f>
        <v>144885.0</v>
      </c>
      <c r="V365" s="32" t="n">
        <f>52067924313</f>
        <v>5.2067924313E10</v>
      </c>
      <c r="W365" s="32" t="n">
        <f>13911085913</f>
        <v>1.3911085913E10</v>
      </c>
      <c r="X365" s="36" t="n">
        <f>22</f>
        <v>22.0</v>
      </c>
    </row>
    <row r="366">
      <c r="A366" s="27" t="s">
        <v>42</v>
      </c>
      <c r="B366" s="27" t="s">
        <v>1154</v>
      </c>
      <c r="C366" s="27" t="s">
        <v>1155</v>
      </c>
      <c r="D366" s="27" t="s">
        <v>1156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178600</f>
        <v>178600.0</v>
      </c>
      <c r="L366" s="34" t="s">
        <v>48</v>
      </c>
      <c r="M366" s="33" t="n">
        <f>182300</f>
        <v>182300.0</v>
      </c>
      <c r="N366" s="34" t="s">
        <v>70</v>
      </c>
      <c r="O366" s="33" t="n">
        <f>174800</f>
        <v>174800.0</v>
      </c>
      <c r="P366" s="34" t="s">
        <v>103</v>
      </c>
      <c r="Q366" s="33" t="n">
        <f>177400</f>
        <v>177400.0</v>
      </c>
      <c r="R366" s="34" t="s">
        <v>50</v>
      </c>
      <c r="S366" s="35" t="n">
        <f>178527.27</f>
        <v>178527.27</v>
      </c>
      <c r="T366" s="32" t="n">
        <f>173547</f>
        <v>173547.0</v>
      </c>
      <c r="U366" s="32" t="n">
        <f>41473</f>
        <v>41473.0</v>
      </c>
      <c r="V366" s="32" t="n">
        <f>30972969841</f>
        <v>3.0972969841E10</v>
      </c>
      <c r="W366" s="32" t="n">
        <f>7402503641</f>
        <v>7.402503641E9</v>
      </c>
      <c r="X366" s="36" t="n">
        <f>22</f>
        <v>22.0</v>
      </c>
    </row>
    <row r="367">
      <c r="A367" s="27" t="s">
        <v>42</v>
      </c>
      <c r="B367" s="27" t="s">
        <v>1157</v>
      </c>
      <c r="C367" s="27" t="s">
        <v>1158</v>
      </c>
      <c r="D367" s="27" t="s">
        <v>1159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345500</f>
        <v>345500.0</v>
      </c>
      <c r="L367" s="34" t="s">
        <v>48</v>
      </c>
      <c r="M367" s="33" t="n">
        <f>359500</f>
        <v>359500.0</v>
      </c>
      <c r="N367" s="34" t="s">
        <v>102</v>
      </c>
      <c r="O367" s="33" t="n">
        <f>342000</f>
        <v>342000.0</v>
      </c>
      <c r="P367" s="34" t="s">
        <v>48</v>
      </c>
      <c r="Q367" s="33" t="n">
        <f>348500</f>
        <v>348500.0</v>
      </c>
      <c r="R367" s="34" t="s">
        <v>50</v>
      </c>
      <c r="S367" s="35" t="n">
        <f>350227.27</f>
        <v>350227.27</v>
      </c>
      <c r="T367" s="32" t="n">
        <f>67103</f>
        <v>67103.0</v>
      </c>
      <c r="U367" s="32" t="n">
        <f>13014</f>
        <v>13014.0</v>
      </c>
      <c r="V367" s="32" t="n">
        <f>23492653879</f>
        <v>2.3492653879E10</v>
      </c>
      <c r="W367" s="32" t="n">
        <f>4555134879</f>
        <v>4.555134879E9</v>
      </c>
      <c r="X367" s="36" t="n">
        <f>22</f>
        <v>22.0</v>
      </c>
    </row>
    <row r="368">
      <c r="A368" s="27" t="s">
        <v>42</v>
      </c>
      <c r="B368" s="27" t="s">
        <v>1160</v>
      </c>
      <c r="C368" s="27" t="s">
        <v>1161</v>
      </c>
      <c r="D368" s="27" t="s">
        <v>1162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131500</f>
        <v>131500.0</v>
      </c>
      <c r="L368" s="34" t="s">
        <v>48</v>
      </c>
      <c r="M368" s="33" t="n">
        <f>135300</f>
        <v>135300.0</v>
      </c>
      <c r="N368" s="34" t="s">
        <v>50</v>
      </c>
      <c r="O368" s="33" t="n">
        <f>129500</f>
        <v>129500.0</v>
      </c>
      <c r="P368" s="34" t="s">
        <v>116</v>
      </c>
      <c r="Q368" s="33" t="n">
        <f>134900</f>
        <v>134900.0</v>
      </c>
      <c r="R368" s="34" t="s">
        <v>50</v>
      </c>
      <c r="S368" s="35" t="n">
        <f>131713.64</f>
        <v>131713.64</v>
      </c>
      <c r="T368" s="32" t="n">
        <f>93121</f>
        <v>93121.0</v>
      </c>
      <c r="U368" s="32" t="n">
        <f>21800</f>
        <v>21800.0</v>
      </c>
      <c r="V368" s="32" t="n">
        <f>12274308468</f>
        <v>1.2274308468E10</v>
      </c>
      <c r="W368" s="32" t="n">
        <f>2877648368</f>
        <v>2.877648368E9</v>
      </c>
      <c r="X368" s="36" t="n">
        <f>22</f>
        <v>22.0</v>
      </c>
    </row>
    <row r="369">
      <c r="A369" s="27" t="s">
        <v>42</v>
      </c>
      <c r="B369" s="27" t="s">
        <v>1163</v>
      </c>
      <c r="C369" s="27" t="s">
        <v>1164</v>
      </c>
      <c r="D369" s="27" t="s">
        <v>1165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191500</f>
        <v>191500.0</v>
      </c>
      <c r="L369" s="34" t="s">
        <v>48</v>
      </c>
      <c r="M369" s="33" t="n">
        <f>194100</f>
        <v>194100.0</v>
      </c>
      <c r="N369" s="34" t="s">
        <v>49</v>
      </c>
      <c r="O369" s="33" t="n">
        <f>184400</f>
        <v>184400.0</v>
      </c>
      <c r="P369" s="34" t="s">
        <v>116</v>
      </c>
      <c r="Q369" s="33" t="n">
        <f>192300</f>
        <v>192300.0</v>
      </c>
      <c r="R369" s="34" t="s">
        <v>50</v>
      </c>
      <c r="S369" s="35" t="n">
        <f>188963.64</f>
        <v>188963.64</v>
      </c>
      <c r="T369" s="32" t="n">
        <f>52451</f>
        <v>52451.0</v>
      </c>
      <c r="U369" s="32" t="n">
        <f>11889</f>
        <v>11889.0</v>
      </c>
      <c r="V369" s="32" t="n">
        <f>9917607113</f>
        <v>9.917607113E9</v>
      </c>
      <c r="W369" s="32" t="n">
        <f>2244969513</f>
        <v>2.244969513E9</v>
      </c>
      <c r="X369" s="36" t="n">
        <f>22</f>
        <v>22.0</v>
      </c>
    </row>
    <row r="370">
      <c r="A370" s="27" t="s">
        <v>42</v>
      </c>
      <c r="B370" s="27" t="s">
        <v>1166</v>
      </c>
      <c r="C370" s="27" t="s">
        <v>1167</v>
      </c>
      <c r="D370" s="27" t="s">
        <v>1168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106600</f>
        <v>106600.0</v>
      </c>
      <c r="L370" s="34" t="s">
        <v>48</v>
      </c>
      <c r="M370" s="33" t="n">
        <f>114000</f>
        <v>114000.0</v>
      </c>
      <c r="N370" s="34" t="s">
        <v>50</v>
      </c>
      <c r="O370" s="33" t="n">
        <f>105900</f>
        <v>105900.0</v>
      </c>
      <c r="P370" s="34" t="s">
        <v>48</v>
      </c>
      <c r="Q370" s="33" t="n">
        <f>114000</f>
        <v>114000.0</v>
      </c>
      <c r="R370" s="34" t="s">
        <v>50</v>
      </c>
      <c r="S370" s="35" t="n">
        <f>108986.36</f>
        <v>108986.36</v>
      </c>
      <c r="T370" s="32" t="n">
        <f>71483</f>
        <v>71483.0</v>
      </c>
      <c r="U370" s="32" t="n">
        <f>11559</f>
        <v>11559.0</v>
      </c>
      <c r="V370" s="32" t="n">
        <f>7773680104</f>
        <v>7.773680104E9</v>
      </c>
      <c r="W370" s="32" t="n">
        <f>1258388804</f>
        <v>1.258388804E9</v>
      </c>
      <c r="X370" s="36" t="n">
        <f>22</f>
        <v>22.0</v>
      </c>
    </row>
    <row r="371">
      <c r="A371" s="27" t="s">
        <v>42</v>
      </c>
      <c r="B371" s="27" t="s">
        <v>1169</v>
      </c>
      <c r="C371" s="27" t="s">
        <v>1170</v>
      </c>
      <c r="D371" s="27" t="s">
        <v>1171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151000</f>
        <v>151000.0</v>
      </c>
      <c r="L371" s="34" t="s">
        <v>48</v>
      </c>
      <c r="M371" s="33" t="n">
        <f>152100</f>
        <v>152100.0</v>
      </c>
      <c r="N371" s="34" t="s">
        <v>48</v>
      </c>
      <c r="O371" s="33" t="n">
        <f>142500</f>
        <v>142500.0</v>
      </c>
      <c r="P371" s="34" t="s">
        <v>479</v>
      </c>
      <c r="Q371" s="33" t="n">
        <f>145400</f>
        <v>145400.0</v>
      </c>
      <c r="R371" s="34" t="s">
        <v>50</v>
      </c>
      <c r="S371" s="35" t="n">
        <f>146959.09</f>
        <v>146959.09</v>
      </c>
      <c r="T371" s="32" t="n">
        <f>228904</f>
        <v>228904.0</v>
      </c>
      <c r="U371" s="32" t="n">
        <f>62501</f>
        <v>62501.0</v>
      </c>
      <c r="V371" s="32" t="n">
        <f>33584948699</f>
        <v>3.3584948699E10</v>
      </c>
      <c r="W371" s="32" t="n">
        <f>9158188099</f>
        <v>9.158188099E9</v>
      </c>
      <c r="X371" s="36" t="n">
        <f>22</f>
        <v>22.0</v>
      </c>
    </row>
    <row r="372">
      <c r="A372" s="27" t="s">
        <v>42</v>
      </c>
      <c r="B372" s="27" t="s">
        <v>1172</v>
      </c>
      <c r="C372" s="27" t="s">
        <v>1173</v>
      </c>
      <c r="D372" s="27" t="s">
        <v>1174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70400</f>
        <v>70400.0</v>
      </c>
      <c r="L372" s="34" t="s">
        <v>48</v>
      </c>
      <c r="M372" s="33" t="n">
        <f>72800</f>
        <v>72800.0</v>
      </c>
      <c r="N372" s="34" t="s">
        <v>102</v>
      </c>
      <c r="O372" s="33" t="n">
        <f>69400</f>
        <v>69400.0</v>
      </c>
      <c r="P372" s="34" t="s">
        <v>48</v>
      </c>
      <c r="Q372" s="33" t="n">
        <f>72000</f>
        <v>72000.0</v>
      </c>
      <c r="R372" s="34" t="s">
        <v>50</v>
      </c>
      <c r="S372" s="35" t="n">
        <f>70786.36</f>
        <v>70786.36</v>
      </c>
      <c r="T372" s="32" t="n">
        <f>134020</f>
        <v>134020.0</v>
      </c>
      <c r="U372" s="32" t="n">
        <f>30498</f>
        <v>30498.0</v>
      </c>
      <c r="V372" s="32" t="n">
        <f>9480017594</f>
        <v>9.480017594E9</v>
      </c>
      <c r="W372" s="32" t="n">
        <f>2159077194</f>
        <v>2.159077194E9</v>
      </c>
      <c r="X372" s="36" t="n">
        <f>22</f>
        <v>22.0</v>
      </c>
    </row>
    <row r="373">
      <c r="A373" s="27" t="s">
        <v>42</v>
      </c>
      <c r="B373" s="27" t="s">
        <v>1175</v>
      </c>
      <c r="C373" s="27" t="s">
        <v>1176</v>
      </c>
      <c r="D373" s="27" t="s">
        <v>1177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58300</f>
        <v>58300.0</v>
      </c>
      <c r="L373" s="34" t="s">
        <v>48</v>
      </c>
      <c r="M373" s="33" t="n">
        <f>58700</f>
        <v>58700.0</v>
      </c>
      <c r="N373" s="34" t="s">
        <v>61</v>
      </c>
      <c r="O373" s="33" t="n">
        <f>55600</f>
        <v>55600.0</v>
      </c>
      <c r="P373" s="34" t="s">
        <v>397</v>
      </c>
      <c r="Q373" s="33" t="n">
        <f>57200</f>
        <v>57200.0</v>
      </c>
      <c r="R373" s="34" t="s">
        <v>50</v>
      </c>
      <c r="S373" s="35" t="n">
        <f>57163.64</f>
        <v>57163.64</v>
      </c>
      <c r="T373" s="32" t="n">
        <f>640761</f>
        <v>640761.0</v>
      </c>
      <c r="U373" s="32" t="n">
        <f>143439</f>
        <v>143439.0</v>
      </c>
      <c r="V373" s="32" t="n">
        <f>36568821033</f>
        <v>3.6568821033E10</v>
      </c>
      <c r="W373" s="32" t="n">
        <f>8161565633</f>
        <v>8.161565633E9</v>
      </c>
      <c r="X373" s="36" t="n">
        <f>22</f>
        <v>22.0</v>
      </c>
    </row>
    <row r="374">
      <c r="A374" s="27" t="s">
        <v>42</v>
      </c>
      <c r="B374" s="27" t="s">
        <v>1178</v>
      </c>
      <c r="C374" s="27" t="s">
        <v>1179</v>
      </c>
      <c r="D374" s="27" t="s">
        <v>1180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489500</f>
        <v>489500.0</v>
      </c>
      <c r="L374" s="34" t="s">
        <v>48</v>
      </c>
      <c r="M374" s="33" t="n">
        <f>492500</f>
        <v>492500.0</v>
      </c>
      <c r="N374" s="34" t="s">
        <v>65</v>
      </c>
      <c r="O374" s="33" t="n">
        <f>462500</f>
        <v>462500.0</v>
      </c>
      <c r="P374" s="34" t="s">
        <v>50</v>
      </c>
      <c r="Q374" s="33" t="n">
        <f>468000</f>
        <v>468000.0</v>
      </c>
      <c r="R374" s="34" t="s">
        <v>50</v>
      </c>
      <c r="S374" s="35" t="n">
        <f>484204.55</f>
        <v>484204.55</v>
      </c>
      <c r="T374" s="32" t="n">
        <f>50098</f>
        <v>50098.0</v>
      </c>
      <c r="U374" s="32" t="n">
        <f>10820</f>
        <v>10820.0</v>
      </c>
      <c r="V374" s="32" t="n">
        <f>24181960759</f>
        <v>2.4181960759E10</v>
      </c>
      <c r="W374" s="32" t="n">
        <f>5243785259</f>
        <v>5.243785259E9</v>
      </c>
      <c r="X374" s="36" t="n">
        <f>22</f>
        <v>22.0</v>
      </c>
    </row>
    <row r="375">
      <c r="A375" s="27" t="s">
        <v>42</v>
      </c>
      <c r="B375" s="27" t="s">
        <v>1181</v>
      </c>
      <c r="C375" s="27" t="s">
        <v>1182</v>
      </c>
      <c r="D375" s="27" t="s">
        <v>1183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154900</f>
        <v>154900.0</v>
      </c>
      <c r="L375" s="34" t="s">
        <v>48</v>
      </c>
      <c r="M375" s="33" t="n">
        <f>157100</f>
        <v>157100.0</v>
      </c>
      <c r="N375" s="34" t="s">
        <v>186</v>
      </c>
      <c r="O375" s="33" t="n">
        <f>142600</f>
        <v>142600.0</v>
      </c>
      <c r="P375" s="34" t="s">
        <v>479</v>
      </c>
      <c r="Q375" s="33" t="n">
        <f>146100</f>
        <v>146100.0</v>
      </c>
      <c r="R375" s="34" t="s">
        <v>50</v>
      </c>
      <c r="S375" s="35" t="n">
        <f>149790.91</f>
        <v>149790.91</v>
      </c>
      <c r="T375" s="32" t="n">
        <f>97950</f>
        <v>97950.0</v>
      </c>
      <c r="U375" s="32" t="n">
        <f>17580</f>
        <v>17580.0</v>
      </c>
      <c r="V375" s="32" t="n">
        <f>14750495241</f>
        <v>1.4750495241E10</v>
      </c>
      <c r="W375" s="32" t="n">
        <f>2652513941</f>
        <v>2.652513941E9</v>
      </c>
      <c r="X375" s="36" t="n">
        <f>22</f>
        <v>22.0</v>
      </c>
    </row>
    <row r="376">
      <c r="A376" s="27" t="s">
        <v>42</v>
      </c>
      <c r="B376" s="27" t="s">
        <v>1184</v>
      </c>
      <c r="C376" s="27" t="s">
        <v>1185</v>
      </c>
      <c r="D376" s="27" t="s">
        <v>1186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319000</f>
        <v>319000.0</v>
      </c>
      <c r="L376" s="34" t="s">
        <v>48</v>
      </c>
      <c r="M376" s="33" t="n">
        <f>327000</f>
        <v>327000.0</v>
      </c>
      <c r="N376" s="34" t="s">
        <v>80</v>
      </c>
      <c r="O376" s="33" t="n">
        <f>310000</f>
        <v>310000.0</v>
      </c>
      <c r="P376" s="34" t="s">
        <v>50</v>
      </c>
      <c r="Q376" s="33" t="n">
        <f>312500</f>
        <v>312500.0</v>
      </c>
      <c r="R376" s="34" t="s">
        <v>50</v>
      </c>
      <c r="S376" s="35" t="n">
        <f>319545.45</f>
        <v>319545.45</v>
      </c>
      <c r="T376" s="32" t="n">
        <f>50218</f>
        <v>50218.0</v>
      </c>
      <c r="U376" s="32" t="n">
        <f>10870</f>
        <v>10870.0</v>
      </c>
      <c r="V376" s="32" t="n">
        <f>16041568390</f>
        <v>1.604156839E10</v>
      </c>
      <c r="W376" s="32" t="n">
        <f>3470449390</f>
        <v>3.47044939E9</v>
      </c>
      <c r="X376" s="36" t="n">
        <f>22</f>
        <v>22.0</v>
      </c>
    </row>
    <row r="377">
      <c r="A377" s="27" t="s">
        <v>42</v>
      </c>
      <c r="B377" s="27" t="s">
        <v>1187</v>
      </c>
      <c r="C377" s="27" t="s">
        <v>1188</v>
      </c>
      <c r="D377" s="27" t="s">
        <v>1189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162500</f>
        <v>162500.0</v>
      </c>
      <c r="L377" s="34" t="s">
        <v>48</v>
      </c>
      <c r="M377" s="33" t="n">
        <f>166400</f>
        <v>166400.0</v>
      </c>
      <c r="N377" s="34" t="s">
        <v>50</v>
      </c>
      <c r="O377" s="33" t="n">
        <f>158900</f>
        <v>158900.0</v>
      </c>
      <c r="P377" s="34" t="s">
        <v>208</v>
      </c>
      <c r="Q377" s="33" t="n">
        <f>165900</f>
        <v>165900.0</v>
      </c>
      <c r="R377" s="34" t="s">
        <v>50</v>
      </c>
      <c r="S377" s="35" t="n">
        <f>162459.09</f>
        <v>162459.09</v>
      </c>
      <c r="T377" s="32" t="n">
        <f>37209</f>
        <v>37209.0</v>
      </c>
      <c r="U377" s="32" t="n">
        <f>5793</f>
        <v>5793.0</v>
      </c>
      <c r="V377" s="32" t="n">
        <f>6044338495</f>
        <v>6.044338495E9</v>
      </c>
      <c r="W377" s="32" t="n">
        <f>943404295</f>
        <v>9.43404295E8</v>
      </c>
      <c r="X377" s="36" t="n">
        <f>22</f>
        <v>22.0</v>
      </c>
    </row>
    <row r="378">
      <c r="A378" s="27" t="s">
        <v>42</v>
      </c>
      <c r="B378" s="27" t="s">
        <v>1190</v>
      </c>
      <c r="C378" s="27" t="s">
        <v>1191</v>
      </c>
      <c r="D378" s="27" t="s">
        <v>1192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309500</f>
        <v>309500.0</v>
      </c>
      <c r="L378" s="34" t="s">
        <v>48</v>
      </c>
      <c r="M378" s="33" t="n">
        <f>348000</f>
        <v>348000.0</v>
      </c>
      <c r="N378" s="34" t="s">
        <v>102</v>
      </c>
      <c r="O378" s="33" t="n">
        <f>300000</f>
        <v>300000.0</v>
      </c>
      <c r="P378" s="34" t="s">
        <v>117</v>
      </c>
      <c r="Q378" s="33" t="n">
        <f>346500</f>
        <v>346500.0</v>
      </c>
      <c r="R378" s="34" t="s">
        <v>50</v>
      </c>
      <c r="S378" s="35" t="n">
        <f>320363.64</f>
        <v>320363.64</v>
      </c>
      <c r="T378" s="32" t="n">
        <f>190618</f>
        <v>190618.0</v>
      </c>
      <c r="U378" s="32" t="n">
        <f>57358</f>
        <v>57358.0</v>
      </c>
      <c r="V378" s="32" t="n">
        <f>62241050158</f>
        <v>6.2241050158E10</v>
      </c>
      <c r="W378" s="32" t="n">
        <f>18839651658</f>
        <v>1.8839651658E10</v>
      </c>
      <c r="X378" s="36" t="n">
        <f>22</f>
        <v>22.0</v>
      </c>
    </row>
    <row r="379">
      <c r="A379" s="27" t="s">
        <v>42</v>
      </c>
      <c r="B379" s="27" t="s">
        <v>1193</v>
      </c>
      <c r="C379" s="27" t="s">
        <v>1194</v>
      </c>
      <c r="D379" s="27" t="s">
        <v>1195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91200</f>
        <v>91200.0</v>
      </c>
      <c r="L379" s="34" t="s">
        <v>48</v>
      </c>
      <c r="M379" s="33" t="n">
        <f>91200</f>
        <v>91200.0</v>
      </c>
      <c r="N379" s="34" t="s">
        <v>48</v>
      </c>
      <c r="O379" s="33" t="n">
        <f>87500</f>
        <v>87500.0</v>
      </c>
      <c r="P379" s="34" t="s">
        <v>155</v>
      </c>
      <c r="Q379" s="33" t="n">
        <f>89400</f>
        <v>89400.0</v>
      </c>
      <c r="R379" s="34" t="s">
        <v>50</v>
      </c>
      <c r="S379" s="35" t="n">
        <f>89127.27</f>
        <v>89127.27</v>
      </c>
      <c r="T379" s="32" t="n">
        <f>140326</f>
        <v>140326.0</v>
      </c>
      <c r="U379" s="32" t="n">
        <f>21680</f>
        <v>21680.0</v>
      </c>
      <c r="V379" s="32" t="n">
        <f>12498547325</f>
        <v>1.2498547325E10</v>
      </c>
      <c r="W379" s="32" t="n">
        <f>1930379425</f>
        <v>1.930379425E9</v>
      </c>
      <c r="X379" s="36" t="n">
        <f>22</f>
        <v>22.0</v>
      </c>
    </row>
    <row r="380">
      <c r="A380" s="27" t="s">
        <v>42</v>
      </c>
      <c r="B380" s="27" t="s">
        <v>1196</v>
      </c>
      <c r="C380" s="27" t="s">
        <v>1197</v>
      </c>
      <c r="D380" s="27" t="s">
        <v>1198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575000</f>
        <v>575000.0</v>
      </c>
      <c r="L380" s="34" t="s">
        <v>48</v>
      </c>
      <c r="M380" s="33" t="n">
        <f>629000</f>
        <v>629000.0</v>
      </c>
      <c r="N380" s="34" t="s">
        <v>50</v>
      </c>
      <c r="O380" s="33" t="n">
        <f>567000</f>
        <v>567000.0</v>
      </c>
      <c r="P380" s="34" t="s">
        <v>48</v>
      </c>
      <c r="Q380" s="33" t="n">
        <f>626000</f>
        <v>626000.0</v>
      </c>
      <c r="R380" s="34" t="s">
        <v>50</v>
      </c>
      <c r="S380" s="35" t="n">
        <f>599909.09</f>
        <v>599909.09</v>
      </c>
      <c r="T380" s="32" t="n">
        <f>39330</f>
        <v>39330.0</v>
      </c>
      <c r="U380" s="32" t="n">
        <f>7806</f>
        <v>7806.0</v>
      </c>
      <c r="V380" s="32" t="n">
        <f>23606533851</f>
        <v>2.3606533851E10</v>
      </c>
      <c r="W380" s="32" t="n">
        <f>4712786851</f>
        <v>4.712786851E9</v>
      </c>
      <c r="X380" s="36" t="n">
        <f>22</f>
        <v>22.0</v>
      </c>
    </row>
    <row r="381">
      <c r="A381" s="27" t="s">
        <v>42</v>
      </c>
      <c r="B381" s="27" t="s">
        <v>1199</v>
      </c>
      <c r="C381" s="27" t="s">
        <v>1200</v>
      </c>
      <c r="D381" s="27" t="s">
        <v>1201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144000</f>
        <v>144000.0</v>
      </c>
      <c r="L381" s="34" t="s">
        <v>48</v>
      </c>
      <c r="M381" s="33" t="n">
        <f>146300</f>
        <v>146300.0</v>
      </c>
      <c r="N381" s="34" t="s">
        <v>186</v>
      </c>
      <c r="O381" s="33" t="n">
        <f>141500</f>
        <v>141500.0</v>
      </c>
      <c r="P381" s="34" t="s">
        <v>103</v>
      </c>
      <c r="Q381" s="33" t="n">
        <f>144700</f>
        <v>144700.0</v>
      </c>
      <c r="R381" s="34" t="s">
        <v>50</v>
      </c>
      <c r="S381" s="35" t="n">
        <f>144172.73</f>
        <v>144172.73</v>
      </c>
      <c r="T381" s="32" t="n">
        <f>35590</f>
        <v>35590.0</v>
      </c>
      <c r="U381" s="32" t="n">
        <f>4738</f>
        <v>4738.0</v>
      </c>
      <c r="V381" s="32" t="n">
        <f>5130911933</f>
        <v>5.130911933E9</v>
      </c>
      <c r="W381" s="32" t="n">
        <f>682341633</f>
        <v>6.82341633E8</v>
      </c>
      <c r="X381" s="36" t="n">
        <f>22</f>
        <v>22.0</v>
      </c>
    </row>
    <row r="382">
      <c r="A382" s="27" t="s">
        <v>42</v>
      </c>
      <c r="B382" s="27" t="s">
        <v>1202</v>
      </c>
      <c r="C382" s="27" t="s">
        <v>1203</v>
      </c>
      <c r="D382" s="27" t="s">
        <v>1204</v>
      </c>
      <c r="E382" s="28" t="s">
        <v>46</v>
      </c>
      <c r="F382" s="29" t="s">
        <v>46</v>
      </c>
      <c r="G382" s="30" t="s">
        <v>46</v>
      </c>
      <c r="H382" s="31"/>
      <c r="I382" s="31" t="s">
        <v>591</v>
      </c>
      <c r="J382" s="32" t="n">
        <v>1.0</v>
      </c>
      <c r="K382" s="33" t="n">
        <f>232000</f>
        <v>232000.0</v>
      </c>
      <c r="L382" s="34" t="s">
        <v>48</v>
      </c>
      <c r="M382" s="33" t="n">
        <f>238400</f>
        <v>238400.0</v>
      </c>
      <c r="N382" s="34" t="s">
        <v>314</v>
      </c>
      <c r="O382" s="33" t="n">
        <f>227200</f>
        <v>227200.0</v>
      </c>
      <c r="P382" s="34" t="s">
        <v>48</v>
      </c>
      <c r="Q382" s="33" t="n">
        <f>233000</f>
        <v>233000.0</v>
      </c>
      <c r="R382" s="34" t="s">
        <v>50</v>
      </c>
      <c r="S382" s="35" t="n">
        <f>232586.36</f>
        <v>232586.36</v>
      </c>
      <c r="T382" s="32" t="n">
        <f>16608</f>
        <v>16608.0</v>
      </c>
      <c r="U382" s="32" t="n">
        <f>2340</f>
        <v>2340.0</v>
      </c>
      <c r="V382" s="32" t="n">
        <f>3855293726</f>
        <v>3.855293726E9</v>
      </c>
      <c r="W382" s="32" t="n">
        <f>543538526</f>
        <v>5.43538526E8</v>
      </c>
      <c r="X382" s="36" t="n">
        <f>22</f>
        <v>22.0</v>
      </c>
    </row>
    <row r="383">
      <c r="A383" s="27" t="s">
        <v>42</v>
      </c>
      <c r="B383" s="27" t="s">
        <v>1205</v>
      </c>
      <c r="C383" s="27" t="s">
        <v>1206</v>
      </c>
      <c r="D383" s="27" t="s">
        <v>1207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299500</f>
        <v>299500.0</v>
      </c>
      <c r="L383" s="34" t="s">
        <v>48</v>
      </c>
      <c r="M383" s="33" t="n">
        <f>303000</f>
        <v>303000.0</v>
      </c>
      <c r="N383" s="34" t="s">
        <v>48</v>
      </c>
      <c r="O383" s="33" t="n">
        <f>271400</f>
        <v>271400.0</v>
      </c>
      <c r="P383" s="34" t="s">
        <v>49</v>
      </c>
      <c r="Q383" s="33" t="n">
        <f>276200</f>
        <v>276200.0</v>
      </c>
      <c r="R383" s="34" t="s">
        <v>50</v>
      </c>
      <c r="S383" s="35" t="n">
        <f>283627.27</f>
        <v>283627.27</v>
      </c>
      <c r="T383" s="32" t="n">
        <f>161643</f>
        <v>161643.0</v>
      </c>
      <c r="U383" s="32" t="n">
        <f>36081</f>
        <v>36081.0</v>
      </c>
      <c r="V383" s="32" t="n">
        <f>45704405830</f>
        <v>4.570440583E10</v>
      </c>
      <c r="W383" s="32" t="n">
        <f>10148932530</f>
        <v>1.014893253E10</v>
      </c>
      <c r="X383" s="36" t="n">
        <f>22</f>
        <v>22.0</v>
      </c>
    </row>
    <row r="384">
      <c r="A384" s="27" t="s">
        <v>42</v>
      </c>
      <c r="B384" s="27" t="s">
        <v>1208</v>
      </c>
      <c r="C384" s="27" t="s">
        <v>1209</v>
      </c>
      <c r="D384" s="27" t="s">
        <v>1210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78000</f>
        <v>78000.0</v>
      </c>
      <c r="L384" s="34" t="s">
        <v>48</v>
      </c>
      <c r="M384" s="33" t="n">
        <f>78100</f>
        <v>78100.0</v>
      </c>
      <c r="N384" s="34" t="s">
        <v>48</v>
      </c>
      <c r="O384" s="33" t="n">
        <f>70500</f>
        <v>70500.0</v>
      </c>
      <c r="P384" s="34" t="s">
        <v>212</v>
      </c>
      <c r="Q384" s="33" t="n">
        <f>73500</f>
        <v>73500.0</v>
      </c>
      <c r="R384" s="34" t="s">
        <v>50</v>
      </c>
      <c r="S384" s="35" t="n">
        <f>73854.55</f>
        <v>73854.55</v>
      </c>
      <c r="T384" s="32" t="n">
        <f>522857</f>
        <v>522857.0</v>
      </c>
      <c r="U384" s="32" t="n">
        <f>139198</f>
        <v>139198.0</v>
      </c>
      <c r="V384" s="32" t="n">
        <f>38436698267</f>
        <v>3.8436698267E10</v>
      </c>
      <c r="W384" s="32" t="n">
        <f>10231474067</f>
        <v>1.0231474067E10</v>
      </c>
      <c r="X384" s="36" t="n">
        <f>22</f>
        <v>22.0</v>
      </c>
    </row>
    <row r="385">
      <c r="A385" s="27" t="s">
        <v>42</v>
      </c>
      <c r="B385" s="27" t="s">
        <v>1211</v>
      </c>
      <c r="C385" s="27" t="s">
        <v>1212</v>
      </c>
      <c r="D385" s="27" t="s">
        <v>1213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114900</f>
        <v>114900.0</v>
      </c>
      <c r="L385" s="34" t="s">
        <v>48</v>
      </c>
      <c r="M385" s="33" t="n">
        <f>115400</f>
        <v>115400.0</v>
      </c>
      <c r="N385" s="34" t="s">
        <v>48</v>
      </c>
      <c r="O385" s="33" t="n">
        <f>110800</f>
        <v>110800.0</v>
      </c>
      <c r="P385" s="34" t="s">
        <v>208</v>
      </c>
      <c r="Q385" s="33" t="n">
        <f>114400</f>
        <v>114400.0</v>
      </c>
      <c r="R385" s="34" t="s">
        <v>50</v>
      </c>
      <c r="S385" s="35" t="n">
        <f>113527.27</f>
        <v>113527.27</v>
      </c>
      <c r="T385" s="32" t="n">
        <f>139363</f>
        <v>139363.0</v>
      </c>
      <c r="U385" s="32" t="n">
        <f>37383</f>
        <v>37383.0</v>
      </c>
      <c r="V385" s="32" t="n">
        <f>15806401686</f>
        <v>1.5806401686E10</v>
      </c>
      <c r="W385" s="32" t="n">
        <f>4244466386</f>
        <v>4.244466386E9</v>
      </c>
      <c r="X385" s="36" t="n">
        <f>22</f>
        <v>22.0</v>
      </c>
    </row>
    <row r="386">
      <c r="A386" s="27" t="s">
        <v>42</v>
      </c>
      <c r="B386" s="27" t="s">
        <v>1214</v>
      </c>
      <c r="C386" s="27" t="s">
        <v>1215</v>
      </c>
      <c r="D386" s="27" t="s">
        <v>1216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121900</f>
        <v>121900.0</v>
      </c>
      <c r="L386" s="34" t="s">
        <v>48</v>
      </c>
      <c r="M386" s="33" t="n">
        <f>125800</f>
        <v>125800.0</v>
      </c>
      <c r="N386" s="34" t="s">
        <v>50</v>
      </c>
      <c r="O386" s="33" t="n">
        <f>118400</f>
        <v>118400.0</v>
      </c>
      <c r="P386" s="34" t="s">
        <v>208</v>
      </c>
      <c r="Q386" s="33" t="n">
        <f>125300</f>
        <v>125300.0</v>
      </c>
      <c r="R386" s="34" t="s">
        <v>50</v>
      </c>
      <c r="S386" s="35" t="n">
        <f>121031.82</f>
        <v>121031.82</v>
      </c>
      <c r="T386" s="32" t="n">
        <f>98731</f>
        <v>98731.0</v>
      </c>
      <c r="U386" s="32" t="n">
        <f>15113</f>
        <v>15113.0</v>
      </c>
      <c r="V386" s="32" t="n">
        <f>11969909908</f>
        <v>1.1969909908E10</v>
      </c>
      <c r="W386" s="32" t="n">
        <f>1837153808</f>
        <v>1.837153808E9</v>
      </c>
      <c r="X386" s="36" t="n">
        <f>22</f>
        <v>22.0</v>
      </c>
    </row>
    <row r="387">
      <c r="A387" s="27" t="s">
        <v>42</v>
      </c>
      <c r="B387" s="27" t="s">
        <v>1217</v>
      </c>
      <c r="C387" s="27" t="s">
        <v>1218</v>
      </c>
      <c r="D387" s="27" t="s">
        <v>1219</v>
      </c>
      <c r="E387" s="28" t="s">
        <v>46</v>
      </c>
      <c r="F387" s="29" t="s">
        <v>46</v>
      </c>
      <c r="G387" s="30" t="s">
        <v>46</v>
      </c>
      <c r="H387" s="31"/>
      <c r="I387" s="31" t="s">
        <v>591</v>
      </c>
      <c r="J387" s="32" t="n">
        <v>1.0</v>
      </c>
      <c r="K387" s="33" t="n">
        <f>77000</f>
        <v>77000.0</v>
      </c>
      <c r="L387" s="34" t="s">
        <v>48</v>
      </c>
      <c r="M387" s="33" t="n">
        <f>78900</f>
        <v>78900.0</v>
      </c>
      <c r="N387" s="34" t="s">
        <v>102</v>
      </c>
      <c r="O387" s="33" t="n">
        <f>70600</f>
        <v>70600.0</v>
      </c>
      <c r="P387" s="34" t="s">
        <v>49</v>
      </c>
      <c r="Q387" s="33" t="n">
        <f>72800</f>
        <v>72800.0</v>
      </c>
      <c r="R387" s="34" t="s">
        <v>50</v>
      </c>
      <c r="S387" s="35" t="n">
        <f>76590.91</f>
        <v>76590.91</v>
      </c>
      <c r="T387" s="32" t="n">
        <f>7145</f>
        <v>7145.0</v>
      </c>
      <c r="U387" s="32" t="n">
        <f>20</f>
        <v>20.0</v>
      </c>
      <c r="V387" s="32" t="n">
        <f>540701100</f>
        <v>5.407011E8</v>
      </c>
      <c r="W387" s="32" t="n">
        <f>1505500</f>
        <v>1505500.0</v>
      </c>
      <c r="X387" s="36" t="n">
        <f>22</f>
        <v>22.0</v>
      </c>
    </row>
    <row r="388">
      <c r="A388" s="27" t="s">
        <v>42</v>
      </c>
      <c r="B388" s="27" t="s">
        <v>1220</v>
      </c>
      <c r="C388" s="27" t="s">
        <v>1221</v>
      </c>
      <c r="D388" s="27" t="s">
        <v>1222</v>
      </c>
      <c r="E388" s="28" t="s">
        <v>46</v>
      </c>
      <c r="F388" s="29" t="s">
        <v>46</v>
      </c>
      <c r="G388" s="30" t="s">
        <v>46</v>
      </c>
      <c r="H388" s="31"/>
      <c r="I388" s="31" t="s">
        <v>591</v>
      </c>
      <c r="J388" s="32" t="n">
        <v>1.0</v>
      </c>
      <c r="K388" s="33" t="n">
        <f>124500</f>
        <v>124500.0</v>
      </c>
      <c r="L388" s="34" t="s">
        <v>48</v>
      </c>
      <c r="M388" s="33" t="n">
        <f>125100</f>
        <v>125100.0</v>
      </c>
      <c r="N388" s="34" t="s">
        <v>102</v>
      </c>
      <c r="O388" s="33" t="n">
        <f>120700</f>
        <v>120700.0</v>
      </c>
      <c r="P388" s="34" t="s">
        <v>49</v>
      </c>
      <c r="Q388" s="33" t="n">
        <f>121600</f>
        <v>121600.0</v>
      </c>
      <c r="R388" s="34" t="s">
        <v>50</v>
      </c>
      <c r="S388" s="35" t="n">
        <f>124181.82</f>
        <v>124181.82</v>
      </c>
      <c r="T388" s="32" t="n">
        <f>12095</f>
        <v>12095.0</v>
      </c>
      <c r="U388" s="32" t="n">
        <f>404</f>
        <v>404.0</v>
      </c>
      <c r="V388" s="32" t="n">
        <f>1496694815</f>
        <v>1.496694815E9</v>
      </c>
      <c r="W388" s="32" t="n">
        <f>49674015</f>
        <v>4.9674015E7</v>
      </c>
      <c r="X388" s="36" t="n">
        <f>22</f>
        <v>22.0</v>
      </c>
    </row>
    <row r="389">
      <c r="A389" s="27" t="s">
        <v>42</v>
      </c>
      <c r="B389" s="27" t="s">
        <v>1223</v>
      </c>
      <c r="C389" s="27" t="s">
        <v>1224</v>
      </c>
      <c r="D389" s="27" t="s">
        <v>1225</v>
      </c>
      <c r="E389" s="28" t="s">
        <v>46</v>
      </c>
      <c r="F389" s="29" t="s">
        <v>46</v>
      </c>
      <c r="G389" s="30" t="s">
        <v>46</v>
      </c>
      <c r="H389" s="31"/>
      <c r="I389" s="31" t="s">
        <v>591</v>
      </c>
      <c r="J389" s="32" t="n">
        <v>1.0</v>
      </c>
      <c r="K389" s="33" t="n">
        <f>94000</f>
        <v>94000.0</v>
      </c>
      <c r="L389" s="34" t="s">
        <v>48</v>
      </c>
      <c r="M389" s="33" t="n">
        <f>95200</f>
        <v>95200.0</v>
      </c>
      <c r="N389" s="34" t="s">
        <v>102</v>
      </c>
      <c r="O389" s="33" t="n">
        <f>91300</f>
        <v>91300.0</v>
      </c>
      <c r="P389" s="34" t="s">
        <v>49</v>
      </c>
      <c r="Q389" s="33" t="n">
        <f>91500</f>
        <v>91500.0</v>
      </c>
      <c r="R389" s="34" t="s">
        <v>50</v>
      </c>
      <c r="S389" s="35" t="n">
        <f>93913.64</f>
        <v>93913.64</v>
      </c>
      <c r="T389" s="32" t="n">
        <f>12397</f>
        <v>12397.0</v>
      </c>
      <c r="U389" s="32" t="n">
        <f>37</f>
        <v>37.0</v>
      </c>
      <c r="V389" s="32" t="n">
        <f>1159903400</f>
        <v>1.1599034E9</v>
      </c>
      <c r="W389" s="32" t="n">
        <f>3466900</f>
        <v>3466900.0</v>
      </c>
      <c r="X389" s="36" t="n">
        <f>22</f>
        <v>22.0</v>
      </c>
    </row>
    <row r="390">
      <c r="A390" s="27" t="s">
        <v>42</v>
      </c>
      <c r="B390" s="27" t="s">
        <v>1226</v>
      </c>
      <c r="C390" s="27" t="s">
        <v>1227</v>
      </c>
      <c r="D390" s="27" t="s">
        <v>1228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90900</f>
        <v>90900.0</v>
      </c>
      <c r="L390" s="34" t="s">
        <v>48</v>
      </c>
      <c r="M390" s="33" t="n">
        <f>91200</f>
        <v>91200.0</v>
      </c>
      <c r="N390" s="34" t="s">
        <v>186</v>
      </c>
      <c r="O390" s="33" t="n">
        <f>89800</f>
        <v>89800.0</v>
      </c>
      <c r="P390" s="34" t="s">
        <v>479</v>
      </c>
      <c r="Q390" s="33" t="n">
        <f>90100</f>
        <v>90100.0</v>
      </c>
      <c r="R390" s="34" t="s">
        <v>50</v>
      </c>
      <c r="S390" s="35" t="n">
        <f>90509.09</f>
        <v>90509.09</v>
      </c>
      <c r="T390" s="32" t="n">
        <f>22979</f>
        <v>22979.0</v>
      </c>
      <c r="U390" s="32" t="n">
        <f>17</f>
        <v>17.0</v>
      </c>
      <c r="V390" s="32" t="n">
        <f>2078402250</f>
        <v>2.07840225E9</v>
      </c>
      <c r="W390" s="32" t="n">
        <f>1534950</f>
        <v>1534950.0</v>
      </c>
      <c r="X390" s="36" t="n">
        <f>22</f>
        <v>22.0</v>
      </c>
    </row>
    <row r="391">
      <c r="A391" s="27" t="s">
        <v>42</v>
      </c>
      <c r="B391" s="27" t="s">
        <v>1229</v>
      </c>
      <c r="C391" s="27" t="s">
        <v>1230</v>
      </c>
      <c r="D391" s="27" t="s">
        <v>1231</v>
      </c>
      <c r="E391" s="28" t="s">
        <v>46</v>
      </c>
      <c r="F391" s="29" t="s">
        <v>46</v>
      </c>
      <c r="G391" s="30" t="s">
        <v>46</v>
      </c>
      <c r="H391" s="31"/>
      <c r="I391" s="31" t="s">
        <v>591</v>
      </c>
      <c r="J391" s="32" t="n">
        <v>1.0</v>
      </c>
      <c r="K391" s="33" t="n">
        <f>90200</f>
        <v>90200.0</v>
      </c>
      <c r="L391" s="34" t="s">
        <v>48</v>
      </c>
      <c r="M391" s="33" t="n">
        <f>90400</f>
        <v>90400.0</v>
      </c>
      <c r="N391" s="34" t="s">
        <v>186</v>
      </c>
      <c r="O391" s="33" t="n">
        <f>89900</f>
        <v>89900.0</v>
      </c>
      <c r="P391" s="34" t="s">
        <v>61</v>
      </c>
      <c r="Q391" s="33" t="n">
        <f>90400</f>
        <v>90400.0</v>
      </c>
      <c r="R391" s="34" t="s">
        <v>50</v>
      </c>
      <c r="S391" s="35" t="n">
        <f>90100</f>
        <v>90100.0</v>
      </c>
      <c r="T391" s="32" t="n">
        <f>23012</f>
        <v>23012.0</v>
      </c>
      <c r="U391" s="32" t="n">
        <f>818</f>
        <v>818.0</v>
      </c>
      <c r="V391" s="32" t="n">
        <f>2073484100</f>
        <v>2.0734841E9</v>
      </c>
      <c r="W391" s="32" t="n">
        <f>74093100</f>
        <v>7.40931E7</v>
      </c>
      <c r="X391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