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<sst xmlns="http://schemas.openxmlformats.org/spreadsheetml/2006/main" count="4800" uniqueCount="1263">
  <si>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</si>
  <si>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</si>
  <si>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</si>
  <si>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</si>
  <si>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</si>
  <si>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</si>
  <si>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</si>
  <si>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</si>
  <si>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</si>
  <si>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</si>
  <si>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</si>
  <si>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</si>
  <si>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</si>
  <si>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</si>
  <si>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</si>
  <si>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</si>
  <si>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</si>
  <si>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</si>
  <si>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</si>
  <si>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</si>
  <si>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</si>
  <si>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</si>
  <si>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</si>
  <si>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</si>
  <si>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</si>
  <si>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</si>
  <si>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</si>
  <si>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</si>
  <si>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</si>
  <si>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</si>
  <si>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</si>
  <si>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</si>
  <si>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</si>
  <si>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</si>
  <si>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</si>
  <si>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</si>
  <si>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</si>
  <si>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</si>
  <si>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</si>
  <si>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</si>
  <si>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</si>
  <si>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</si>
  <si>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2023/10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</si>
  <si>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</si>
  <si>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</si>
  <si>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</si>
  <si>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</si>
  <si>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</si>
  <si>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2</t>
  </si>
  <si>
    <t>24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</si>
  <si>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</si>
  <si>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</si>
  <si>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</si>
  <si>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</si>
  <si>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</si>
  <si>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</si>
  <si>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</si>
  <si>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</si>
  <si>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</si>
  <si>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</si>
  <si>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20</t>
  </si>
  <si>
    <t>1311</t>
  </si>
  <si>
    <t>ＮＥＸＴ　ＦＵＮＤＳ　ＴＯＰＩＸ　Ｃｏｒｅ　３０連動型上場投信　受益証券</t>
  </si>
  <si>
    <t>NEXT FUNDS TOPIX Core 30 Exchange Traded Fund</t>
  </si>
  <si>
    <t>12</t>
  </si>
  <si>
    <t>1319</t>
  </si>
  <si>
    <t>ＮＥＸＴ　ＦＵＮＤＳ　日経３００株価指数連動型上場投信　受益証券</t>
  </si>
  <si>
    <t>NEXT FUNDS Nikkei 300 Index Exchange Traded Fund</t>
  </si>
  <si>
    <t>27</t>
  </si>
  <si>
    <t>1320</t>
  </si>
  <si>
    <t>ｉＦｒｅｅＥＴＦ　日経２２５（年１回決算型）　受益証券</t>
  </si>
  <si>
    <t>iFreeETF Nikkei225 (Yearly Dividend Type)</t>
  </si>
  <si>
    <t>13</t>
  </si>
  <si>
    <t>4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</si>
  <si>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</si>
  <si>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</si>
  <si>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</si>
  <si>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</si>
  <si>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</si>
  <si>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</si>
  <si>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</si>
  <si>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</si>
  <si>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</si>
  <si>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</si>
  <si>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</si>
  <si>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</si>
  <si>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5</t>
  </si>
  <si>
    <t>1326</t>
  </si>
  <si>
    <t>ＳＰＤＲゴールド・シェア　受益証券</t>
  </si>
  <si>
    <t>SPDR Gold Shares</t>
  </si>
  <si>
    <t>30</t>
  </si>
  <si>
    <t>6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</si>
  <si>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</si>
  <si>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</si>
  <si>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</si>
  <si>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</si>
  <si>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</si>
  <si>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</si>
  <si>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</si>
  <si>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</si>
  <si>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</si>
  <si>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</si>
  <si>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</si>
  <si>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</si>
  <si>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</si>
  <si>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</si>
  <si>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</si>
  <si>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</si>
  <si>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</si>
  <si>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</si>
  <si>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</si>
  <si>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</si>
  <si>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</si>
  <si>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</si>
  <si>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</si>
  <si>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</si>
  <si>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19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</si>
  <si>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</si>
  <si>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</si>
  <si>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</si>
  <si>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</si>
  <si>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</si>
  <si>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</si>
  <si>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</si>
  <si>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</si>
  <si>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</si>
  <si>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</si>
  <si>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</si>
  <si>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</si>
  <si>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</si>
  <si>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</si>
  <si>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</si>
  <si>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</si>
  <si>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</si>
  <si>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</si>
  <si>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</si>
  <si>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</si>
  <si>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</si>
  <si>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</si>
  <si>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</si>
  <si>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</si>
  <si>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</si>
  <si>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</si>
  <si>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</si>
  <si>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</si>
  <si>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</si>
  <si>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</si>
  <si>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</si>
  <si>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</si>
  <si>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</si>
  <si>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</si>
  <si>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</si>
  <si>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</si>
  <si>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</si>
  <si>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</si>
  <si>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</si>
  <si>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</si>
  <si>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</si>
  <si>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</si>
  <si>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</si>
  <si>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</si>
  <si>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</si>
  <si>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</si>
  <si>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</si>
  <si>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</si>
  <si>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</si>
  <si>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</si>
  <si>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</si>
  <si>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</si>
  <si>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</si>
  <si>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</si>
  <si>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</si>
  <si>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</si>
  <si>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</si>
  <si>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3</t>
  </si>
  <si>
    <t>26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</si>
  <si>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</si>
  <si>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</si>
  <si>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</si>
  <si>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</si>
  <si>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</si>
  <si>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</si>
  <si>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</si>
  <si>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</si>
  <si>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</si>
  <si>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</si>
  <si>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</si>
  <si>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</si>
  <si>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</si>
  <si>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</si>
  <si>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</si>
  <si>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</si>
  <si>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</si>
  <si>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</si>
  <si>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</si>
  <si>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</si>
  <si>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</si>
  <si>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</si>
  <si>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</si>
  <si>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</si>
  <si>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</si>
  <si>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</si>
  <si>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</si>
  <si>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</si>
  <si>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</si>
  <si>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</si>
  <si>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17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</si>
  <si>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</si>
  <si>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</si>
  <si>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</si>
  <si>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</si>
  <si>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</si>
  <si>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</si>
  <si>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10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</si>
  <si>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</si>
  <si>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</si>
  <si>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</si>
  <si>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</si>
  <si>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</si>
  <si>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</si>
  <si>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</si>
  <si>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</si>
  <si>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</si>
  <si>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</si>
  <si>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</si>
  <si>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</si>
  <si>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</si>
  <si>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</si>
  <si>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</si>
  <si>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</si>
  <si>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</si>
  <si>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</si>
  <si>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</si>
  <si>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</si>
  <si>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</si>
  <si>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</si>
  <si>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</si>
  <si>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</si>
  <si>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</si>
  <si>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</si>
  <si>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</si>
  <si>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16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</si>
  <si>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</si>
  <si>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</si>
  <si>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</si>
  <si>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</si>
  <si>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</si>
  <si>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</si>
  <si>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</si>
  <si>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</si>
  <si>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</si>
  <si>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</si>
  <si>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</si>
  <si>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</si>
  <si>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</si>
  <si>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</si>
  <si>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</si>
  <si>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</si>
  <si>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</si>
  <si>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</si>
  <si>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</si>
  <si>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</si>
  <si>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</si>
  <si>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</si>
  <si>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</si>
  <si>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</si>
  <si>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11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</si>
  <si>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</si>
  <si>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</si>
  <si>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</si>
  <si>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</si>
  <si>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</si>
  <si>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</si>
  <si>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</si>
  <si>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</si>
  <si>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</si>
  <si>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23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</si>
  <si>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</si>
  <si>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</si>
  <si>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</si>
  <si>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</si>
  <si>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</si>
  <si>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</si>
  <si>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</si>
  <si>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</si>
  <si>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</si>
  <si>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18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</si>
  <si>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</si>
  <si>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</si>
  <si>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</si>
  <si>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</si>
  <si>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</si>
  <si>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</si>
  <si>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</si>
  <si>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</si>
  <si>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</si>
  <si>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</si>
  <si>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</si>
  <si>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</si>
  <si>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</si>
  <si>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</si>
  <si>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</si>
  <si>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</si>
  <si>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</si>
  <si>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</si>
  <si>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</si>
  <si>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</si>
  <si>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</si>
  <si>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</si>
  <si>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</si>
  <si>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</si>
  <si>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</si>
  <si>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</si>
  <si>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</si>
  <si>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</si>
  <si>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</si>
  <si>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</si>
  <si>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</si>
  <si>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</si>
  <si>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</si>
  <si>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</si>
  <si>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</si>
  <si>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</si>
  <si>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</si>
  <si>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</si>
  <si>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</si>
  <si>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</si>
  <si>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</si>
  <si>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</si>
  <si>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</si>
  <si>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</si>
  <si>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</si>
  <si>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</si>
  <si>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</si>
  <si>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</si>
  <si>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</si>
  <si>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</si>
  <si>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</si>
  <si>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</si>
  <si>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</si>
  <si>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</si>
  <si>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</si>
  <si>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</si>
  <si>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</si>
  <si>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</si>
  <si>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</si>
  <si>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</si>
  <si>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</si>
  <si>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</si>
  <si>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</si>
  <si>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</si>
  <si>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</si>
  <si>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</si>
  <si>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</si>
  <si>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</si>
  <si>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</si>
  <si>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</si>
  <si>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</si>
  <si>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</si>
  <si>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</si>
  <si>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</si>
  <si>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</si>
  <si>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</si>
  <si>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</si>
  <si>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</si>
  <si>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</si>
  <si>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</si>
  <si>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</si>
  <si>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</si>
  <si>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</si>
  <si>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</si>
  <si>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</si>
  <si>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</si>
  <si>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</si>
  <si>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</si>
  <si>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</si>
  <si>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</si>
  <si>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</si>
  <si>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</si>
  <si>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</si>
  <si>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</si>
  <si>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</si>
  <si>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</si>
  <si>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</si>
  <si>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</si>
  <si>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</si>
  <si>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</si>
  <si>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</si>
  <si>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</si>
  <si>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</si>
  <si>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</si>
  <si>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</si>
  <si>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</si>
  <si>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</si>
  <si>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</si>
  <si>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</si>
  <si>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</si>
  <si>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</si>
  <si>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</si>
  <si>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</si>
  <si>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</si>
  <si>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</si>
  <si>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</si>
  <si>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</si>
  <si>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</si>
  <si>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</si>
  <si>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</si>
  <si>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</si>
  <si>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</si>
  <si>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</si>
  <si>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</si>
  <si>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</si>
  <si>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</si>
  <si>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</si>
  <si>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</si>
  <si>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</si>
  <si>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</si>
  <si>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</si>
  <si>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</si>
  <si>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</si>
  <si>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</si>
  <si>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</si>
  <si>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</si>
  <si>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</si>
  <si>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</si>
  <si>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</si>
  <si>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</si>
  <si>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</si>
  <si>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</si>
  <si>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</si>
  <si>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</si>
  <si>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</si>
  <si>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</si>
  <si>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</si>
  <si>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</si>
  <si>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</si>
  <si>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</si>
  <si>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</si>
  <si>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</si>
  <si>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</si>
  <si>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</si>
  <si>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</si>
  <si>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</si>
  <si>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</si>
  <si>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</si>
  <si>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</si>
  <si>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</si>
  <si>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</si>
  <si>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</si>
  <si>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</si>
  <si>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</si>
  <si>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</si>
  <si>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</si>
  <si>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</si>
  <si>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</si>
  <si>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</si>
  <si>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</si>
  <si>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</si>
  <si>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</si>
  <si>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</si>
  <si>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</si>
  <si>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</si>
  <si>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</si>
  <si>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</si>
  <si>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</si>
  <si>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</si>
  <si>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</si>
  <si>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</si>
  <si>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</si>
  <si>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</si>
  <si>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</si>
  <si>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</si>
  <si>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</si>
  <si>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</si>
  <si>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</si>
  <si>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</si>
  <si>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</si>
  <si>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</si>
  <si>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</si>
  <si>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</si>
  <si>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</si>
  <si>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</si>
  <si>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</si>
  <si>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</si>
  <si>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</si>
  <si>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</si>
  <si>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</si>
  <si>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</si>
  <si>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</si>
  <si>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</si>
  <si>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</si>
  <si>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</si>
  <si>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</si>
  <si>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</si>
  <si>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</si>
  <si>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</si>
  <si>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</si>
  <si>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</si>
  <si>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</si>
  <si>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</si>
  <si>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</si>
  <si>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</si>
  <si>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</si>
  <si>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</si>
  <si>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</si>
  <si>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</si>
  <si>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</si>
  <si>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</si>
  <si>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</si>
  <si>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</si>
  <si>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</si>
  <si>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</si>
  <si>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</si>
  <si>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</si>
  <si>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</si>
  <si>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</si>
  <si>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</si>
  <si>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</si>
  <si>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</si>
  <si>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</si>
  <si>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</si>
  <si>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</si>
  <si>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</si>
  <si>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</si>
  <si>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</si>
  <si>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</si>
  <si>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</si>
  <si>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</si>
  <si>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</si>
  <si>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</si>
  <si>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</si>
  <si>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</si>
  <si>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</si>
  <si>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</si>
  <si>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</si>
  <si>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</si>
  <si>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</si>
  <si>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</si>
  <si>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</si>
  <si>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</si>
  <si>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</si>
  <si>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</si>
  <si>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</si>
  <si>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</si>
  <si>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</si>
  <si>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</si>
  <si>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</si>
  <si>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</si>
  <si>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</si>
  <si>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</si>
  <si>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</si>
  <si>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</si>
  <si>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</si>
  <si>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</si>
  <si>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</si>
  <si>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</si>
  <si>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</si>
  <si>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</si>
  <si>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</si>
  <si>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</si>
  <si>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</si>
  <si>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</si>
  <si>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</si>
  <si>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</si>
  <si>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</si>
  <si>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</si>
  <si>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</si>
  <si>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</si>
  <si>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</si>
  <si>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</si>
  <si>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</si>
  <si>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</si>
  <si>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</si>
  <si>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</si>
  <si>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</si>
  <si>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</si>
  <si>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</si>
  <si>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</si>
  <si>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</si>
  <si>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</si>
  <si>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</si>
  <si>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</si>
  <si>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</si>
  <si>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</si>
  <si>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</si>
  <si>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</si>
  <si>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</si>
  <si>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</si>
  <si>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</si>
  <si>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</si>
  <si>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</si>
  <si>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</si>
  <si>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</si>
  <si>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</si>
  <si>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</si>
  <si>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</si>
  <si>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</si>
  <si>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</si>
  <si>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</si>
  <si>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</si>
  <si>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</si>
  <si>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</si>
  <si>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</si>
  <si>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</si>
  <si>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</si>
  <si>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</si>
  <si>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</si>
  <si>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</si>
  <si>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</si>
  <si>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</si>
  <si>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</si>
  <si>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</si>
  <si>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</si>
  <si>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</si>
  <si>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</si>
  <si>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</si>
  <si>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</si>
  <si>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</si>
  <si>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</si>
  <si>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</si>
  <si>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</si>
  <si>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</si>
  <si>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</si>
  <si>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</si>
  <si>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</si>
  <si>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</si>
  <si>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</si>
  <si>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</si>
  <si>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</si>
  <si>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</si>
  <si>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</si>
  <si>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</si>
  <si>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</si>
  <si>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</si>
  <si>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</si>
  <si>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</si>
  <si>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</si>
  <si>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</si>
  <si>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</si>
  <si>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</si>
  <si>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</si>
  <si>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</si>
  <si>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</si>
  <si>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</si>
  <si>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</si>
  <si>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</si>
  <si>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</si>
  <si>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</si>
  <si>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</si>
  <si>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</si>
  <si>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</si>
  <si>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</si>
  <si>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</si>
  <si>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</si>
  <si>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</si>
  <si>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</si>
  <si>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</si>
  <si>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</si>
  <si>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</si>
  <si>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</si>
  <si>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</si>
  <si>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</si>
  <si>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</si>
  <si>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</si>
  <si>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</si>
  <si>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</si>
  <si>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</si>
  <si>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</si>
  <si>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</si>
  <si>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</si>
  <si>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 xml:space="preserve">新規上場  </t>
  </si>
  <si>
    <t xml:space="preserve">New Listing  </t>
  </si>
  <si>
    <t xml:space="preserve">2023/10/05  </t>
  </si>
  <si>
    <t>2094</t>
  </si>
  <si>
    <t>東証ＲＥＩＴインバースＥＴＦ　受益証券</t>
  </si>
  <si>
    <t>TSE REIT Inverse ETF</t>
  </si>
  <si>
    <t xml:space="preserve">2023/10/06  </t>
  </si>
  <si>
    <t>2095</t>
  </si>
  <si>
    <t>グローバルＸ　Ｓ＆Ｐ５００配当貴族　ＥＴＦ（為替ヘッジあり）　受益証券</t>
  </si>
  <si>
    <t>Global X S&amp;P 500 Dividend Aristocrats ETF (JPY Hedged)</t>
  </si>
  <si>
    <t xml:space="preserve">2023/10/26  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</si>
  <si>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</si>
  <si>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</si>
  <si>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</si>
  <si>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</si>
  <si>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</si>
  <si>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</si>
  <si>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</si>
  <si>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</si>
  <si>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</si>
  <si>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</si>
  <si>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</si>
  <si>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</si>
  <si>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</si>
  <si>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</si>
  <si>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</si>
  <si>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</si>
  <si>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</si>
  <si>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</si>
  <si>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</si>
  <si>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</si>
  <si>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</si>
  <si>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</si>
  <si>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</si>
  <si>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</si>
  <si>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</si>
  <si>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</si>
  <si>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</si>
  <si>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</si>
  <si>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</si>
  <si>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</si>
  <si>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</si>
  <si>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</si>
  <si>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</si>
  <si>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</si>
  <si>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</si>
  <si>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</si>
  <si>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</si>
  <si>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</si>
  <si>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</si>
  <si>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</si>
  <si>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</si>
  <si>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</si>
  <si>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</si>
  <si>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</si>
  <si>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</si>
  <si>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</si>
  <si>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</si>
  <si>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</si>
  <si>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</si>
  <si>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</si>
  <si>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</si>
  <si>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</si>
  <si>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</si>
  <si>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</si>
  <si>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</si>
  <si>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</si>
  <si>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</si>
  <si>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</si>
  <si>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</si>
  <si>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</si>
  <si>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25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</si>
  <si>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</si>
  <si>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</si>
  <si>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</si>
  <si>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</si>
  <si>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</si>
  <si>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</si>
  <si>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</si>
  <si>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</si>
  <si>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</si>
  <si>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</si>
  <si>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</si>
  <si>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</si>
  <si>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</si>
  <si>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</si>
  <si>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</si>
  <si>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</si>
  <si>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</si>
  <si>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</si>
  <si>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</si>
  <si>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</si>
  <si>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</si>
  <si>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</si>
  <si>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</si>
  <si>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</si>
  <si>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</si>
  <si>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</si>
  <si>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</si>
  <si>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</si>
  <si>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</si>
  <si>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</si>
  <si>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</si>
  <si>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</si>
  <si>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</si>
  <si>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</si>
  <si>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</si>
  <si>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</si>
  <si>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</si>
  <si>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</si>
  <si>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</si>
  <si>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</si>
  <si>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</si>
  <si>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</si>
  <si>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</si>
  <si>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</si>
  <si>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</si>
  <si>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</si>
  <si>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</si>
  <si>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</si>
  <si>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</si>
  <si>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</si>
  <si>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</si>
  <si>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</si>
  <si>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</si>
  <si>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</si>
  <si>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</si>
  <si>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</si>
  <si>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</si>
  <si>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</si>
  <si>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</si>
  <si>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</si>
  <si>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</si>
  <si>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</si>
  <si>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</si>
  <si>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</si>
  <si>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</si>
  <si>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</si>
  <si>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</si>
  <si>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</si>
  <si>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</si>
  <si>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</si>
  <si>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</si>
  <si>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</si>
  <si>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</si>
  <si>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</si>
  <si>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</si>
  <si>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</si>
  <si>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</si>
  <si>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</si>
  <si>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</si>
  <si>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</si>
  <si>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</si>
  <si>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</si>
  <si>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</si>
  <si>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</si>
  <si>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</si>
  <si>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</si>
  <si>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</si>
  <si>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</si>
  <si>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</si>
  <si>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</si>
  <si>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</si>
  <si>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</si>
  <si>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</si>
  <si>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</si>
  <si>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</si>
  <si>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</si>
  <si>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</si>
  <si>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</si>
  <si>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</si>
  <si>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</si>
  <si>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</si>
  <si>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</si>
  <si>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</si>
  <si>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</si>
  <si>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</si>
  <si>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</si>
  <si>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</si>
  <si>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</si>
  <si>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</si>
  <si>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</si>
  <si>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</si>
  <si>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</si>
  <si>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</si>
  <si>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</si>
  <si>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</si>
  <si>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</si>
  <si>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</si>
  <si>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</si>
  <si>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</si>
  <si>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</si>
  <si>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</si>
  <si>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</si>
  <si>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</si>
  <si>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</si>
  <si>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</si>
  <si>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</si>
  <si>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</si>
  <si>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</si>
  <si>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</si>
  <si>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</si>
  <si>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</si>
  <si>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</si>
  <si>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</si>
  <si>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</si>
  <si>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</si>
  <si>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</si>
  <si>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</si>
  <si>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</si>
  <si>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</si>
  <si>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</si>
  <si>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</si>
  <si>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</si>
  <si>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</si>
  <si>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</si>
  <si>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</si>
  <si>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</si>
  <si>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</si>
  <si>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</si>
  <si>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</si>
  <si>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</si>
  <si>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</si>
  <si>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</si>
  <si>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</si>
  <si>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</si>
  <si>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</si>
  <si>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</si>
  <si>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</si>
  <si>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</si>
  <si>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</si>
  <si>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</si>
  <si>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</si>
  <si>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</si>
  <si>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</si>
  <si>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</si>
  <si>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</si>
  <si>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</si>
  <si>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</si>
  <si>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</si>
  <si>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</si>
  <si>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</si>
  <si>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</si>
  <si>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</si>
  <si>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</si>
  <si>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</si>
  <si>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</si>
  <si>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</si>
  <si>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</si>
  <si>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</si>
  <si>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</si>
  <si>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</si>
  <si>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</si>
  <si>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</si>
  <si>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</si>
  <si>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</si>
  <si>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</si>
  <si>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</si>
  <si>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</si>
  <si>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</si>
  <si>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</si>
  <si>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</si>
  <si>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</si>
  <si>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</si>
  <si>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</si>
  <si>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</si>
  <si>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</si>
  <si>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</si>
  <si>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</si>
  <si>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</si>
  <si>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</si>
  <si>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</si>
  <si>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</si>
  <si>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</si>
  <si>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</si>
  <si>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</si>
  <si>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</si>
  <si>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</si>
  <si>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</si>
  <si>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</si>
  <si>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</si>
  <si>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</si>
  <si>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</si>
  <si>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</si>
  <si>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</si>
  <si>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</si>
  <si>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</si>
  <si>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</si>
  <si>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</si>
  <si>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</si>
  <si>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</si>
  <si>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</si>
  <si>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</si>
  <si>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</si>
  <si>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</si>
  <si>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</si>
  <si>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</si>
  <si>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</si>
  <si>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</si>
  <si>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</si>
  <si>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</si>
  <si>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</si>
  <si>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</si>
  <si>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</si>
  <si>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</si>
  <si>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</si>
  <si>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</si>
  <si>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</si>
  <si>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</si>
  <si>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</si>
  <si>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</si>
  <si>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</si>
  <si>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</si>
  <si>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</si>
  <si>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</si>
  <si>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</si>
  <si>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</si>
  <si>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</si>
  <si>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</si>
  <si>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</si>
  <si>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</si>
  <si>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</si>
  <si>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</si>
  <si>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</si>
  <si>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</si>
  <si>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</si>
  <si>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</si>
  <si>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</si>
  <si>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</si>
  <si>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</si>
  <si>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</si>
  <si>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</si>
  <si>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</si>
  <si>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</si>
  <si>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</si>
  <si>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</si>
  <si>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</si>
  <si>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</si>
  <si>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</si>
  <si>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</si>
  <si>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</si>
  <si>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</si>
  <si>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</si>
  <si>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</si>
  <si>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</si>
  <si>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</si>
  <si>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</si>
  <si>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</si>
  <si>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</si>
  <si>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</si>
  <si>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</si>
  <si>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</si>
  <si>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</si>
  <si>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</si>
  <si>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</si>
  <si>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</si>
  <si>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</si>
  <si>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</si>
  <si>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</si>
  <si>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</si>
  <si>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</si>
  <si>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</si>
  <si>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</si>
  <si>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</si>
  <si>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</si>
  <si>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</si>
  <si>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</si>
  <si>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</si>
  <si>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</si>
  <si>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</si>
  <si>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</si>
  <si>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</si>
  <si>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</si>
  <si>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</si>
  <si>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</si>
  <si>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</si>
  <si>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</si>
  <si>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</si>
  <si>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</si>
  <si>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</si>
  <si>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</si>
  <si>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</si>
  <si>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</si>
  <si>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</si>
  <si>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</si>
  <si>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</si>
  <si>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</si>
  <si>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</si>
  <si>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</si>
  <si>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</si>
  <si>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</si>
  <si>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</si>
  <si>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</si>
  <si>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</si>
  <si>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</si>
  <si>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</si>
  <si>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</si>
  <si>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</si>
  <si>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</si>
  <si>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</si>
  <si>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</si>
  <si>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</si>
  <si>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</si>
  <si>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</si>
  <si>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</si>
  <si>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</si>
  <si>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</si>
  <si>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</si>
  <si>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</si>
  <si>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</si>
  <si>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</si>
  <si>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</si>
  <si>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</si>
  <si>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</si>
  <si>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</si>
  <si>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</si>
  <si>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</si>
  <si>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</si>
  <si>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</si>
  <si>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</si>
  <si>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 xml:space="preserve">上場廃止  </t>
  </si>
  <si>
    <t xml:space="preserve">Removal  </t>
  </si>
  <si>
    <t xml:space="preserve">2023/10/30  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</si>
  <si>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</si>
  <si>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</si>
  <si>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</si>
  <si>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</si>
  <si>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</si>
  <si>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</si>
  <si>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</si>
  <si>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</si>
  <si>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</si>
  <si>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</si>
  <si>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</si>
  <si>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</si>
  <si>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</si>
  <si>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</si>
  <si>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</si>
  <si>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</si>
  <si>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</si>
  <si>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</si>
  <si>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</si>
  <si>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</si>
  <si>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</si>
  <si>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</si>
  <si>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</si>
  <si>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</si>
  <si>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</si>
  <si>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</si>
  <si>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</si>
  <si>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</si>
  <si>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</si>
  <si>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</si>
  <si>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</si>
  <si>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</si>
  <si>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</si>
  <si>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</si>
  <si>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</si>
  <si>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</si>
  <si>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</si>
  <si>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</si>
  <si>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</si>
  <si>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</si>
  <si>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</si>
  <si>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</si>
  <si>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</si>
  <si>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</si>
  <si>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</si>
  <si>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</si>
  <si>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</si>
  <si>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</si>
  <si>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</si>
  <si>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</si>
  <si>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</si>
  <si>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</si>
  <si>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</si>
  <si>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</si>
  <si>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</si>
  <si>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</si>
  <si>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</si>
  <si>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</si>
  <si>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</si>
  <si>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</si>
  <si>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</si>
  <si>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</si>
  <si>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</si>
  <si>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</si>
  <si>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</si>
  <si>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</si>
  <si>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</si>
  <si>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</si>
  <si>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</si>
  <si>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</si>
  <si>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</si>
  <si>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</si>
  <si>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</si>
  <si>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</si>
  <si>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</si>
  <si>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</si>
  <si>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</si>
  <si>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</si>
  <si>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</si>
  <si>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</si>
  <si>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</si>
  <si>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</si>
  <si>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</si>
  <si>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</si>
  <si>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</si>
  <si>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</si>
  <si>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</si>
  <si>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</si>
  <si>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</si>
  <si>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</si>
  <si>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</si>
  <si>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</si>
  <si>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</si>
  <si>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</si>
  <si>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</si>
  <si>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</si>
  <si>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</si>
  <si>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</si>
  <si>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</si>
  <si>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</si>
  <si>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</si>
  <si>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</si>
  <si>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</si>
  <si>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</si>
  <si>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</si>
  <si>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</si>
  <si>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</si>
  <si>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</si>
  <si>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</si>
  <si>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</si>
  <si>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</si>
  <si>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</si>
  <si>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</si>
  <si>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</si>
  <si>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</si>
  <si>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</si>
  <si>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</si>
  <si>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</si>
  <si>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</si>
  <si>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</si>
  <si>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</si>
  <si>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</si>
  <si>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</si>
  <si>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</si>
  <si>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</si>
  <si>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</si>
  <si>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</si>
  <si>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</si>
  <si>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</si>
  <si>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 xml:space="preserve">新株落ち  </t>
  </si>
  <si>
    <t xml:space="preserve">ex-subscription right  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</si>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</sst>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0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2467</f>
        <v>2467.0</v>
      </c>
      <c r="L7" s="34" t="s">
        <v>48</v>
      </c>
      <c r="M7" s="33" t="n">
        <f>2488</f>
        <v>2488.0</v>
      </c>
      <c r="N7" s="34" t="s">
        <v>48</v>
      </c>
      <c r="O7" s="33" t="n">
        <f>2320</f>
        <v>2320.0</v>
      </c>
      <c r="P7" s="34" t="s">
        <v>49</v>
      </c>
      <c r="Q7" s="33" t="n">
        <f>2381</f>
        <v>2381.0</v>
      </c>
      <c r="R7" s="34" t="s">
        <v>50</v>
      </c>
      <c r="S7" s="35" t="n">
        <f>2397.74</f>
        <v>2397.74</v>
      </c>
      <c r="T7" s="32" t="n">
        <f>11439220</f>
        <v>1.143922E7</v>
      </c>
      <c r="U7" s="32" t="n">
        <f>7806900</f>
        <v>7806900.0</v>
      </c>
      <c r="V7" s="32" t="n">
        <f>27031058671</f>
        <v>2.7031058671E10</v>
      </c>
      <c r="W7" s="32" t="n">
        <f>18310082811</f>
        <v>1.8310082811E10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2438.5</f>
        <v>2438.5</v>
      </c>
      <c r="L8" s="34" t="s">
        <v>48</v>
      </c>
      <c r="M8" s="33" t="n">
        <f>2462</f>
        <v>2462.0</v>
      </c>
      <c r="N8" s="34" t="s">
        <v>48</v>
      </c>
      <c r="O8" s="33" t="n">
        <f>2294.5</f>
        <v>2294.5</v>
      </c>
      <c r="P8" s="34" t="s">
        <v>49</v>
      </c>
      <c r="Q8" s="33" t="n">
        <f>2356.5</f>
        <v>2356.5</v>
      </c>
      <c r="R8" s="34" t="s">
        <v>50</v>
      </c>
      <c r="S8" s="35" t="n">
        <f>2372</f>
        <v>2372.0</v>
      </c>
      <c r="T8" s="32" t="n">
        <f>61886050</f>
        <v>6.188605E7</v>
      </c>
      <c r="U8" s="32" t="n">
        <f>15442340</f>
        <v>1.544234E7</v>
      </c>
      <c r="V8" s="32" t="n">
        <f>146004724942</f>
        <v>1.46004724942E11</v>
      </c>
      <c r="W8" s="32" t="n">
        <f>35987924682</f>
        <v>3.5987924682E10</v>
      </c>
      <c r="X8" s="36" t="n">
        <f>21</f>
        <v>21.0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2412</f>
        <v>2412.0</v>
      </c>
      <c r="L9" s="34" t="s">
        <v>48</v>
      </c>
      <c r="M9" s="33" t="n">
        <f>2432</f>
        <v>2432.0</v>
      </c>
      <c r="N9" s="34" t="s">
        <v>48</v>
      </c>
      <c r="O9" s="33" t="n">
        <f>2268</f>
        <v>2268.0</v>
      </c>
      <c r="P9" s="34" t="s">
        <v>49</v>
      </c>
      <c r="Q9" s="33" t="n">
        <f>2327</f>
        <v>2327.0</v>
      </c>
      <c r="R9" s="34" t="s">
        <v>50</v>
      </c>
      <c r="S9" s="35" t="n">
        <f>2344.24</f>
        <v>2344.24</v>
      </c>
      <c r="T9" s="32" t="n">
        <f>21871530</f>
        <v>2.187153E7</v>
      </c>
      <c r="U9" s="32" t="n">
        <f>12575853</f>
        <v>1.2575853E7</v>
      </c>
      <c r="V9" s="32" t="n">
        <f>50660781886</f>
        <v>5.0660781886E10</v>
      </c>
      <c r="W9" s="32" t="n">
        <f>28971626357</f>
        <v>2.8971626357E10</v>
      </c>
      <c r="X9" s="36" t="n">
        <f>21</f>
        <v>21.0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40360</f>
        <v>40360.0</v>
      </c>
      <c r="L10" s="34" t="s">
        <v>48</v>
      </c>
      <c r="M10" s="33" t="n">
        <f>40480</f>
        <v>40480.0</v>
      </c>
      <c r="N10" s="34" t="s">
        <v>48</v>
      </c>
      <c r="O10" s="33" t="n">
        <f>38200</f>
        <v>38200.0</v>
      </c>
      <c r="P10" s="34" t="s">
        <v>60</v>
      </c>
      <c r="Q10" s="33" t="n">
        <f>38400</f>
        <v>38400.0</v>
      </c>
      <c r="R10" s="34" t="s">
        <v>50</v>
      </c>
      <c r="S10" s="35" t="n">
        <f>39056.19</f>
        <v>39056.19</v>
      </c>
      <c r="T10" s="32" t="n">
        <f>1654</f>
        <v>1654.0</v>
      </c>
      <c r="U10" s="32" t="str">
        <f>"－"</f>
        <v>－</v>
      </c>
      <c r="V10" s="32" t="n">
        <f>64582970</f>
        <v>6.458297E7</v>
      </c>
      <c r="W10" s="32" t="str">
        <f>"－"</f>
        <v>－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1171</f>
        <v>1171.0</v>
      </c>
      <c r="L11" s="34" t="s">
        <v>48</v>
      </c>
      <c r="M11" s="33" t="n">
        <f>1185</f>
        <v>1185.0</v>
      </c>
      <c r="N11" s="34" t="s">
        <v>64</v>
      </c>
      <c r="O11" s="33" t="n">
        <f>1109</f>
        <v>1109.0</v>
      </c>
      <c r="P11" s="34" t="s">
        <v>49</v>
      </c>
      <c r="Q11" s="33" t="n">
        <f>1134.5</f>
        <v>1134.5</v>
      </c>
      <c r="R11" s="34" t="s">
        <v>50</v>
      </c>
      <c r="S11" s="35" t="n">
        <f>1144.31</f>
        <v>1144.31</v>
      </c>
      <c r="T11" s="32" t="n">
        <f>129340</f>
        <v>129340.0</v>
      </c>
      <c r="U11" s="32" t="str">
        <f>"－"</f>
        <v>－</v>
      </c>
      <c r="V11" s="32" t="n">
        <f>148031630</f>
        <v>1.4803163E8</v>
      </c>
      <c r="W11" s="32" t="str">
        <f>"－"</f>
        <v>－</v>
      </c>
      <c r="X11" s="36" t="n">
        <f>21</f>
        <v>21.0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407.3</f>
        <v>407.3</v>
      </c>
      <c r="L12" s="34" t="s">
        <v>48</v>
      </c>
      <c r="M12" s="33" t="n">
        <f>408.9</f>
        <v>408.9</v>
      </c>
      <c r="N12" s="34" t="s">
        <v>64</v>
      </c>
      <c r="O12" s="33" t="n">
        <f>377.6</f>
        <v>377.6</v>
      </c>
      <c r="P12" s="34" t="s">
        <v>68</v>
      </c>
      <c r="Q12" s="33" t="n">
        <f>378</f>
        <v>378.0</v>
      </c>
      <c r="R12" s="34" t="s">
        <v>50</v>
      </c>
      <c r="S12" s="35" t="n">
        <f>395.84</f>
        <v>395.84</v>
      </c>
      <c r="T12" s="32" t="n">
        <f>54000</f>
        <v>54000.0</v>
      </c>
      <c r="U12" s="32" t="n">
        <f>1000</f>
        <v>1000.0</v>
      </c>
      <c r="V12" s="32" t="n">
        <f>21099700</f>
        <v>2.10997E7</v>
      </c>
      <c r="W12" s="32" t="n">
        <f>395100</f>
        <v>395100.0</v>
      </c>
      <c r="X12" s="36" t="n">
        <f>16</f>
        <v>16.0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33110</f>
        <v>33110.0</v>
      </c>
      <c r="L13" s="34" t="s">
        <v>48</v>
      </c>
      <c r="M13" s="33" t="n">
        <f>33550</f>
        <v>33550.0</v>
      </c>
      <c r="N13" s="34" t="s">
        <v>72</v>
      </c>
      <c r="O13" s="33" t="n">
        <f>31470</f>
        <v>31470.0</v>
      </c>
      <c r="P13" s="34" t="s">
        <v>73</v>
      </c>
      <c r="Q13" s="33" t="n">
        <f>31890</f>
        <v>31890.0</v>
      </c>
      <c r="R13" s="34" t="s">
        <v>50</v>
      </c>
      <c r="S13" s="35" t="n">
        <f>32381.43</f>
        <v>32381.43</v>
      </c>
      <c r="T13" s="32" t="n">
        <f>1973028</f>
        <v>1973028.0</v>
      </c>
      <c r="U13" s="32" t="n">
        <f>603777</f>
        <v>603777.0</v>
      </c>
      <c r="V13" s="32" t="n">
        <f>63286457226</f>
        <v>6.3286457226E10</v>
      </c>
      <c r="W13" s="32" t="n">
        <f>19072629316</f>
        <v>1.9072629316E10</v>
      </c>
      <c r="X13" s="36" t="n">
        <f>21</f>
        <v>21.0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33260</f>
        <v>33260.0</v>
      </c>
      <c r="L14" s="34" t="s">
        <v>48</v>
      </c>
      <c r="M14" s="33" t="n">
        <f>33680</f>
        <v>33680.0</v>
      </c>
      <c r="N14" s="34" t="s">
        <v>72</v>
      </c>
      <c r="O14" s="33" t="n">
        <f>31570</f>
        <v>31570.0</v>
      </c>
      <c r="P14" s="34" t="s">
        <v>73</v>
      </c>
      <c r="Q14" s="33" t="n">
        <f>31970</f>
        <v>31970.0</v>
      </c>
      <c r="R14" s="34" t="s">
        <v>50</v>
      </c>
      <c r="S14" s="35" t="n">
        <f>32506.19</f>
        <v>32506.19</v>
      </c>
      <c r="T14" s="32" t="n">
        <f>8111162</f>
        <v>8111162.0</v>
      </c>
      <c r="U14" s="32" t="n">
        <f>820136</f>
        <v>820136.0</v>
      </c>
      <c r="V14" s="32" t="n">
        <f>262439162399</f>
        <v>2.62439162399E11</v>
      </c>
      <c r="W14" s="32" t="n">
        <f>26009917819</f>
        <v>2.6009917819E10</v>
      </c>
      <c r="X14" s="36" t="n">
        <f>21</f>
        <v>21.0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7722</f>
        <v>7722.0</v>
      </c>
      <c r="L15" s="34" t="s">
        <v>48</v>
      </c>
      <c r="M15" s="33" t="n">
        <f>7770</f>
        <v>7770.0</v>
      </c>
      <c r="N15" s="34" t="s">
        <v>48</v>
      </c>
      <c r="O15" s="33" t="n">
        <f>7200</f>
        <v>7200.0</v>
      </c>
      <c r="P15" s="34" t="s">
        <v>49</v>
      </c>
      <c r="Q15" s="33" t="n">
        <f>7450</f>
        <v>7450.0</v>
      </c>
      <c r="R15" s="34" t="s">
        <v>50</v>
      </c>
      <c r="S15" s="35" t="n">
        <f>7478</f>
        <v>7478.0</v>
      </c>
      <c r="T15" s="32" t="n">
        <f>4300</f>
        <v>4300.0</v>
      </c>
      <c r="U15" s="32" t="str">
        <f>"－"</f>
        <v>－</v>
      </c>
      <c r="V15" s="32" t="n">
        <f>32187580</f>
        <v>3.218758E7</v>
      </c>
      <c r="W15" s="32" t="str">
        <f>"－"</f>
        <v>－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224.9</f>
        <v>224.9</v>
      </c>
      <c r="L17" s="34" t="s">
        <v>48</v>
      </c>
      <c r="M17" s="33" t="n">
        <f>224.9</f>
        <v>224.9</v>
      </c>
      <c r="N17" s="34" t="s">
        <v>48</v>
      </c>
      <c r="O17" s="33" t="n">
        <f>209.9</f>
        <v>209.9</v>
      </c>
      <c r="P17" s="34" t="s">
        <v>86</v>
      </c>
      <c r="Q17" s="33" t="n">
        <f>215</f>
        <v>215.0</v>
      </c>
      <c r="R17" s="34" t="s">
        <v>50</v>
      </c>
      <c r="S17" s="35" t="n">
        <f>218.18</f>
        <v>218.18</v>
      </c>
      <c r="T17" s="32" t="n">
        <f>579300</f>
        <v>579300.0</v>
      </c>
      <c r="U17" s="32" t="str">
        <f>"－"</f>
        <v>－</v>
      </c>
      <c r="V17" s="32" t="n">
        <f>126145340</f>
        <v>1.2614534E8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25665</f>
        <v>25665.0</v>
      </c>
      <c r="L18" s="34" t="s">
        <v>48</v>
      </c>
      <c r="M18" s="33" t="n">
        <f>27855</f>
        <v>27855.0</v>
      </c>
      <c r="N18" s="34" t="s">
        <v>90</v>
      </c>
      <c r="O18" s="33" t="n">
        <f>25090</f>
        <v>25090.0</v>
      </c>
      <c r="P18" s="34" t="s">
        <v>91</v>
      </c>
      <c r="Q18" s="33" t="n">
        <f>27775</f>
        <v>27775.0</v>
      </c>
      <c r="R18" s="34" t="s">
        <v>50</v>
      </c>
      <c r="S18" s="35" t="n">
        <f>26557.14</f>
        <v>26557.14</v>
      </c>
      <c r="T18" s="32" t="n">
        <f>143497</f>
        <v>143497.0</v>
      </c>
      <c r="U18" s="32" t="n">
        <f>4</f>
        <v>4.0</v>
      </c>
      <c r="V18" s="32" t="n">
        <f>3829104355</f>
        <v>3.829104355E9</v>
      </c>
      <c r="W18" s="32" t="n">
        <f>99400</f>
        <v>99400.0</v>
      </c>
      <c r="X18" s="36" t="n">
        <f>21</f>
        <v>21.0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6832</f>
        <v>6832.0</v>
      </c>
      <c r="L19" s="34" t="s">
        <v>48</v>
      </c>
      <c r="M19" s="33" t="n">
        <f>7422</f>
        <v>7422.0</v>
      </c>
      <c r="N19" s="34" t="s">
        <v>90</v>
      </c>
      <c r="O19" s="33" t="n">
        <f>6684</f>
        <v>6684.0</v>
      </c>
      <c r="P19" s="34" t="s">
        <v>91</v>
      </c>
      <c r="Q19" s="33" t="n">
        <f>7390</f>
        <v>7390.0</v>
      </c>
      <c r="R19" s="34" t="s">
        <v>50</v>
      </c>
      <c r="S19" s="35" t="n">
        <f>7071.24</f>
        <v>7071.24</v>
      </c>
      <c r="T19" s="32" t="n">
        <f>289810</f>
        <v>289810.0</v>
      </c>
      <c r="U19" s="32" t="n">
        <f>340</f>
        <v>340.0</v>
      </c>
      <c r="V19" s="32" t="n">
        <f>2058045670</f>
        <v>2.05804567E9</v>
      </c>
      <c r="W19" s="32" t="n">
        <f>2478490</f>
        <v>2478490.0</v>
      </c>
      <c r="X19" s="36" t="n">
        <f>21</f>
        <v>21.0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33420</f>
        <v>33420.0</v>
      </c>
      <c r="L20" s="34" t="s">
        <v>48</v>
      </c>
      <c r="M20" s="33" t="n">
        <f>33840</f>
        <v>33840.0</v>
      </c>
      <c r="N20" s="34" t="s">
        <v>72</v>
      </c>
      <c r="O20" s="33" t="n">
        <f>31740</f>
        <v>31740.0</v>
      </c>
      <c r="P20" s="34" t="s">
        <v>73</v>
      </c>
      <c r="Q20" s="33" t="n">
        <f>32150</f>
        <v>32150.0</v>
      </c>
      <c r="R20" s="34" t="s">
        <v>50</v>
      </c>
      <c r="S20" s="35" t="n">
        <f>32663.33</f>
        <v>32663.33</v>
      </c>
      <c r="T20" s="32" t="n">
        <f>1888494</f>
        <v>1888494.0</v>
      </c>
      <c r="U20" s="32" t="n">
        <f>859630</f>
        <v>859630.0</v>
      </c>
      <c r="V20" s="32" t="n">
        <f>61019911642</f>
        <v>6.1019911642E10</v>
      </c>
      <c r="W20" s="32" t="n">
        <f>27495453962</f>
        <v>2.7495453962E10</v>
      </c>
      <c r="X20" s="36" t="n">
        <f>21</f>
        <v>21.0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33280</f>
        <v>33280.0</v>
      </c>
      <c r="L21" s="34" t="s">
        <v>48</v>
      </c>
      <c r="M21" s="33" t="n">
        <f>33710</f>
        <v>33710.0</v>
      </c>
      <c r="N21" s="34" t="s">
        <v>72</v>
      </c>
      <c r="O21" s="33" t="n">
        <f>31610</f>
        <v>31610.0</v>
      </c>
      <c r="P21" s="34" t="s">
        <v>73</v>
      </c>
      <c r="Q21" s="33" t="n">
        <f>32040</f>
        <v>32040.0</v>
      </c>
      <c r="R21" s="34" t="s">
        <v>50</v>
      </c>
      <c r="S21" s="35" t="n">
        <f>32540.48</f>
        <v>32540.48</v>
      </c>
      <c r="T21" s="32" t="n">
        <f>1442354</f>
        <v>1442354.0</v>
      </c>
      <c r="U21" s="32" t="n">
        <f>752872</f>
        <v>752872.0</v>
      </c>
      <c r="V21" s="32" t="n">
        <f>46283346913</f>
        <v>4.6283346913E10</v>
      </c>
      <c r="W21" s="32" t="n">
        <f>23985647163</f>
        <v>2.3985647163E10</v>
      </c>
      <c r="X21" s="36" t="n">
        <f>21</f>
        <v>21.0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2009</f>
        <v>2009.0</v>
      </c>
      <c r="L22" s="34" t="s">
        <v>48</v>
      </c>
      <c r="M22" s="33" t="n">
        <f>2015</f>
        <v>2015.0</v>
      </c>
      <c r="N22" s="34" t="s">
        <v>48</v>
      </c>
      <c r="O22" s="33" t="n">
        <f>1942.5</f>
        <v>1942.5</v>
      </c>
      <c r="P22" s="34" t="s">
        <v>73</v>
      </c>
      <c r="Q22" s="33" t="n">
        <f>1964.5</f>
        <v>1964.5</v>
      </c>
      <c r="R22" s="34" t="s">
        <v>50</v>
      </c>
      <c r="S22" s="35" t="n">
        <f>1978.05</f>
        <v>1978.05</v>
      </c>
      <c r="T22" s="32" t="n">
        <f>9424910</f>
        <v>9424910.0</v>
      </c>
      <c r="U22" s="32" t="n">
        <f>3116180</f>
        <v>3116180.0</v>
      </c>
      <c r="V22" s="32" t="n">
        <f>18648174607</f>
        <v>1.8648174607E10</v>
      </c>
      <c r="W22" s="32" t="n">
        <f>6183604377</f>
        <v>6.183604377E9</v>
      </c>
      <c r="X22" s="36" t="n">
        <f>21</f>
        <v>21.0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1882.5</f>
        <v>1882.5</v>
      </c>
      <c r="L23" s="34" t="s">
        <v>48</v>
      </c>
      <c r="M23" s="33" t="n">
        <f>1888</f>
        <v>1888.0</v>
      </c>
      <c r="N23" s="34" t="s">
        <v>48</v>
      </c>
      <c r="O23" s="33" t="n">
        <f>1821</f>
        <v>1821.0</v>
      </c>
      <c r="P23" s="34" t="s">
        <v>73</v>
      </c>
      <c r="Q23" s="33" t="n">
        <f>1842.5</f>
        <v>1842.5</v>
      </c>
      <c r="R23" s="34" t="s">
        <v>50</v>
      </c>
      <c r="S23" s="35" t="n">
        <f>1853.45</f>
        <v>1853.45</v>
      </c>
      <c r="T23" s="32" t="n">
        <f>3346400</f>
        <v>3346400.0</v>
      </c>
      <c r="U23" s="32" t="n">
        <f>1917600</f>
        <v>1917600.0</v>
      </c>
      <c r="V23" s="32" t="n">
        <f>6198806489</f>
        <v>6.198806489E9</v>
      </c>
      <c r="W23" s="32" t="n">
        <f>3559660189</f>
        <v>3.559660189E9</v>
      </c>
      <c r="X23" s="36" t="n">
        <f>21</f>
        <v>21.0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33330</f>
        <v>33330.0</v>
      </c>
      <c r="L24" s="34" t="s">
        <v>48</v>
      </c>
      <c r="M24" s="33" t="n">
        <f>33770</f>
        <v>33770.0</v>
      </c>
      <c r="N24" s="34" t="s">
        <v>72</v>
      </c>
      <c r="O24" s="33" t="n">
        <f>31680</f>
        <v>31680.0</v>
      </c>
      <c r="P24" s="34" t="s">
        <v>73</v>
      </c>
      <c r="Q24" s="33" t="n">
        <f>32100</f>
        <v>32100.0</v>
      </c>
      <c r="R24" s="34" t="s">
        <v>50</v>
      </c>
      <c r="S24" s="35" t="n">
        <f>32598.57</f>
        <v>32598.57</v>
      </c>
      <c r="T24" s="32" t="n">
        <f>1650404</f>
        <v>1650404.0</v>
      </c>
      <c r="U24" s="32" t="n">
        <f>1061955</f>
        <v>1061955.0</v>
      </c>
      <c r="V24" s="32" t="n">
        <f>53456163051</f>
        <v>5.3456163051E10</v>
      </c>
      <c r="W24" s="32" t="n">
        <f>34236123691</f>
        <v>3.4236123691E10</v>
      </c>
      <c r="X24" s="36" t="n">
        <f>21</f>
        <v>21.0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2436.5</f>
        <v>2436.5</v>
      </c>
      <c r="L25" s="34" t="s">
        <v>48</v>
      </c>
      <c r="M25" s="33" t="n">
        <f>2458</f>
        <v>2458.0</v>
      </c>
      <c r="N25" s="34" t="s">
        <v>48</v>
      </c>
      <c r="O25" s="33" t="n">
        <f>2292.5</f>
        <v>2292.5</v>
      </c>
      <c r="P25" s="34" t="s">
        <v>49</v>
      </c>
      <c r="Q25" s="33" t="n">
        <f>2353.5</f>
        <v>2353.5</v>
      </c>
      <c r="R25" s="34" t="s">
        <v>50</v>
      </c>
      <c r="S25" s="35" t="n">
        <f>2370.05</f>
        <v>2370.05</v>
      </c>
      <c r="T25" s="32" t="n">
        <f>4844790</f>
        <v>4844790.0</v>
      </c>
      <c r="U25" s="32" t="n">
        <f>2178210</f>
        <v>2178210.0</v>
      </c>
      <c r="V25" s="32" t="n">
        <f>11492539495</f>
        <v>1.1492539495E10</v>
      </c>
      <c r="W25" s="32" t="n">
        <f>5177573985</f>
        <v>5.177573985E9</v>
      </c>
      <c r="X25" s="36" t="n">
        <f>21</f>
        <v>21.0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15380</f>
        <v>15380.0</v>
      </c>
      <c r="L26" s="34" t="s">
        <v>48</v>
      </c>
      <c r="M26" s="33" t="n">
        <f>15400</f>
        <v>15400.0</v>
      </c>
      <c r="N26" s="34" t="s">
        <v>48</v>
      </c>
      <c r="O26" s="33" t="n">
        <f>15190</f>
        <v>15190.0</v>
      </c>
      <c r="P26" s="34" t="s">
        <v>116</v>
      </c>
      <c r="Q26" s="33" t="n">
        <f>15380</f>
        <v>15380.0</v>
      </c>
      <c r="R26" s="34" t="s">
        <v>90</v>
      </c>
      <c r="S26" s="35" t="n">
        <f>15351.39</f>
        <v>15351.39</v>
      </c>
      <c r="T26" s="32" t="n">
        <f>615</f>
        <v>615.0</v>
      </c>
      <c r="U26" s="32" t="str">
        <f>"－"</f>
        <v>－</v>
      </c>
      <c r="V26" s="32" t="n">
        <f>9432700</f>
        <v>9432700.0</v>
      </c>
      <c r="W26" s="32" t="str">
        <f>"－"</f>
        <v>－</v>
      </c>
      <c r="X26" s="36" t="n">
        <f>18</f>
        <v>18.0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571.3</f>
        <v>571.3</v>
      </c>
      <c r="L27" s="34" t="s">
        <v>48</v>
      </c>
      <c r="M27" s="33" t="n">
        <f>639.5</f>
        <v>639.5</v>
      </c>
      <c r="N27" s="34" t="s">
        <v>49</v>
      </c>
      <c r="O27" s="33" t="n">
        <f>561</f>
        <v>561.0</v>
      </c>
      <c r="P27" s="34" t="s">
        <v>48</v>
      </c>
      <c r="Q27" s="33" t="n">
        <f>605.8</f>
        <v>605.8</v>
      </c>
      <c r="R27" s="34" t="s">
        <v>50</v>
      </c>
      <c r="S27" s="35" t="n">
        <f>600.33</f>
        <v>600.33</v>
      </c>
      <c r="T27" s="32" t="n">
        <f>24340410</f>
        <v>2.434041E7</v>
      </c>
      <c r="U27" s="32" t="n">
        <f>820</f>
        <v>820.0</v>
      </c>
      <c r="V27" s="32" t="n">
        <f>14658117598</f>
        <v>1.4658117598E10</v>
      </c>
      <c r="W27" s="32" t="n">
        <f>479192</f>
        <v>479192.0</v>
      </c>
      <c r="X27" s="36" t="n">
        <f>21</f>
        <v>21.0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234</f>
        <v>234.0</v>
      </c>
      <c r="L28" s="34" t="s">
        <v>48</v>
      </c>
      <c r="M28" s="33" t="n">
        <f>260</f>
        <v>260.0</v>
      </c>
      <c r="N28" s="34" t="s">
        <v>73</v>
      </c>
      <c r="O28" s="33" t="n">
        <f>226</f>
        <v>226.0</v>
      </c>
      <c r="P28" s="34" t="s">
        <v>72</v>
      </c>
      <c r="Q28" s="33" t="n">
        <f>249</f>
        <v>249.0</v>
      </c>
      <c r="R28" s="34" t="s">
        <v>50</v>
      </c>
      <c r="S28" s="35" t="n">
        <f>243.38</f>
        <v>243.38</v>
      </c>
      <c r="T28" s="32" t="n">
        <f>1389868920</f>
        <v>1.38986892E9</v>
      </c>
      <c r="U28" s="32" t="n">
        <f>3480306</f>
        <v>3480306.0</v>
      </c>
      <c r="V28" s="32" t="n">
        <f>339779063426</f>
        <v>3.39779063426E11</v>
      </c>
      <c r="W28" s="32" t="n">
        <f>808565823</f>
        <v>8.08565823E8</v>
      </c>
      <c r="X28" s="36" t="n">
        <f>21</f>
        <v>21.0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36300</f>
        <v>36300.0</v>
      </c>
      <c r="L29" s="34" t="s">
        <v>48</v>
      </c>
      <c r="M29" s="33" t="n">
        <f>37160</f>
        <v>37160.0</v>
      </c>
      <c r="N29" s="34" t="s">
        <v>72</v>
      </c>
      <c r="O29" s="33" t="n">
        <f>32700</f>
        <v>32700.0</v>
      </c>
      <c r="P29" s="34" t="s">
        <v>90</v>
      </c>
      <c r="Q29" s="33" t="n">
        <f>33410</f>
        <v>33410.0</v>
      </c>
      <c r="R29" s="34" t="s">
        <v>50</v>
      </c>
      <c r="S29" s="35" t="n">
        <f>34610.95</f>
        <v>34610.95</v>
      </c>
      <c r="T29" s="32" t="n">
        <f>458648</f>
        <v>458648.0</v>
      </c>
      <c r="U29" s="32" t="str">
        <f>"－"</f>
        <v>－</v>
      </c>
      <c r="V29" s="32" t="n">
        <f>15858534280</f>
        <v>1.585853428E10</v>
      </c>
      <c r="W29" s="32" t="str">
        <f>"－"</f>
        <v>－</v>
      </c>
      <c r="X29" s="36" t="n">
        <f>21</f>
        <v>21.0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572.3</f>
        <v>572.3</v>
      </c>
      <c r="L30" s="34" t="s">
        <v>48</v>
      </c>
      <c r="M30" s="33" t="n">
        <f>633.5</f>
        <v>633.5</v>
      </c>
      <c r="N30" s="34" t="s">
        <v>73</v>
      </c>
      <c r="O30" s="33" t="n">
        <f>553.6</f>
        <v>553.6</v>
      </c>
      <c r="P30" s="34" t="s">
        <v>72</v>
      </c>
      <c r="Q30" s="33" t="n">
        <f>610.9</f>
        <v>610.9</v>
      </c>
      <c r="R30" s="34" t="s">
        <v>50</v>
      </c>
      <c r="S30" s="35" t="n">
        <f>594.68</f>
        <v>594.68</v>
      </c>
      <c r="T30" s="32" t="n">
        <f>329554120</f>
        <v>3.2955412E8</v>
      </c>
      <c r="U30" s="32" t="n">
        <f>319480</f>
        <v>319480.0</v>
      </c>
      <c r="V30" s="32" t="n">
        <f>196853757307</f>
        <v>1.96853757307E11</v>
      </c>
      <c r="W30" s="32" t="n">
        <f>191068685</f>
        <v>1.91068685E8</v>
      </c>
      <c r="X30" s="36" t="n">
        <f>21</f>
        <v>21.0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21610</f>
        <v>21610.0</v>
      </c>
      <c r="L31" s="34" t="s">
        <v>48</v>
      </c>
      <c r="M31" s="33" t="n">
        <f>21815</f>
        <v>21815.0</v>
      </c>
      <c r="N31" s="34" t="s">
        <v>48</v>
      </c>
      <c r="O31" s="33" t="n">
        <f>20350</f>
        <v>20350.0</v>
      </c>
      <c r="P31" s="34" t="s">
        <v>49</v>
      </c>
      <c r="Q31" s="33" t="n">
        <f>20780</f>
        <v>20780.0</v>
      </c>
      <c r="R31" s="34" t="s">
        <v>50</v>
      </c>
      <c r="S31" s="35" t="n">
        <f>21057.14</f>
        <v>21057.14</v>
      </c>
      <c r="T31" s="32" t="n">
        <f>9352</f>
        <v>9352.0</v>
      </c>
      <c r="U31" s="32" t="str">
        <f>"－"</f>
        <v>－</v>
      </c>
      <c r="V31" s="32" t="n">
        <f>196165315</f>
        <v>1.96165315E8</v>
      </c>
      <c r="W31" s="32" t="str">
        <f>"－"</f>
        <v>－</v>
      </c>
      <c r="X31" s="36" t="n">
        <f>21</f>
        <v>21.0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30220</f>
        <v>30220.0</v>
      </c>
      <c r="L32" s="34" t="s">
        <v>48</v>
      </c>
      <c r="M32" s="33" t="n">
        <f>30910</f>
        <v>30910.0</v>
      </c>
      <c r="N32" s="34" t="s">
        <v>72</v>
      </c>
      <c r="O32" s="33" t="n">
        <f>27190</f>
        <v>27190.0</v>
      </c>
      <c r="P32" s="34" t="s">
        <v>90</v>
      </c>
      <c r="Q32" s="33" t="n">
        <f>27800</f>
        <v>27800.0</v>
      </c>
      <c r="R32" s="34" t="s">
        <v>50</v>
      </c>
      <c r="S32" s="35" t="n">
        <f>28790.24</f>
        <v>28790.24</v>
      </c>
      <c r="T32" s="32" t="n">
        <f>1130559</f>
        <v>1130559.0</v>
      </c>
      <c r="U32" s="32" t="str">
        <f>"－"</f>
        <v>－</v>
      </c>
      <c r="V32" s="32" t="n">
        <f>32405886005</f>
        <v>3.2405886005E10</v>
      </c>
      <c r="W32" s="32" t="str">
        <f>"－"</f>
        <v>－</v>
      </c>
      <c r="X32" s="36" t="n">
        <f>21</f>
        <v>21.0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610</f>
        <v>610.0</v>
      </c>
      <c r="L33" s="34" t="s">
        <v>48</v>
      </c>
      <c r="M33" s="33" t="n">
        <f>674</f>
        <v>674.0</v>
      </c>
      <c r="N33" s="34" t="s">
        <v>73</v>
      </c>
      <c r="O33" s="33" t="n">
        <f>589</f>
        <v>589.0</v>
      </c>
      <c r="P33" s="34" t="s">
        <v>72</v>
      </c>
      <c r="Q33" s="33" t="n">
        <f>649</f>
        <v>649.0</v>
      </c>
      <c r="R33" s="34" t="s">
        <v>50</v>
      </c>
      <c r="S33" s="35" t="n">
        <f>633</f>
        <v>633.0</v>
      </c>
      <c r="T33" s="32" t="n">
        <f>44902795</f>
        <v>4.4902795E7</v>
      </c>
      <c r="U33" s="32" t="str">
        <f>"－"</f>
        <v>－</v>
      </c>
      <c r="V33" s="32" t="n">
        <f>28490633027</f>
        <v>2.8490633027E10</v>
      </c>
      <c r="W33" s="32" t="str">
        <f>"－"</f>
        <v>－</v>
      </c>
      <c r="X33" s="36" t="n">
        <f>21</f>
        <v>21.0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27760</f>
        <v>27760.0</v>
      </c>
      <c r="L34" s="34" t="s">
        <v>48</v>
      </c>
      <c r="M34" s="33" t="n">
        <f>28250</f>
        <v>28250.0</v>
      </c>
      <c r="N34" s="34" t="s">
        <v>48</v>
      </c>
      <c r="O34" s="33" t="n">
        <f>24435</f>
        <v>24435.0</v>
      </c>
      <c r="P34" s="34" t="s">
        <v>49</v>
      </c>
      <c r="Q34" s="33" t="n">
        <f>25750</f>
        <v>25750.0</v>
      </c>
      <c r="R34" s="34" t="s">
        <v>50</v>
      </c>
      <c r="S34" s="35" t="n">
        <f>26155.48</f>
        <v>26155.48</v>
      </c>
      <c r="T34" s="32" t="n">
        <f>268845</f>
        <v>268845.0</v>
      </c>
      <c r="U34" s="32" t="str">
        <f>"－"</f>
        <v>－</v>
      </c>
      <c r="V34" s="32" t="n">
        <f>7047596220</f>
        <v>7.04759622E9</v>
      </c>
      <c r="W34" s="32" t="str">
        <f>"－"</f>
        <v>－</v>
      </c>
      <c r="X34" s="36" t="n">
        <f>21</f>
        <v>21.0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830</f>
        <v>830.0</v>
      </c>
      <c r="L35" s="34" t="s">
        <v>48</v>
      </c>
      <c r="M35" s="33" t="n">
        <f>927</f>
        <v>927.0</v>
      </c>
      <c r="N35" s="34" t="s">
        <v>49</v>
      </c>
      <c r="O35" s="33" t="n">
        <f>814</f>
        <v>814.0</v>
      </c>
      <c r="P35" s="34" t="s">
        <v>48</v>
      </c>
      <c r="Q35" s="33" t="n">
        <f>880</f>
        <v>880.0</v>
      </c>
      <c r="R35" s="34" t="s">
        <v>50</v>
      </c>
      <c r="S35" s="35" t="n">
        <f>871</f>
        <v>871.0</v>
      </c>
      <c r="T35" s="32" t="n">
        <f>1914268</f>
        <v>1914268.0</v>
      </c>
      <c r="U35" s="32" t="str">
        <f>"－"</f>
        <v>－</v>
      </c>
      <c r="V35" s="32" t="n">
        <f>1685154667</f>
        <v>1.685154667E9</v>
      </c>
      <c r="W35" s="32" t="str">
        <f>"－"</f>
        <v>－</v>
      </c>
      <c r="X35" s="36" t="n">
        <f>21</f>
        <v>21.0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32350</f>
        <v>32350.0</v>
      </c>
      <c r="L36" s="34" t="s">
        <v>48</v>
      </c>
      <c r="M36" s="33" t="n">
        <f>32770</f>
        <v>32770.0</v>
      </c>
      <c r="N36" s="34" t="s">
        <v>72</v>
      </c>
      <c r="O36" s="33" t="n">
        <f>30740</f>
        <v>30740.0</v>
      </c>
      <c r="P36" s="34" t="s">
        <v>73</v>
      </c>
      <c r="Q36" s="33" t="n">
        <f>31110</f>
        <v>31110.0</v>
      </c>
      <c r="R36" s="34" t="s">
        <v>50</v>
      </c>
      <c r="S36" s="35" t="n">
        <f>31642.38</f>
        <v>31642.38</v>
      </c>
      <c r="T36" s="32" t="n">
        <f>146444</f>
        <v>146444.0</v>
      </c>
      <c r="U36" s="32" t="n">
        <f>39530</f>
        <v>39530.0</v>
      </c>
      <c r="V36" s="32" t="n">
        <f>4593501552</f>
        <v>4.593501552E9</v>
      </c>
      <c r="W36" s="32" t="n">
        <f>1239376662</f>
        <v>1.239376662E9</v>
      </c>
      <c r="X36" s="36" t="n">
        <f>21</f>
        <v>21.0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32670</f>
        <v>32670.0</v>
      </c>
      <c r="L37" s="34" t="s">
        <v>48</v>
      </c>
      <c r="M37" s="33" t="n">
        <f>32950</f>
        <v>32950.0</v>
      </c>
      <c r="N37" s="34" t="s">
        <v>48</v>
      </c>
      <c r="O37" s="33" t="n">
        <f>30840</f>
        <v>30840.0</v>
      </c>
      <c r="P37" s="34" t="s">
        <v>90</v>
      </c>
      <c r="Q37" s="33" t="n">
        <f>31070</f>
        <v>31070.0</v>
      </c>
      <c r="R37" s="34" t="s">
        <v>50</v>
      </c>
      <c r="S37" s="35" t="n">
        <f>31766.67</f>
        <v>31766.67</v>
      </c>
      <c r="T37" s="32" t="n">
        <f>278536</f>
        <v>278536.0</v>
      </c>
      <c r="U37" s="32" t="n">
        <f>137835</f>
        <v>137835.0</v>
      </c>
      <c r="V37" s="32" t="n">
        <f>8847194449</f>
        <v>8.847194449E9</v>
      </c>
      <c r="W37" s="32" t="n">
        <f>4367107049</f>
        <v>4.367107049E9</v>
      </c>
      <c r="X37" s="36" t="n">
        <f>21</f>
        <v>21.0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1903</f>
        <v>1903.0</v>
      </c>
      <c r="L38" s="34" t="s">
        <v>48</v>
      </c>
      <c r="M38" s="33" t="n">
        <f>1908</f>
        <v>1908.0</v>
      </c>
      <c r="N38" s="34" t="s">
        <v>48</v>
      </c>
      <c r="O38" s="33" t="n">
        <f>1841</f>
        <v>1841.0</v>
      </c>
      <c r="P38" s="34" t="s">
        <v>73</v>
      </c>
      <c r="Q38" s="33" t="n">
        <f>1863.5</f>
        <v>1863.5</v>
      </c>
      <c r="R38" s="34" t="s">
        <v>50</v>
      </c>
      <c r="S38" s="35" t="n">
        <f>1872.71</f>
        <v>1872.71</v>
      </c>
      <c r="T38" s="32" t="n">
        <f>2607410</f>
        <v>2607410.0</v>
      </c>
      <c r="U38" s="32" t="n">
        <f>608420</f>
        <v>608420.0</v>
      </c>
      <c r="V38" s="32" t="n">
        <f>4871444800</f>
        <v>4.8714448E9</v>
      </c>
      <c r="W38" s="32" t="n">
        <f>1140831635</f>
        <v>1.140831635E9</v>
      </c>
      <c r="X38" s="36" t="n">
        <f>21</f>
        <v>21.0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1989</f>
        <v>1989.0</v>
      </c>
      <c r="L39" s="34" t="s">
        <v>48</v>
      </c>
      <c r="M39" s="33" t="n">
        <f>2002</f>
        <v>2002.0</v>
      </c>
      <c r="N39" s="34" t="s">
        <v>64</v>
      </c>
      <c r="O39" s="33" t="n">
        <f>1853</f>
        <v>1853.0</v>
      </c>
      <c r="P39" s="34" t="s">
        <v>49</v>
      </c>
      <c r="Q39" s="33" t="n">
        <f>1888.5</f>
        <v>1888.5</v>
      </c>
      <c r="R39" s="34" t="s">
        <v>50</v>
      </c>
      <c r="S39" s="35" t="n">
        <f>1909.11</f>
        <v>1909.11</v>
      </c>
      <c r="T39" s="32" t="n">
        <f>36580</f>
        <v>36580.0</v>
      </c>
      <c r="U39" s="32" t="str">
        <f>"－"</f>
        <v>－</v>
      </c>
      <c r="V39" s="32" t="n">
        <f>69993335</f>
        <v>6.9993335E7</v>
      </c>
      <c r="W39" s="32" t="str">
        <f>"－"</f>
        <v>－</v>
      </c>
      <c r="X39" s="36" t="n">
        <f>19</f>
        <v>19.0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3365</f>
        <v>3365.0</v>
      </c>
      <c r="L40" s="34" t="s">
        <v>48</v>
      </c>
      <c r="M40" s="33" t="n">
        <f>3535</f>
        <v>3535.0</v>
      </c>
      <c r="N40" s="34" t="s">
        <v>73</v>
      </c>
      <c r="O40" s="33" t="n">
        <f>3305</f>
        <v>3305.0</v>
      </c>
      <c r="P40" s="34" t="s">
        <v>72</v>
      </c>
      <c r="Q40" s="33" t="n">
        <f>3470</f>
        <v>3470.0</v>
      </c>
      <c r="R40" s="34" t="s">
        <v>50</v>
      </c>
      <c r="S40" s="35" t="n">
        <f>3428.33</f>
        <v>3428.33</v>
      </c>
      <c r="T40" s="32" t="n">
        <f>1357448</f>
        <v>1357448.0</v>
      </c>
      <c r="U40" s="32" t="n">
        <f>260604</f>
        <v>260604.0</v>
      </c>
      <c r="V40" s="32" t="n">
        <f>4682602620</f>
        <v>4.68260262E9</v>
      </c>
      <c r="W40" s="32" t="n">
        <f>903308150</f>
        <v>9.0330815E8</v>
      </c>
      <c r="X40" s="36" t="n">
        <f>21</f>
        <v>21.0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3840</f>
        <v>3840.0</v>
      </c>
      <c r="L41" s="34" t="s">
        <v>48</v>
      </c>
      <c r="M41" s="33" t="n">
        <f>4060</f>
        <v>4060.0</v>
      </c>
      <c r="N41" s="34" t="s">
        <v>49</v>
      </c>
      <c r="O41" s="33" t="n">
        <f>3800</f>
        <v>3800.0</v>
      </c>
      <c r="P41" s="34" t="s">
        <v>48</v>
      </c>
      <c r="Q41" s="33" t="n">
        <f>3955</f>
        <v>3955.0</v>
      </c>
      <c r="R41" s="34" t="s">
        <v>50</v>
      </c>
      <c r="S41" s="35" t="n">
        <f>3936.43</f>
        <v>3936.43</v>
      </c>
      <c r="T41" s="32" t="n">
        <f>156336</f>
        <v>156336.0</v>
      </c>
      <c r="U41" s="32" t="n">
        <f>32004</f>
        <v>32004.0</v>
      </c>
      <c r="V41" s="32" t="n">
        <f>613782625</f>
        <v>6.13782625E8</v>
      </c>
      <c r="W41" s="32" t="n">
        <f>122767540</f>
        <v>1.2276754E8</v>
      </c>
      <c r="X41" s="36" t="n">
        <f>21</f>
        <v>21.0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23045</f>
        <v>23045.0</v>
      </c>
      <c r="L42" s="34" t="s">
        <v>48</v>
      </c>
      <c r="M42" s="33" t="n">
        <f>23575</f>
        <v>23575.0</v>
      </c>
      <c r="N42" s="34" t="s">
        <v>72</v>
      </c>
      <c r="O42" s="33" t="n">
        <f>20725</f>
        <v>20725.0</v>
      </c>
      <c r="P42" s="34" t="s">
        <v>90</v>
      </c>
      <c r="Q42" s="33" t="n">
        <f>21220</f>
        <v>21220.0</v>
      </c>
      <c r="R42" s="34" t="s">
        <v>50</v>
      </c>
      <c r="S42" s="35" t="n">
        <f>21948.81</f>
        <v>21948.81</v>
      </c>
      <c r="T42" s="32" t="n">
        <f>9440523</f>
        <v>9440523.0</v>
      </c>
      <c r="U42" s="32" t="n">
        <f>9024</f>
        <v>9024.0</v>
      </c>
      <c r="V42" s="32" t="n">
        <f>206574506525</f>
        <v>2.06574506525E11</v>
      </c>
      <c r="W42" s="32" t="n">
        <f>197632610</f>
        <v>1.9763261E8</v>
      </c>
      <c r="X42" s="36" t="n">
        <f>21</f>
        <v>21.0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944</f>
        <v>944.0</v>
      </c>
      <c r="L43" s="34" t="s">
        <v>48</v>
      </c>
      <c r="M43" s="33" t="n">
        <f>1044</f>
        <v>1044.0</v>
      </c>
      <c r="N43" s="34" t="s">
        <v>73</v>
      </c>
      <c r="O43" s="33" t="n">
        <f>911</f>
        <v>911.0</v>
      </c>
      <c r="P43" s="34" t="s">
        <v>72</v>
      </c>
      <c r="Q43" s="33" t="n">
        <f>1005</f>
        <v>1005.0</v>
      </c>
      <c r="R43" s="34" t="s">
        <v>50</v>
      </c>
      <c r="S43" s="35" t="n">
        <f>979.48</f>
        <v>979.48</v>
      </c>
      <c r="T43" s="32" t="n">
        <f>235769980</f>
        <v>2.3576998E8</v>
      </c>
      <c r="U43" s="32" t="n">
        <f>1341000</f>
        <v>1341000.0</v>
      </c>
      <c r="V43" s="32" t="n">
        <f>232025707941</f>
        <v>2.32025707941E11</v>
      </c>
      <c r="W43" s="32" t="n">
        <f>1313274200</f>
        <v>1.3132742E9</v>
      </c>
      <c r="X43" s="36" t="n">
        <f>21</f>
        <v>21.0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22015</f>
        <v>22015.0</v>
      </c>
      <c r="L44" s="34" t="s">
        <v>48</v>
      </c>
      <c r="M44" s="33" t="n">
        <f>22450</f>
        <v>22450.0</v>
      </c>
      <c r="N44" s="34" t="s">
        <v>48</v>
      </c>
      <c r="O44" s="33" t="n">
        <f>19455</f>
        <v>19455.0</v>
      </c>
      <c r="P44" s="34" t="s">
        <v>49</v>
      </c>
      <c r="Q44" s="33" t="n">
        <f>20300</f>
        <v>20300.0</v>
      </c>
      <c r="R44" s="34" t="s">
        <v>50</v>
      </c>
      <c r="S44" s="35" t="n">
        <f>20841.9</f>
        <v>20841.9</v>
      </c>
      <c r="T44" s="32" t="n">
        <f>7150</f>
        <v>7150.0</v>
      </c>
      <c r="U44" s="32" t="str">
        <f>"－"</f>
        <v>－</v>
      </c>
      <c r="V44" s="32" t="n">
        <f>147541155</f>
        <v>1.47541155E8</v>
      </c>
      <c r="W44" s="32" t="str">
        <f>"－"</f>
        <v>－</v>
      </c>
      <c r="X44" s="36" t="n">
        <f>21</f>
        <v>21.0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3575</f>
        <v>3575.0</v>
      </c>
      <c r="L45" s="34" t="s">
        <v>174</v>
      </c>
      <c r="M45" s="33" t="n">
        <f>3920</f>
        <v>3920.0</v>
      </c>
      <c r="N45" s="34" t="s">
        <v>175</v>
      </c>
      <c r="O45" s="33" t="n">
        <f>3575</f>
        <v>3575.0</v>
      </c>
      <c r="P45" s="34" t="s">
        <v>174</v>
      </c>
      <c r="Q45" s="33" t="n">
        <f>3905</f>
        <v>3905.0</v>
      </c>
      <c r="R45" s="34" t="s">
        <v>50</v>
      </c>
      <c r="S45" s="35" t="n">
        <f>3803.57</f>
        <v>3803.57</v>
      </c>
      <c r="T45" s="32" t="n">
        <f>360</f>
        <v>360.0</v>
      </c>
      <c r="U45" s="32" t="str">
        <f>"－"</f>
        <v>－</v>
      </c>
      <c r="V45" s="32" t="n">
        <f>1378730</f>
        <v>1378730.0</v>
      </c>
      <c r="W45" s="32" t="str">
        <f>"－"</f>
        <v>－</v>
      </c>
      <c r="X45" s="36" t="n">
        <f>14</f>
        <v>14.0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1074</f>
        <v>1074.0</v>
      </c>
      <c r="L46" s="34" t="s">
        <v>48</v>
      </c>
      <c r="M46" s="33" t="n">
        <f>1219</f>
        <v>1219.0</v>
      </c>
      <c r="N46" s="34" t="s">
        <v>73</v>
      </c>
      <c r="O46" s="33" t="n">
        <f>1044</f>
        <v>1044.0</v>
      </c>
      <c r="P46" s="34" t="s">
        <v>48</v>
      </c>
      <c r="Q46" s="33" t="n">
        <f>1158</f>
        <v>1158.0</v>
      </c>
      <c r="R46" s="34" t="s">
        <v>50</v>
      </c>
      <c r="S46" s="35" t="n">
        <f>1121.05</f>
        <v>1121.05</v>
      </c>
      <c r="T46" s="32" t="n">
        <f>56752</f>
        <v>56752.0</v>
      </c>
      <c r="U46" s="32" t="str">
        <f>"－"</f>
        <v>－</v>
      </c>
      <c r="V46" s="32" t="n">
        <f>64824758</f>
        <v>6.4824758E7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10.0</v>
      </c>
      <c r="K47" s="33" t="n">
        <f>1041.5</f>
        <v>1041.5</v>
      </c>
      <c r="L47" s="34" t="s">
        <v>48</v>
      </c>
      <c r="M47" s="33" t="n">
        <f>1170</f>
        <v>1170.0</v>
      </c>
      <c r="N47" s="34" t="s">
        <v>49</v>
      </c>
      <c r="O47" s="33" t="n">
        <f>1024.5</f>
        <v>1024.5</v>
      </c>
      <c r="P47" s="34" t="s">
        <v>48</v>
      </c>
      <c r="Q47" s="33" t="n">
        <f>1129</f>
        <v>1129.0</v>
      </c>
      <c r="R47" s="34" t="s">
        <v>50</v>
      </c>
      <c r="S47" s="35" t="n">
        <f>1097.57</f>
        <v>1097.57</v>
      </c>
      <c r="T47" s="32" t="n">
        <f>304850</f>
        <v>304850.0</v>
      </c>
      <c r="U47" s="32" t="n">
        <f>90000</f>
        <v>90000.0</v>
      </c>
      <c r="V47" s="32" t="n">
        <f>338173375</f>
        <v>3.38173375E8</v>
      </c>
      <c r="W47" s="32" t="n">
        <f>100440000</f>
        <v>1.0044E8</v>
      </c>
      <c r="X47" s="36" t="n">
        <f>21</f>
        <v>21.0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433</f>
        <v>433.0</v>
      </c>
      <c r="L48" s="34" t="s">
        <v>48</v>
      </c>
      <c r="M48" s="33" t="n">
        <f>491</f>
        <v>491.0</v>
      </c>
      <c r="N48" s="34" t="s">
        <v>90</v>
      </c>
      <c r="O48" s="33" t="n">
        <f>423</f>
        <v>423.0</v>
      </c>
      <c r="P48" s="34" t="s">
        <v>48</v>
      </c>
      <c r="Q48" s="33" t="n">
        <f>461</f>
        <v>461.0</v>
      </c>
      <c r="R48" s="34" t="s">
        <v>50</v>
      </c>
      <c r="S48" s="35" t="n">
        <f>450.19</f>
        <v>450.19</v>
      </c>
      <c r="T48" s="32" t="n">
        <f>92044</f>
        <v>92044.0</v>
      </c>
      <c r="U48" s="32" t="str">
        <f>"－"</f>
        <v>－</v>
      </c>
      <c r="V48" s="32" t="n">
        <f>41676594</f>
        <v>4.1676594E7</v>
      </c>
      <c r="W48" s="32" t="str">
        <f>"－"</f>
        <v>－</v>
      </c>
      <c r="X48" s="36" t="n">
        <f>21</f>
        <v>21.0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2403.5</f>
        <v>2403.5</v>
      </c>
      <c r="L49" s="34" t="s">
        <v>48</v>
      </c>
      <c r="M49" s="33" t="n">
        <f>2404</f>
        <v>2404.0</v>
      </c>
      <c r="N49" s="34" t="s">
        <v>48</v>
      </c>
      <c r="O49" s="33" t="n">
        <f>2250</f>
        <v>2250.0</v>
      </c>
      <c r="P49" s="34" t="s">
        <v>49</v>
      </c>
      <c r="Q49" s="33" t="n">
        <f>2304.5</f>
        <v>2304.5</v>
      </c>
      <c r="R49" s="34" t="s">
        <v>50</v>
      </c>
      <c r="S49" s="35" t="n">
        <f>2322.45</f>
        <v>2322.45</v>
      </c>
      <c r="T49" s="32" t="n">
        <f>1355910</f>
        <v>1355910.0</v>
      </c>
      <c r="U49" s="32" t="n">
        <f>360260</f>
        <v>360260.0</v>
      </c>
      <c r="V49" s="32" t="n">
        <f>3132509792</f>
        <v>3.132509792E9</v>
      </c>
      <c r="W49" s="32" t="n">
        <f>833626112</f>
        <v>8.33626112E8</v>
      </c>
      <c r="X49" s="36" t="n">
        <f>21</f>
        <v>21.0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21470</f>
        <v>21470.0</v>
      </c>
      <c r="L50" s="34" t="s">
        <v>48</v>
      </c>
      <c r="M50" s="33" t="n">
        <f>21515</f>
        <v>21515.0</v>
      </c>
      <c r="N50" s="34" t="s">
        <v>64</v>
      </c>
      <c r="O50" s="33" t="n">
        <f>20180</f>
        <v>20180.0</v>
      </c>
      <c r="P50" s="34" t="s">
        <v>49</v>
      </c>
      <c r="Q50" s="33" t="n">
        <f>20485</f>
        <v>20485.0</v>
      </c>
      <c r="R50" s="34" t="s">
        <v>50</v>
      </c>
      <c r="S50" s="35" t="n">
        <f>20819.05</f>
        <v>20819.05</v>
      </c>
      <c r="T50" s="32" t="n">
        <f>20315</f>
        <v>20315.0</v>
      </c>
      <c r="U50" s="32" t="str">
        <f>"－"</f>
        <v>－</v>
      </c>
      <c r="V50" s="32" t="n">
        <f>423474815</f>
        <v>4.23474815E8</v>
      </c>
      <c r="W50" s="32" t="str">
        <f>"－"</f>
        <v>－</v>
      </c>
      <c r="X50" s="36" t="n">
        <f>21</f>
        <v>21.0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2412</f>
        <v>2412.0</v>
      </c>
      <c r="L51" s="34" t="s">
        <v>48</v>
      </c>
      <c r="M51" s="33" t="n">
        <f>2434</f>
        <v>2434.0</v>
      </c>
      <c r="N51" s="34" t="s">
        <v>48</v>
      </c>
      <c r="O51" s="33" t="n">
        <f>2269</f>
        <v>2269.0</v>
      </c>
      <c r="P51" s="34" t="s">
        <v>49</v>
      </c>
      <c r="Q51" s="33" t="n">
        <f>2329</f>
        <v>2329.0</v>
      </c>
      <c r="R51" s="34" t="s">
        <v>50</v>
      </c>
      <c r="S51" s="35" t="n">
        <f>2346.86</f>
        <v>2346.86</v>
      </c>
      <c r="T51" s="32" t="n">
        <f>19359560</f>
        <v>1.935956E7</v>
      </c>
      <c r="U51" s="32" t="n">
        <f>9160438</f>
        <v>9160438.0</v>
      </c>
      <c r="V51" s="32" t="n">
        <f>45222042955</f>
        <v>4.5222042955E10</v>
      </c>
      <c r="W51" s="32" t="n">
        <f>21287548980</f>
        <v>2.128754898E10</v>
      </c>
      <c r="X51" s="36" t="n">
        <f>21</f>
        <v>21.0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1925</f>
        <v>1925.0</v>
      </c>
      <c r="L52" s="34" t="s">
        <v>48</v>
      </c>
      <c r="M52" s="33" t="n">
        <f>1932</f>
        <v>1932.0</v>
      </c>
      <c r="N52" s="34" t="s">
        <v>48</v>
      </c>
      <c r="O52" s="33" t="n">
        <f>1862</f>
        <v>1862.0</v>
      </c>
      <c r="P52" s="34" t="s">
        <v>73</v>
      </c>
      <c r="Q52" s="33" t="n">
        <f>1886</f>
        <v>1886.0</v>
      </c>
      <c r="R52" s="34" t="s">
        <v>50</v>
      </c>
      <c r="S52" s="35" t="n">
        <f>1895.76</f>
        <v>1895.76</v>
      </c>
      <c r="T52" s="32" t="n">
        <f>5400600</f>
        <v>5400600.0</v>
      </c>
      <c r="U52" s="32" t="n">
        <f>1900941</f>
        <v>1900941.0</v>
      </c>
      <c r="V52" s="32" t="n">
        <f>10220743239</f>
        <v>1.0220743239E10</v>
      </c>
      <c r="W52" s="32" t="n">
        <f>3600487365</f>
        <v>3.600487365E9</v>
      </c>
      <c r="X52" s="36" t="n">
        <f>21</f>
        <v>21.0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2278</f>
        <v>2278.0</v>
      </c>
      <c r="L53" s="34" t="s">
        <v>48</v>
      </c>
      <c r="M53" s="33" t="n">
        <f>2281</f>
        <v>2281.0</v>
      </c>
      <c r="N53" s="34" t="s">
        <v>48</v>
      </c>
      <c r="O53" s="33" t="n">
        <f>2157</f>
        <v>2157.0</v>
      </c>
      <c r="P53" s="34" t="s">
        <v>49</v>
      </c>
      <c r="Q53" s="33" t="n">
        <f>2218</f>
        <v>2218.0</v>
      </c>
      <c r="R53" s="34" t="s">
        <v>50</v>
      </c>
      <c r="S53" s="35" t="n">
        <f>2218.81</f>
        <v>2218.81</v>
      </c>
      <c r="T53" s="32" t="n">
        <f>170081</f>
        <v>170081.0</v>
      </c>
      <c r="U53" s="32" t="n">
        <f>127836</f>
        <v>127836.0</v>
      </c>
      <c r="V53" s="32" t="n">
        <f>380269537</f>
        <v>3.80269537E8</v>
      </c>
      <c r="W53" s="32" t="n">
        <f>284729171</f>
        <v>2.84729171E8</v>
      </c>
      <c r="X53" s="36" t="n">
        <f>21</f>
        <v>21.0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3100</f>
        <v>3100.0</v>
      </c>
      <c r="L54" s="34" t="s">
        <v>48</v>
      </c>
      <c r="M54" s="33" t="n">
        <f>3120</f>
        <v>3120.0</v>
      </c>
      <c r="N54" s="34" t="s">
        <v>48</v>
      </c>
      <c r="O54" s="33" t="n">
        <f>2920</f>
        <v>2920.0</v>
      </c>
      <c r="P54" s="34" t="s">
        <v>73</v>
      </c>
      <c r="Q54" s="33" t="n">
        <f>2997</f>
        <v>2997.0</v>
      </c>
      <c r="R54" s="34" t="s">
        <v>50</v>
      </c>
      <c r="S54" s="35" t="n">
        <f>3015</f>
        <v>3015.0</v>
      </c>
      <c r="T54" s="32" t="n">
        <f>775384</f>
        <v>775384.0</v>
      </c>
      <c r="U54" s="32" t="n">
        <f>107349</f>
        <v>107349.0</v>
      </c>
      <c r="V54" s="32" t="n">
        <f>2328572709</f>
        <v>2.328572709E9</v>
      </c>
      <c r="W54" s="32" t="n">
        <f>324979537</f>
        <v>3.24979537E8</v>
      </c>
      <c r="X54" s="36" t="n">
        <f>21</f>
        <v>21.0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28905</f>
        <v>28905.0</v>
      </c>
      <c r="L55" s="34" t="s">
        <v>48</v>
      </c>
      <c r="M55" s="33" t="n">
        <f>29115</f>
        <v>29115.0</v>
      </c>
      <c r="N55" s="34" t="s">
        <v>72</v>
      </c>
      <c r="O55" s="33" t="n">
        <f>27770</f>
        <v>27770.0</v>
      </c>
      <c r="P55" s="34" t="s">
        <v>73</v>
      </c>
      <c r="Q55" s="33" t="n">
        <f>28610</f>
        <v>28610.0</v>
      </c>
      <c r="R55" s="34" t="s">
        <v>206</v>
      </c>
      <c r="S55" s="35" t="n">
        <f>28576.43</f>
        <v>28576.43</v>
      </c>
      <c r="T55" s="32" t="n">
        <f>168</f>
        <v>168.0</v>
      </c>
      <c r="U55" s="32" t="str">
        <f>"－"</f>
        <v>－</v>
      </c>
      <c r="V55" s="32" t="n">
        <f>4815435</f>
        <v>4815435.0</v>
      </c>
      <c r="W55" s="32" t="str">
        <f>"－"</f>
        <v>－</v>
      </c>
      <c r="X55" s="36" t="n">
        <f>7</f>
        <v>7.0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23300</f>
        <v>23300.0</v>
      </c>
      <c r="L56" s="34" t="s">
        <v>48</v>
      </c>
      <c r="M56" s="33" t="n">
        <f>23300</f>
        <v>23300.0</v>
      </c>
      <c r="N56" s="34" t="s">
        <v>48</v>
      </c>
      <c r="O56" s="33" t="n">
        <f>21910</f>
        <v>21910.0</v>
      </c>
      <c r="P56" s="34" t="s">
        <v>49</v>
      </c>
      <c r="Q56" s="33" t="n">
        <f>22130</f>
        <v>22130.0</v>
      </c>
      <c r="R56" s="34" t="s">
        <v>50</v>
      </c>
      <c r="S56" s="35" t="n">
        <f>22583.33</f>
        <v>22583.33</v>
      </c>
      <c r="T56" s="32" t="n">
        <f>189</f>
        <v>189.0</v>
      </c>
      <c r="U56" s="32" t="str">
        <f>"－"</f>
        <v>－</v>
      </c>
      <c r="V56" s="32" t="n">
        <f>4247420</f>
        <v>4247420.0</v>
      </c>
      <c r="W56" s="32" t="str">
        <f>"－"</f>
        <v>－</v>
      </c>
      <c r="X56" s="36" t="n">
        <f>9</f>
        <v>9.0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2423</f>
        <v>2423.0</v>
      </c>
      <c r="L57" s="34" t="s">
        <v>48</v>
      </c>
      <c r="M57" s="33" t="n">
        <f>2487</f>
        <v>2487.0</v>
      </c>
      <c r="N57" s="34" t="s">
        <v>213</v>
      </c>
      <c r="O57" s="33" t="n">
        <f>2300</f>
        <v>2300.0</v>
      </c>
      <c r="P57" s="34" t="s">
        <v>49</v>
      </c>
      <c r="Q57" s="33" t="n">
        <f>2364</f>
        <v>2364.0</v>
      </c>
      <c r="R57" s="34" t="s">
        <v>50</v>
      </c>
      <c r="S57" s="35" t="n">
        <f>2377.75</f>
        <v>2377.75</v>
      </c>
      <c r="T57" s="32" t="n">
        <f>12655</f>
        <v>12655.0</v>
      </c>
      <c r="U57" s="32" t="str">
        <f>"－"</f>
        <v>－</v>
      </c>
      <c r="V57" s="32" t="n">
        <f>30635558</f>
        <v>3.0635558E7</v>
      </c>
      <c r="W57" s="32" t="str">
        <f>"－"</f>
        <v>－</v>
      </c>
      <c r="X57" s="36" t="n">
        <f>20</f>
        <v>20.0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1740</f>
        <v>1740.0</v>
      </c>
      <c r="L58" s="34" t="s">
        <v>48</v>
      </c>
      <c r="M58" s="33" t="n">
        <f>1741</f>
        <v>1741.0</v>
      </c>
      <c r="N58" s="34" t="s">
        <v>48</v>
      </c>
      <c r="O58" s="33" t="n">
        <f>1677</f>
        <v>1677.0</v>
      </c>
      <c r="P58" s="34" t="s">
        <v>60</v>
      </c>
      <c r="Q58" s="33" t="n">
        <f>1694</f>
        <v>1694.0</v>
      </c>
      <c r="R58" s="34" t="s">
        <v>50</v>
      </c>
      <c r="S58" s="35" t="n">
        <f>1707.95</f>
        <v>1707.95</v>
      </c>
      <c r="T58" s="32" t="n">
        <f>7524128</f>
        <v>7524128.0</v>
      </c>
      <c r="U58" s="32" t="n">
        <f>5332084</f>
        <v>5332084.0</v>
      </c>
      <c r="V58" s="32" t="n">
        <f>12890718752</f>
        <v>1.2890718752E10</v>
      </c>
      <c r="W58" s="32" t="n">
        <f>9147349011</f>
        <v>9.147349011E9</v>
      </c>
      <c r="X58" s="36" t="n">
        <f>21</f>
        <v>21.0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2413</f>
        <v>2413.0</v>
      </c>
      <c r="L59" s="34" t="s">
        <v>48</v>
      </c>
      <c r="M59" s="33" t="n">
        <f>2450</f>
        <v>2450.0</v>
      </c>
      <c r="N59" s="34" t="s">
        <v>48</v>
      </c>
      <c r="O59" s="33" t="n">
        <f>2296</f>
        <v>2296.0</v>
      </c>
      <c r="P59" s="34" t="s">
        <v>49</v>
      </c>
      <c r="Q59" s="33" t="n">
        <f>2354</f>
        <v>2354.0</v>
      </c>
      <c r="R59" s="34" t="s">
        <v>90</v>
      </c>
      <c r="S59" s="35" t="n">
        <f>2365</f>
        <v>2365.0</v>
      </c>
      <c r="T59" s="32" t="n">
        <f>493</f>
        <v>493.0</v>
      </c>
      <c r="U59" s="32" t="str">
        <f>"－"</f>
        <v>－</v>
      </c>
      <c r="V59" s="32" t="n">
        <f>1161143</f>
        <v>1161143.0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2385.5</f>
        <v>2385.5</v>
      </c>
      <c r="L60" s="34" t="s">
        <v>48</v>
      </c>
      <c r="M60" s="33" t="n">
        <f>2402</f>
        <v>2402.0</v>
      </c>
      <c r="N60" s="34" t="s">
        <v>48</v>
      </c>
      <c r="O60" s="33" t="n">
        <f>2280.5</f>
        <v>2280.5</v>
      </c>
      <c r="P60" s="34" t="s">
        <v>49</v>
      </c>
      <c r="Q60" s="33" t="n">
        <f>2325.5</f>
        <v>2325.5</v>
      </c>
      <c r="R60" s="34" t="s">
        <v>50</v>
      </c>
      <c r="S60" s="35" t="n">
        <f>2332.45</f>
        <v>2332.45</v>
      </c>
      <c r="T60" s="32" t="n">
        <f>72140</f>
        <v>72140.0</v>
      </c>
      <c r="U60" s="32" t="str">
        <f>"－"</f>
        <v>－</v>
      </c>
      <c r="V60" s="32" t="n">
        <f>169201900</f>
        <v>1.692019E8</v>
      </c>
      <c r="W60" s="32" t="str">
        <f>"－"</f>
        <v>－</v>
      </c>
      <c r="X60" s="36" t="n">
        <f>21</f>
        <v>21.0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34900</f>
        <v>34900.0</v>
      </c>
      <c r="L61" s="34" t="s">
        <v>72</v>
      </c>
      <c r="M61" s="33" t="n">
        <f>35600</f>
        <v>35600.0</v>
      </c>
      <c r="N61" s="34" t="s">
        <v>206</v>
      </c>
      <c r="O61" s="33" t="n">
        <f>34800</f>
        <v>34800.0</v>
      </c>
      <c r="P61" s="34" t="s">
        <v>206</v>
      </c>
      <c r="Q61" s="33" t="n">
        <f>34800</f>
        <v>34800.0</v>
      </c>
      <c r="R61" s="34" t="s">
        <v>206</v>
      </c>
      <c r="S61" s="35" t="n">
        <f>34850</f>
        <v>34850.0</v>
      </c>
      <c r="T61" s="32" t="n">
        <f>14</f>
        <v>14.0</v>
      </c>
      <c r="U61" s="32" t="str">
        <f>"－"</f>
        <v>－</v>
      </c>
      <c r="V61" s="32" t="n">
        <f>489200</f>
        <v>489200.0</v>
      </c>
      <c r="W61" s="32" t="str">
        <f>"－"</f>
        <v>－</v>
      </c>
      <c r="X61" s="36" t="n">
        <f>2</f>
        <v>2.0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22555</f>
        <v>22555.0</v>
      </c>
      <c r="L62" s="34" t="s">
        <v>48</v>
      </c>
      <c r="M62" s="33" t="n">
        <f>22695</f>
        <v>22695.0</v>
      </c>
      <c r="N62" s="34" t="s">
        <v>64</v>
      </c>
      <c r="O62" s="33" t="n">
        <f>22065</f>
        <v>22065.0</v>
      </c>
      <c r="P62" s="34" t="s">
        <v>60</v>
      </c>
      <c r="Q62" s="33" t="n">
        <f>22325</f>
        <v>22325.0</v>
      </c>
      <c r="R62" s="34" t="s">
        <v>50</v>
      </c>
      <c r="S62" s="35" t="n">
        <f>22350.71</f>
        <v>22350.71</v>
      </c>
      <c r="T62" s="32" t="n">
        <f>387728</f>
        <v>387728.0</v>
      </c>
      <c r="U62" s="32" t="n">
        <f>322100</f>
        <v>322100.0</v>
      </c>
      <c r="V62" s="32" t="n">
        <f>8699264445</f>
        <v>8.699264445E9</v>
      </c>
      <c r="W62" s="32" t="n">
        <f>7227239780</f>
        <v>7.22723978E9</v>
      </c>
      <c r="X62" s="36" t="n">
        <f>21</f>
        <v>21.0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13345</f>
        <v>13345.0</v>
      </c>
      <c r="L63" s="34" t="s">
        <v>48</v>
      </c>
      <c r="M63" s="33" t="n">
        <f>13375</f>
        <v>13375.0</v>
      </c>
      <c r="N63" s="34" t="s">
        <v>64</v>
      </c>
      <c r="O63" s="33" t="n">
        <f>12940</f>
        <v>12940.0</v>
      </c>
      <c r="P63" s="34" t="s">
        <v>60</v>
      </c>
      <c r="Q63" s="33" t="n">
        <f>13055</f>
        <v>13055.0</v>
      </c>
      <c r="R63" s="34" t="s">
        <v>50</v>
      </c>
      <c r="S63" s="35" t="n">
        <f>13147.86</f>
        <v>13147.86</v>
      </c>
      <c r="T63" s="32" t="n">
        <f>437613</f>
        <v>437613.0</v>
      </c>
      <c r="U63" s="32" t="n">
        <f>198736</f>
        <v>198736.0</v>
      </c>
      <c r="V63" s="32" t="n">
        <f>5762061664</f>
        <v>5.762061664E9</v>
      </c>
      <c r="W63" s="32" t="n">
        <f>2603233564</f>
        <v>2.603233564E9</v>
      </c>
      <c r="X63" s="36" t="n">
        <f>21</f>
        <v>21.0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1916.5</f>
        <v>1916.5</v>
      </c>
      <c r="L64" s="34" t="s">
        <v>48</v>
      </c>
      <c r="M64" s="33" t="n">
        <f>1920</f>
        <v>1920.0</v>
      </c>
      <c r="N64" s="34" t="s">
        <v>48</v>
      </c>
      <c r="O64" s="33" t="n">
        <f>1851.5</f>
        <v>1851.5</v>
      </c>
      <c r="P64" s="34" t="s">
        <v>73</v>
      </c>
      <c r="Q64" s="33" t="n">
        <f>1875</f>
        <v>1875.0</v>
      </c>
      <c r="R64" s="34" t="s">
        <v>50</v>
      </c>
      <c r="S64" s="35" t="n">
        <f>1884.74</f>
        <v>1884.74</v>
      </c>
      <c r="T64" s="32" t="n">
        <f>3277480</f>
        <v>3277480.0</v>
      </c>
      <c r="U64" s="32" t="n">
        <f>963880</f>
        <v>963880.0</v>
      </c>
      <c r="V64" s="32" t="n">
        <f>6171997741</f>
        <v>6.171997741E9</v>
      </c>
      <c r="W64" s="32" t="n">
        <f>1805963846</f>
        <v>1.805963846E9</v>
      </c>
      <c r="X64" s="36" t="n">
        <f>21</f>
        <v>21.0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60920</f>
        <v>60920.0</v>
      </c>
      <c r="L65" s="34" t="s">
        <v>48</v>
      </c>
      <c r="M65" s="33" t="n">
        <f>60920</f>
        <v>60920.0</v>
      </c>
      <c r="N65" s="34" t="s">
        <v>48</v>
      </c>
      <c r="O65" s="33" t="n">
        <f>54650</f>
        <v>54650.0</v>
      </c>
      <c r="P65" s="34" t="s">
        <v>49</v>
      </c>
      <c r="Q65" s="33" t="n">
        <f>56580</f>
        <v>56580.0</v>
      </c>
      <c r="R65" s="34" t="s">
        <v>50</v>
      </c>
      <c r="S65" s="35" t="n">
        <f>57070</f>
        <v>57070.0</v>
      </c>
      <c r="T65" s="32" t="n">
        <f>663772</f>
        <v>663772.0</v>
      </c>
      <c r="U65" s="32" t="n">
        <f>63717</f>
        <v>63717.0</v>
      </c>
      <c r="V65" s="32" t="n">
        <f>37923120036</f>
        <v>3.7923120036E10</v>
      </c>
      <c r="W65" s="32" t="n">
        <f>3604822056</f>
        <v>3.604822056E9</v>
      </c>
      <c r="X65" s="36" t="n">
        <f>21</f>
        <v>21.0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10.0</v>
      </c>
      <c r="K66" s="33" t="n">
        <f>7901</f>
        <v>7901.0</v>
      </c>
      <c r="L66" s="34" t="s">
        <v>213</v>
      </c>
      <c r="M66" s="33" t="n">
        <f>7901</f>
        <v>7901.0</v>
      </c>
      <c r="N66" s="34" t="s">
        <v>213</v>
      </c>
      <c r="O66" s="33" t="n">
        <f>7602</f>
        <v>7602.0</v>
      </c>
      <c r="P66" s="34" t="s">
        <v>72</v>
      </c>
      <c r="Q66" s="33" t="n">
        <f>7753</f>
        <v>7753.0</v>
      </c>
      <c r="R66" s="34" t="s">
        <v>241</v>
      </c>
      <c r="S66" s="35" t="n">
        <f>7728.75</f>
        <v>7728.75</v>
      </c>
      <c r="T66" s="32" t="n">
        <f>90</f>
        <v>90.0</v>
      </c>
      <c r="U66" s="32" t="str">
        <f>"－"</f>
        <v>－</v>
      </c>
      <c r="V66" s="32" t="n">
        <f>699010</f>
        <v>699010.0</v>
      </c>
      <c r="W66" s="32" t="str">
        <f>"－"</f>
        <v>－</v>
      </c>
      <c r="X66" s="36" t="n">
        <f>4</f>
        <v>4.0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17400</f>
        <v>17400.0</v>
      </c>
      <c r="L67" s="34" t="s">
        <v>48</v>
      </c>
      <c r="M67" s="33" t="n">
        <f>17500</f>
        <v>17500.0</v>
      </c>
      <c r="N67" s="34" t="s">
        <v>174</v>
      </c>
      <c r="O67" s="33" t="n">
        <f>16610</f>
        <v>16610.0</v>
      </c>
      <c r="P67" s="34" t="s">
        <v>90</v>
      </c>
      <c r="Q67" s="33" t="n">
        <f>16805</f>
        <v>16805.0</v>
      </c>
      <c r="R67" s="34" t="s">
        <v>50</v>
      </c>
      <c r="S67" s="35" t="n">
        <f>16982.37</f>
        <v>16982.37</v>
      </c>
      <c r="T67" s="32" t="n">
        <f>445</f>
        <v>445.0</v>
      </c>
      <c r="U67" s="32" t="str">
        <f>"－"</f>
        <v>－</v>
      </c>
      <c r="V67" s="32" t="n">
        <f>7600885</f>
        <v>7600885.0</v>
      </c>
      <c r="W67" s="32" t="str">
        <f>"－"</f>
        <v>－</v>
      </c>
      <c r="X67" s="36" t="n">
        <f>19</f>
        <v>19.0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16900</f>
        <v>16900.0</v>
      </c>
      <c r="L68" s="34" t="s">
        <v>48</v>
      </c>
      <c r="M68" s="33" t="n">
        <f>16900</f>
        <v>16900.0</v>
      </c>
      <c r="N68" s="34" t="s">
        <v>48</v>
      </c>
      <c r="O68" s="33" t="n">
        <f>15600</f>
        <v>15600.0</v>
      </c>
      <c r="P68" s="34" t="s">
        <v>49</v>
      </c>
      <c r="Q68" s="33" t="n">
        <f>16165</f>
        <v>16165.0</v>
      </c>
      <c r="R68" s="34" t="s">
        <v>50</v>
      </c>
      <c r="S68" s="35" t="n">
        <f>16238.81</f>
        <v>16238.81</v>
      </c>
      <c r="T68" s="32" t="n">
        <f>1786</f>
        <v>1786.0</v>
      </c>
      <c r="U68" s="32" t="str">
        <f>"－"</f>
        <v>－</v>
      </c>
      <c r="V68" s="32" t="n">
        <f>28977340</f>
        <v>2.897734E7</v>
      </c>
      <c r="W68" s="32" t="str">
        <f>"－"</f>
        <v>－</v>
      </c>
      <c r="X68" s="36" t="n">
        <f>21</f>
        <v>21.0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26995</f>
        <v>26995.0</v>
      </c>
      <c r="L69" s="34" t="s">
        <v>48</v>
      </c>
      <c r="M69" s="33" t="n">
        <f>27365</f>
        <v>27365.0</v>
      </c>
      <c r="N69" s="34" t="s">
        <v>48</v>
      </c>
      <c r="O69" s="33" t="n">
        <f>25190</f>
        <v>25190.0</v>
      </c>
      <c r="P69" s="34" t="s">
        <v>49</v>
      </c>
      <c r="Q69" s="33" t="n">
        <f>26235</f>
        <v>26235.0</v>
      </c>
      <c r="R69" s="34" t="s">
        <v>50</v>
      </c>
      <c r="S69" s="35" t="n">
        <f>26053.1</f>
        <v>26053.1</v>
      </c>
      <c r="T69" s="32" t="n">
        <f>60245</f>
        <v>60245.0</v>
      </c>
      <c r="U69" s="32" t="n">
        <f>20132</f>
        <v>20132.0</v>
      </c>
      <c r="V69" s="32" t="n">
        <f>1587109553</f>
        <v>1.587109553E9</v>
      </c>
      <c r="W69" s="32" t="n">
        <f>534254758</f>
        <v>5.34254758E8</v>
      </c>
      <c r="X69" s="36" t="n">
        <f>21</f>
        <v>21.0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10.0</v>
      </c>
      <c r="K70" s="33" t="n">
        <f>10445</f>
        <v>10445.0</v>
      </c>
      <c r="L70" s="34" t="s">
        <v>48</v>
      </c>
      <c r="M70" s="33" t="n">
        <f>10590</f>
        <v>10590.0</v>
      </c>
      <c r="N70" s="34" t="s">
        <v>174</v>
      </c>
      <c r="O70" s="33" t="n">
        <f>9310</f>
        <v>9310.0</v>
      </c>
      <c r="P70" s="34" t="s">
        <v>49</v>
      </c>
      <c r="Q70" s="33" t="n">
        <f>9400</f>
        <v>9400.0</v>
      </c>
      <c r="R70" s="34" t="s">
        <v>50</v>
      </c>
      <c r="S70" s="35" t="n">
        <f>9863.52</f>
        <v>9863.52</v>
      </c>
      <c r="T70" s="32" t="n">
        <f>33700</f>
        <v>33700.0</v>
      </c>
      <c r="U70" s="32" t="n">
        <f>10</f>
        <v>10.0</v>
      </c>
      <c r="V70" s="32" t="n">
        <f>329957270</f>
        <v>3.2995727E8</v>
      </c>
      <c r="W70" s="32" t="n">
        <f>88500</f>
        <v>88500.0</v>
      </c>
      <c r="X70" s="36" t="n">
        <f>21</f>
        <v>21.0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1824</f>
        <v>1824.0</v>
      </c>
      <c r="L71" s="34" t="s">
        <v>48</v>
      </c>
      <c r="M71" s="33" t="n">
        <f>1826</f>
        <v>1826.0</v>
      </c>
      <c r="N71" s="34" t="s">
        <v>48</v>
      </c>
      <c r="O71" s="33" t="n">
        <f>1733</f>
        <v>1733.0</v>
      </c>
      <c r="P71" s="34" t="s">
        <v>60</v>
      </c>
      <c r="Q71" s="33" t="n">
        <f>1751</f>
        <v>1751.0</v>
      </c>
      <c r="R71" s="34" t="s">
        <v>50</v>
      </c>
      <c r="S71" s="35" t="n">
        <f>1774.24</f>
        <v>1774.24</v>
      </c>
      <c r="T71" s="32" t="n">
        <f>1738960</f>
        <v>1738960.0</v>
      </c>
      <c r="U71" s="32" t="n">
        <f>1087940</f>
        <v>1087940.0</v>
      </c>
      <c r="V71" s="32" t="n">
        <f>3104153392</f>
        <v>3.104153392E9</v>
      </c>
      <c r="W71" s="32" t="n">
        <f>1952771148</f>
        <v>1.952771148E9</v>
      </c>
      <c r="X71" s="36" t="n">
        <f>21</f>
        <v>21.0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1859</f>
        <v>1859.0</v>
      </c>
      <c r="L72" s="34" t="s">
        <v>48</v>
      </c>
      <c r="M72" s="33" t="n">
        <f>1861</f>
        <v>1861.0</v>
      </c>
      <c r="N72" s="34" t="s">
        <v>48</v>
      </c>
      <c r="O72" s="33" t="n">
        <f>1781</f>
        <v>1781.0</v>
      </c>
      <c r="P72" s="34" t="s">
        <v>60</v>
      </c>
      <c r="Q72" s="33" t="n">
        <f>1790</f>
        <v>1790.0</v>
      </c>
      <c r="R72" s="34" t="s">
        <v>50</v>
      </c>
      <c r="S72" s="35" t="n">
        <f>1811.52</f>
        <v>1811.52</v>
      </c>
      <c r="T72" s="32" t="n">
        <f>696524</f>
        <v>696524.0</v>
      </c>
      <c r="U72" s="32" t="str">
        <f>"－"</f>
        <v>－</v>
      </c>
      <c r="V72" s="32" t="n">
        <f>1264372850</f>
        <v>1.26437285E9</v>
      </c>
      <c r="W72" s="32" t="str">
        <f>"－"</f>
        <v>－</v>
      </c>
      <c r="X72" s="36" t="n">
        <f>21</f>
        <v>21.0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18370</f>
        <v>18370.0</v>
      </c>
      <c r="L73" s="34" t="s">
        <v>48</v>
      </c>
      <c r="M73" s="33" t="n">
        <f>18445</f>
        <v>18445.0</v>
      </c>
      <c r="N73" s="34" t="s">
        <v>64</v>
      </c>
      <c r="O73" s="33" t="n">
        <f>17330</f>
        <v>17330.0</v>
      </c>
      <c r="P73" s="34" t="s">
        <v>49</v>
      </c>
      <c r="Q73" s="33" t="n">
        <f>17595</f>
        <v>17595.0</v>
      </c>
      <c r="R73" s="34" t="s">
        <v>50</v>
      </c>
      <c r="S73" s="35" t="n">
        <f>17851.67</f>
        <v>17851.67</v>
      </c>
      <c r="T73" s="32" t="n">
        <f>18175</f>
        <v>18175.0</v>
      </c>
      <c r="U73" s="32" t="n">
        <f>6502</f>
        <v>6502.0</v>
      </c>
      <c r="V73" s="32" t="n">
        <f>321315420</f>
        <v>3.2131542E8</v>
      </c>
      <c r="W73" s="32" t="n">
        <f>114010800</f>
        <v>1.140108E8</v>
      </c>
      <c r="X73" s="36" t="n">
        <f>21</f>
        <v>21.0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9461</f>
        <v>9461.0</v>
      </c>
      <c r="L74" s="34" t="s">
        <v>48</v>
      </c>
      <c r="M74" s="33" t="n">
        <f>9659</f>
        <v>9659.0</v>
      </c>
      <c r="N74" s="34" t="s">
        <v>266</v>
      </c>
      <c r="O74" s="33" t="n">
        <f>9200</f>
        <v>9200.0</v>
      </c>
      <c r="P74" s="34" t="s">
        <v>91</v>
      </c>
      <c r="Q74" s="33" t="n">
        <f>9301</f>
        <v>9301.0</v>
      </c>
      <c r="R74" s="34" t="s">
        <v>50</v>
      </c>
      <c r="S74" s="35" t="n">
        <f>9408.57</f>
        <v>9408.57</v>
      </c>
      <c r="T74" s="32" t="n">
        <f>3694</f>
        <v>3694.0</v>
      </c>
      <c r="U74" s="32" t="str">
        <f>"－"</f>
        <v>－</v>
      </c>
      <c r="V74" s="32" t="n">
        <f>34606181</f>
        <v>3.4606181E7</v>
      </c>
      <c r="W74" s="32" t="str">
        <f>"－"</f>
        <v>－</v>
      </c>
      <c r="X74" s="36" t="n">
        <f>21</f>
        <v>21.0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8414</f>
        <v>8414.0</v>
      </c>
      <c r="L75" s="34" t="s">
        <v>48</v>
      </c>
      <c r="M75" s="33" t="n">
        <f>9148</f>
        <v>9148.0</v>
      </c>
      <c r="N75" s="34" t="s">
        <v>90</v>
      </c>
      <c r="O75" s="33" t="n">
        <f>8240</f>
        <v>8240.0</v>
      </c>
      <c r="P75" s="34" t="s">
        <v>91</v>
      </c>
      <c r="Q75" s="33" t="n">
        <f>9103</f>
        <v>9103.0</v>
      </c>
      <c r="R75" s="34" t="s">
        <v>50</v>
      </c>
      <c r="S75" s="35" t="n">
        <f>8716.95</f>
        <v>8716.95</v>
      </c>
      <c r="T75" s="32" t="n">
        <f>3299613</f>
        <v>3299613.0</v>
      </c>
      <c r="U75" s="32" t="n">
        <f>117615</f>
        <v>117615.0</v>
      </c>
      <c r="V75" s="32" t="n">
        <f>28822041002</f>
        <v>2.8822041002E10</v>
      </c>
      <c r="W75" s="32" t="n">
        <f>1037690355</f>
        <v>1.037690355E9</v>
      </c>
      <c r="X75" s="36" t="n">
        <f>21</f>
        <v>21.0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4065</f>
        <v>4065.0</v>
      </c>
      <c r="L76" s="34" t="s">
        <v>48</v>
      </c>
      <c r="M76" s="33" t="n">
        <f>4105</f>
        <v>4105.0</v>
      </c>
      <c r="N76" s="34" t="s">
        <v>50</v>
      </c>
      <c r="O76" s="33" t="n">
        <f>3825</f>
        <v>3825.0</v>
      </c>
      <c r="P76" s="34" t="s">
        <v>91</v>
      </c>
      <c r="Q76" s="33" t="n">
        <f>4095</f>
        <v>4095.0</v>
      </c>
      <c r="R76" s="34" t="s">
        <v>50</v>
      </c>
      <c r="S76" s="35" t="n">
        <f>3967.86</f>
        <v>3967.86</v>
      </c>
      <c r="T76" s="32" t="n">
        <f>767382</f>
        <v>767382.0</v>
      </c>
      <c r="U76" s="32" t="n">
        <f>3</f>
        <v>3.0</v>
      </c>
      <c r="V76" s="32" t="n">
        <f>3043914610</f>
        <v>3.04391461E9</v>
      </c>
      <c r="W76" s="32" t="n">
        <f>12010</f>
        <v>12010.0</v>
      </c>
      <c r="X76" s="36" t="n">
        <f>21</f>
        <v>21.0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9682</f>
        <v>9682.0</v>
      </c>
      <c r="L77" s="34" t="s">
        <v>48</v>
      </c>
      <c r="M77" s="33" t="n">
        <f>10060</f>
        <v>10060.0</v>
      </c>
      <c r="N77" s="34" t="s">
        <v>276</v>
      </c>
      <c r="O77" s="33" t="n">
        <f>9125</f>
        <v>9125.0</v>
      </c>
      <c r="P77" s="34" t="s">
        <v>174</v>
      </c>
      <c r="Q77" s="33" t="n">
        <f>9997</f>
        <v>9997.0</v>
      </c>
      <c r="R77" s="34" t="s">
        <v>50</v>
      </c>
      <c r="S77" s="35" t="n">
        <f>9693.33</f>
        <v>9693.33</v>
      </c>
      <c r="T77" s="32" t="n">
        <f>180856</f>
        <v>180856.0</v>
      </c>
      <c r="U77" s="32" t="n">
        <f>124</f>
        <v>124.0</v>
      </c>
      <c r="V77" s="32" t="n">
        <f>1735576942</f>
        <v>1.735576942E9</v>
      </c>
      <c r="W77" s="32" t="n">
        <f>1198737</f>
        <v>1198737.0</v>
      </c>
      <c r="X77" s="36" t="n">
        <f>21</f>
        <v>21.0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55060</f>
        <v>55060.0</v>
      </c>
      <c r="L78" s="34" t="s">
        <v>48</v>
      </c>
      <c r="M78" s="33" t="n">
        <f>55380</f>
        <v>55380.0</v>
      </c>
      <c r="N78" s="34" t="s">
        <v>68</v>
      </c>
      <c r="O78" s="33" t="n">
        <f>49020</f>
        <v>49020.0</v>
      </c>
      <c r="P78" s="34" t="s">
        <v>276</v>
      </c>
      <c r="Q78" s="33" t="n">
        <f>51020</f>
        <v>51020.0</v>
      </c>
      <c r="R78" s="34" t="s">
        <v>50</v>
      </c>
      <c r="S78" s="35" t="n">
        <f>51459.05</f>
        <v>51459.05</v>
      </c>
      <c r="T78" s="32" t="n">
        <f>12935</f>
        <v>12935.0</v>
      </c>
      <c r="U78" s="32" t="n">
        <f>5</f>
        <v>5.0</v>
      </c>
      <c r="V78" s="32" t="n">
        <f>665447420</f>
        <v>6.6544742E8</v>
      </c>
      <c r="W78" s="32" t="n">
        <f>234120</f>
        <v>234120.0</v>
      </c>
      <c r="X78" s="36" t="n">
        <f>21</f>
        <v>21.0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22405</f>
        <v>22405.0</v>
      </c>
      <c r="L79" s="34" t="s">
        <v>48</v>
      </c>
      <c r="M79" s="33" t="n">
        <f>23100</f>
        <v>23100.0</v>
      </c>
      <c r="N79" s="34" t="s">
        <v>64</v>
      </c>
      <c r="O79" s="33" t="n">
        <f>21570</f>
        <v>21570.0</v>
      </c>
      <c r="P79" s="34" t="s">
        <v>90</v>
      </c>
      <c r="Q79" s="33" t="n">
        <f>21665</f>
        <v>21665.0</v>
      </c>
      <c r="R79" s="34" t="s">
        <v>50</v>
      </c>
      <c r="S79" s="35" t="n">
        <f>22357.86</f>
        <v>22357.86</v>
      </c>
      <c r="T79" s="32" t="n">
        <f>994326</f>
        <v>994326.0</v>
      </c>
      <c r="U79" s="32" t="n">
        <f>17502</f>
        <v>17502.0</v>
      </c>
      <c r="V79" s="32" t="n">
        <f>22196423300</f>
        <v>2.21964233E10</v>
      </c>
      <c r="W79" s="32" t="n">
        <f>391776575</f>
        <v>3.91776575E8</v>
      </c>
      <c r="X79" s="36" t="n">
        <f>21</f>
        <v>21.0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48900</f>
        <v>48900.0</v>
      </c>
      <c r="L80" s="34" t="s">
        <v>48</v>
      </c>
      <c r="M80" s="33" t="n">
        <f>49430</f>
        <v>49430.0</v>
      </c>
      <c r="N80" s="34" t="s">
        <v>286</v>
      </c>
      <c r="O80" s="33" t="n">
        <f>47220</f>
        <v>47220.0</v>
      </c>
      <c r="P80" s="34" t="s">
        <v>90</v>
      </c>
      <c r="Q80" s="33" t="n">
        <f>48000</f>
        <v>48000.0</v>
      </c>
      <c r="R80" s="34" t="s">
        <v>50</v>
      </c>
      <c r="S80" s="35" t="n">
        <f>48469.05</f>
        <v>48469.05</v>
      </c>
      <c r="T80" s="32" t="n">
        <f>70368</f>
        <v>70368.0</v>
      </c>
      <c r="U80" s="32" t="n">
        <f>2100</f>
        <v>2100.0</v>
      </c>
      <c r="V80" s="32" t="n">
        <f>3411472232</f>
        <v>3.411472232E9</v>
      </c>
      <c r="W80" s="32" t="n">
        <f>102012132</f>
        <v>1.02012132E8</v>
      </c>
      <c r="X80" s="36" t="n">
        <f>21</f>
        <v>21.0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7044</f>
        <v>7044.0</v>
      </c>
      <c r="L81" s="34" t="s">
        <v>48</v>
      </c>
      <c r="M81" s="33" t="n">
        <f>7168</f>
        <v>7168.0</v>
      </c>
      <c r="N81" s="34" t="s">
        <v>64</v>
      </c>
      <c r="O81" s="33" t="n">
        <f>6758</f>
        <v>6758.0</v>
      </c>
      <c r="P81" s="34" t="s">
        <v>90</v>
      </c>
      <c r="Q81" s="33" t="n">
        <f>6822</f>
        <v>6822.0</v>
      </c>
      <c r="R81" s="34" t="s">
        <v>50</v>
      </c>
      <c r="S81" s="35" t="n">
        <f>6989.43</f>
        <v>6989.43</v>
      </c>
      <c r="T81" s="32" t="n">
        <f>1373280</f>
        <v>1373280.0</v>
      </c>
      <c r="U81" s="32" t="n">
        <f>143740</f>
        <v>143740.0</v>
      </c>
      <c r="V81" s="32" t="n">
        <f>9581243112</f>
        <v>9.581243112E9</v>
      </c>
      <c r="W81" s="32" t="n">
        <f>1023916302</f>
        <v>1.023916302E9</v>
      </c>
      <c r="X81" s="36" t="n">
        <f>21</f>
        <v>21.0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4441</f>
        <v>4441.0</v>
      </c>
      <c r="L82" s="34" t="s">
        <v>48</v>
      </c>
      <c r="M82" s="33" t="n">
        <f>4515</f>
        <v>4515.0</v>
      </c>
      <c r="N82" s="34" t="s">
        <v>64</v>
      </c>
      <c r="O82" s="33" t="n">
        <f>4258</f>
        <v>4258.0</v>
      </c>
      <c r="P82" s="34" t="s">
        <v>90</v>
      </c>
      <c r="Q82" s="33" t="n">
        <f>4284</f>
        <v>4284.0</v>
      </c>
      <c r="R82" s="34" t="s">
        <v>50</v>
      </c>
      <c r="S82" s="35" t="n">
        <f>4396.57</f>
        <v>4396.57</v>
      </c>
      <c r="T82" s="32" t="n">
        <f>78470</f>
        <v>78470.0</v>
      </c>
      <c r="U82" s="32" t="str">
        <f>"－"</f>
        <v>－</v>
      </c>
      <c r="V82" s="32" t="n">
        <f>345046980</f>
        <v>3.4504698E8</v>
      </c>
      <c r="W82" s="32" t="str">
        <f>"－"</f>
        <v>－</v>
      </c>
      <c r="X82" s="36" t="n">
        <f>21</f>
        <v>21.0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4570</f>
        <v>4570.0</v>
      </c>
      <c r="L83" s="34" t="s">
        <v>48</v>
      </c>
      <c r="M83" s="33" t="n">
        <f>4628</f>
        <v>4628.0</v>
      </c>
      <c r="N83" s="34" t="s">
        <v>48</v>
      </c>
      <c r="O83" s="33" t="n">
        <f>4294</f>
        <v>4294.0</v>
      </c>
      <c r="P83" s="34" t="s">
        <v>68</v>
      </c>
      <c r="Q83" s="33" t="n">
        <f>4374</f>
        <v>4374.0</v>
      </c>
      <c r="R83" s="34" t="s">
        <v>50</v>
      </c>
      <c r="S83" s="35" t="n">
        <f>4387.55</f>
        <v>4387.55</v>
      </c>
      <c r="T83" s="32" t="n">
        <f>1710</f>
        <v>1710.0</v>
      </c>
      <c r="U83" s="32" t="str">
        <f>"－"</f>
        <v>－</v>
      </c>
      <c r="V83" s="32" t="n">
        <f>7526000</f>
        <v>7526000.0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 t="s">
        <v>299</v>
      </c>
      <c r="I84" s="31" t="s">
        <v>47</v>
      </c>
      <c r="J84" s="32" t="n">
        <v>1.0</v>
      </c>
      <c r="K84" s="33" t="n">
        <f>669</f>
        <v>669.0</v>
      </c>
      <c r="L84" s="34" t="s">
        <v>48</v>
      </c>
      <c r="M84" s="33" t="n">
        <f>796</f>
        <v>796.0</v>
      </c>
      <c r="N84" s="34" t="s">
        <v>175</v>
      </c>
      <c r="O84" s="33" t="n">
        <f>643</f>
        <v>643.0</v>
      </c>
      <c r="P84" s="34" t="s">
        <v>64</v>
      </c>
      <c r="Q84" s="33" t="n">
        <f>751</f>
        <v>751.0</v>
      </c>
      <c r="R84" s="34" t="s">
        <v>50</v>
      </c>
      <c r="S84" s="35" t="n">
        <f>726</f>
        <v>726.0</v>
      </c>
      <c r="T84" s="32" t="n">
        <f>59764487</f>
        <v>5.9764487E7</v>
      </c>
      <c r="U84" s="32" t="n">
        <f>332769</f>
        <v>332769.0</v>
      </c>
      <c r="V84" s="32" t="n">
        <f>43898863892</f>
        <v>4.3898863892E10</v>
      </c>
      <c r="W84" s="32" t="n">
        <f>242845241</f>
        <v>2.42845241E8</v>
      </c>
      <c r="X84" s="36" t="n">
        <f>21</f>
        <v>21.0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3720</f>
        <v>3720.0</v>
      </c>
      <c r="L85" s="34" t="s">
        <v>48</v>
      </c>
      <c r="M85" s="33" t="n">
        <f>3775</f>
        <v>3775.0</v>
      </c>
      <c r="N85" s="34" t="s">
        <v>64</v>
      </c>
      <c r="O85" s="33" t="n">
        <f>3557</f>
        <v>3557.0</v>
      </c>
      <c r="P85" s="34" t="s">
        <v>90</v>
      </c>
      <c r="Q85" s="33" t="n">
        <f>3591</f>
        <v>3591.0</v>
      </c>
      <c r="R85" s="34" t="s">
        <v>50</v>
      </c>
      <c r="S85" s="35" t="n">
        <f>3674.57</f>
        <v>3674.57</v>
      </c>
      <c r="T85" s="32" t="n">
        <f>54760</f>
        <v>54760.0</v>
      </c>
      <c r="U85" s="32" t="str">
        <f>"－"</f>
        <v>－</v>
      </c>
      <c r="V85" s="32" t="n">
        <f>200333100</f>
        <v>2.003331E8</v>
      </c>
      <c r="W85" s="32" t="str">
        <f>"－"</f>
        <v>－</v>
      </c>
      <c r="X85" s="36" t="n">
        <f>21</f>
        <v>21.0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1700</f>
        <v>1700.0</v>
      </c>
      <c r="L86" s="34" t="s">
        <v>48</v>
      </c>
      <c r="M86" s="33" t="n">
        <f>1707</f>
        <v>1707.0</v>
      </c>
      <c r="N86" s="34" t="s">
        <v>64</v>
      </c>
      <c r="O86" s="33" t="n">
        <f>1533</f>
        <v>1533.0</v>
      </c>
      <c r="P86" s="34" t="s">
        <v>90</v>
      </c>
      <c r="Q86" s="33" t="n">
        <f>1564</f>
        <v>1564.0</v>
      </c>
      <c r="R86" s="34" t="s">
        <v>50</v>
      </c>
      <c r="S86" s="35" t="n">
        <f>1628.62</f>
        <v>1628.62</v>
      </c>
      <c r="T86" s="32" t="n">
        <f>215810</f>
        <v>215810.0</v>
      </c>
      <c r="U86" s="32" t="n">
        <f>70</f>
        <v>70.0</v>
      </c>
      <c r="V86" s="32" t="n">
        <f>348587380</f>
        <v>3.4858738E8</v>
      </c>
      <c r="W86" s="32" t="n">
        <f>101570</f>
        <v>101570.0</v>
      </c>
      <c r="X86" s="36" t="n">
        <f>21</f>
        <v>21.0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64210</f>
        <v>64210.0</v>
      </c>
      <c r="L87" s="34" t="s">
        <v>48</v>
      </c>
      <c r="M87" s="33" t="n">
        <f>65330</f>
        <v>65330.0</v>
      </c>
      <c r="N87" s="34" t="s">
        <v>64</v>
      </c>
      <c r="O87" s="33" t="n">
        <f>61630</f>
        <v>61630.0</v>
      </c>
      <c r="P87" s="34" t="s">
        <v>90</v>
      </c>
      <c r="Q87" s="33" t="n">
        <f>62210</f>
        <v>62210.0</v>
      </c>
      <c r="R87" s="34" t="s">
        <v>50</v>
      </c>
      <c r="S87" s="35" t="n">
        <f>63719.05</f>
        <v>63719.05</v>
      </c>
      <c r="T87" s="32" t="n">
        <f>76237</f>
        <v>76237.0</v>
      </c>
      <c r="U87" s="32" t="str">
        <f>"－"</f>
        <v>－</v>
      </c>
      <c r="V87" s="32" t="n">
        <f>4848144060</f>
        <v>4.84814406E9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3365</f>
        <v>3365.0</v>
      </c>
      <c r="L88" s="34" t="s">
        <v>48</v>
      </c>
      <c r="M88" s="33" t="n">
        <f>3400</f>
        <v>3400.0</v>
      </c>
      <c r="N88" s="34" t="s">
        <v>48</v>
      </c>
      <c r="O88" s="33" t="n">
        <f>3240</f>
        <v>3240.0</v>
      </c>
      <c r="P88" s="34" t="s">
        <v>50</v>
      </c>
      <c r="Q88" s="33" t="n">
        <f>3295</f>
        <v>3295.0</v>
      </c>
      <c r="R88" s="34" t="s">
        <v>50</v>
      </c>
      <c r="S88" s="35" t="n">
        <f>3315.48</f>
        <v>3315.48</v>
      </c>
      <c r="T88" s="32" t="n">
        <f>8624</f>
        <v>8624.0</v>
      </c>
      <c r="U88" s="32" t="str">
        <f>"－"</f>
        <v>－</v>
      </c>
      <c r="V88" s="32" t="n">
        <f>28559615</f>
        <v>2.8559615E7</v>
      </c>
      <c r="W88" s="32" t="str">
        <f>"－"</f>
        <v>－</v>
      </c>
      <c r="X88" s="36" t="n">
        <f>21</f>
        <v>21.0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4420</f>
        <v>4420.0</v>
      </c>
      <c r="L89" s="34" t="s">
        <v>48</v>
      </c>
      <c r="M89" s="33" t="n">
        <f>4440</f>
        <v>4440.0</v>
      </c>
      <c r="N89" s="34" t="s">
        <v>48</v>
      </c>
      <c r="O89" s="33" t="n">
        <f>4310</f>
        <v>4310.0</v>
      </c>
      <c r="P89" s="34" t="s">
        <v>175</v>
      </c>
      <c r="Q89" s="33" t="n">
        <f>4385</f>
        <v>4385.0</v>
      </c>
      <c r="R89" s="34" t="s">
        <v>50</v>
      </c>
      <c r="S89" s="35" t="n">
        <f>4395.48</f>
        <v>4395.48</v>
      </c>
      <c r="T89" s="32" t="n">
        <f>2298</f>
        <v>2298.0</v>
      </c>
      <c r="U89" s="32" t="str">
        <f>"－"</f>
        <v>－</v>
      </c>
      <c r="V89" s="32" t="n">
        <f>10063140</f>
        <v>1.006314E7</v>
      </c>
      <c r="W89" s="32" t="str">
        <f>"－"</f>
        <v>－</v>
      </c>
      <c r="X89" s="36" t="n">
        <f>21</f>
        <v>21.0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2593</f>
        <v>2593.0</v>
      </c>
      <c r="L90" s="34" t="s">
        <v>48</v>
      </c>
      <c r="M90" s="33" t="n">
        <f>2599</f>
        <v>2599.0</v>
      </c>
      <c r="N90" s="34" t="s">
        <v>48</v>
      </c>
      <c r="O90" s="33" t="n">
        <f>2078</f>
        <v>2078.0</v>
      </c>
      <c r="P90" s="34" t="s">
        <v>49</v>
      </c>
      <c r="Q90" s="33" t="n">
        <f>2226</f>
        <v>2226.0</v>
      </c>
      <c r="R90" s="34" t="s">
        <v>50</v>
      </c>
      <c r="S90" s="35" t="n">
        <f>2320.95</f>
        <v>2320.95</v>
      </c>
      <c r="T90" s="32" t="n">
        <f>2898280</f>
        <v>2898280.0</v>
      </c>
      <c r="U90" s="32" t="n">
        <f>94052</f>
        <v>94052.0</v>
      </c>
      <c r="V90" s="32" t="n">
        <f>6507642266</f>
        <v>6.507642266E9</v>
      </c>
      <c r="W90" s="32" t="n">
        <f>211880089</f>
        <v>2.11880089E8</v>
      </c>
      <c r="X90" s="36" t="n">
        <f>21</f>
        <v>21.0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46950</f>
        <v>46950.0</v>
      </c>
      <c r="L91" s="34" t="s">
        <v>48</v>
      </c>
      <c r="M91" s="33" t="n">
        <f>46950</f>
        <v>46950.0</v>
      </c>
      <c r="N91" s="34" t="s">
        <v>48</v>
      </c>
      <c r="O91" s="33" t="n">
        <f>45760</f>
        <v>45760.0</v>
      </c>
      <c r="P91" s="34" t="s">
        <v>91</v>
      </c>
      <c r="Q91" s="33" t="n">
        <f>46560</f>
        <v>46560.0</v>
      </c>
      <c r="R91" s="34" t="s">
        <v>50</v>
      </c>
      <c r="S91" s="35" t="n">
        <f>46362.86</f>
        <v>46362.86</v>
      </c>
      <c r="T91" s="32" t="n">
        <f>7217</f>
        <v>7217.0</v>
      </c>
      <c r="U91" s="32" t="n">
        <f>646</f>
        <v>646.0</v>
      </c>
      <c r="V91" s="32" t="n">
        <f>334541505</f>
        <v>3.34541505E8</v>
      </c>
      <c r="W91" s="32" t="n">
        <f>29948875</f>
        <v>2.9948875E7</v>
      </c>
      <c r="X91" s="36" t="n">
        <f>21</f>
        <v>21.0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10.0</v>
      </c>
      <c r="K92" s="33" t="n">
        <f>35790</f>
        <v>35790.0</v>
      </c>
      <c r="L92" s="34" t="s">
        <v>48</v>
      </c>
      <c r="M92" s="33" t="n">
        <f>36400</f>
        <v>36400.0</v>
      </c>
      <c r="N92" s="34" t="s">
        <v>48</v>
      </c>
      <c r="O92" s="33" t="n">
        <f>31500</f>
        <v>31500.0</v>
      </c>
      <c r="P92" s="34" t="s">
        <v>49</v>
      </c>
      <c r="Q92" s="33" t="n">
        <f>33170</f>
        <v>33170.0</v>
      </c>
      <c r="R92" s="34" t="s">
        <v>50</v>
      </c>
      <c r="S92" s="35" t="n">
        <f>33712.86</f>
        <v>33712.86</v>
      </c>
      <c r="T92" s="32" t="n">
        <f>1450750</f>
        <v>1450750.0</v>
      </c>
      <c r="U92" s="32" t="n">
        <f>430</f>
        <v>430.0</v>
      </c>
      <c r="V92" s="32" t="n">
        <f>48740954000</f>
        <v>4.8740954E10</v>
      </c>
      <c r="W92" s="32" t="n">
        <f>14183200</f>
        <v>1.41832E7</v>
      </c>
      <c r="X92" s="36" t="n">
        <f>21</f>
        <v>21.0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1606</f>
        <v>1606.0</v>
      </c>
      <c r="L93" s="34" t="s">
        <v>48</v>
      </c>
      <c r="M93" s="33" t="n">
        <f>1701</f>
        <v>1701.0</v>
      </c>
      <c r="N93" s="34" t="s">
        <v>49</v>
      </c>
      <c r="O93" s="33" t="n">
        <f>1592</f>
        <v>1592.0</v>
      </c>
      <c r="P93" s="34" t="s">
        <v>48</v>
      </c>
      <c r="Q93" s="33" t="n">
        <f>1656</f>
        <v>1656.0</v>
      </c>
      <c r="R93" s="34" t="s">
        <v>50</v>
      </c>
      <c r="S93" s="35" t="n">
        <f>1647.83</f>
        <v>1647.83</v>
      </c>
      <c r="T93" s="32" t="n">
        <f>900770</f>
        <v>900770.0</v>
      </c>
      <c r="U93" s="32" t="str">
        <f>"－"</f>
        <v>－</v>
      </c>
      <c r="V93" s="32" t="n">
        <f>1482859185</f>
        <v>1.482859185E9</v>
      </c>
      <c r="W93" s="32" t="str">
        <f>"－"</f>
        <v>－</v>
      </c>
      <c r="X93" s="36" t="n">
        <f>21</f>
        <v>21.0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19600</f>
        <v>19600.0</v>
      </c>
      <c r="L94" s="34" t="s">
        <v>48</v>
      </c>
      <c r="M94" s="33" t="n">
        <f>20045</f>
        <v>20045.0</v>
      </c>
      <c r="N94" s="34" t="s">
        <v>72</v>
      </c>
      <c r="O94" s="33" t="n">
        <f>17630</f>
        <v>17630.0</v>
      </c>
      <c r="P94" s="34" t="s">
        <v>90</v>
      </c>
      <c r="Q94" s="33" t="n">
        <f>18030</f>
        <v>18030.0</v>
      </c>
      <c r="R94" s="34" t="s">
        <v>50</v>
      </c>
      <c r="S94" s="35" t="n">
        <f>18669.29</f>
        <v>18669.29</v>
      </c>
      <c r="T94" s="32" t="n">
        <f>137489123</f>
        <v>1.37489123E8</v>
      </c>
      <c r="U94" s="32" t="n">
        <f>83396</f>
        <v>83396.0</v>
      </c>
      <c r="V94" s="32" t="n">
        <f>2563024732149</f>
        <v>2.563024732149E12</v>
      </c>
      <c r="W94" s="32" t="n">
        <f>1561309339</f>
        <v>1.561309339E9</v>
      </c>
      <c r="X94" s="36" t="n">
        <f>21</f>
        <v>21.0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784</f>
        <v>784.0</v>
      </c>
      <c r="L95" s="34" t="s">
        <v>48</v>
      </c>
      <c r="M95" s="33" t="n">
        <f>825</f>
        <v>825.0</v>
      </c>
      <c r="N95" s="34" t="s">
        <v>73</v>
      </c>
      <c r="O95" s="33" t="n">
        <f>772</f>
        <v>772.0</v>
      </c>
      <c r="P95" s="34" t="s">
        <v>64</v>
      </c>
      <c r="Q95" s="33" t="n">
        <f>811</f>
        <v>811.0</v>
      </c>
      <c r="R95" s="34" t="s">
        <v>50</v>
      </c>
      <c r="S95" s="35" t="n">
        <f>799.95</f>
        <v>799.95</v>
      </c>
      <c r="T95" s="32" t="n">
        <f>40293920</f>
        <v>4.029392E7</v>
      </c>
      <c r="U95" s="32" t="n">
        <f>1276601</f>
        <v>1276601.0</v>
      </c>
      <c r="V95" s="32" t="n">
        <f>32382383043</f>
        <v>3.2382383043E10</v>
      </c>
      <c r="W95" s="32" t="n">
        <f>1032916327</f>
        <v>1.032916327E9</v>
      </c>
      <c r="X95" s="36" t="n">
        <f>21</f>
        <v>21.0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4289</f>
        <v>4289.0</v>
      </c>
      <c r="L96" s="34" t="s">
        <v>48</v>
      </c>
      <c r="M96" s="33" t="n">
        <f>4446</f>
        <v>4446.0</v>
      </c>
      <c r="N96" s="34" t="s">
        <v>64</v>
      </c>
      <c r="O96" s="33" t="n">
        <f>3766</f>
        <v>3766.0</v>
      </c>
      <c r="P96" s="34" t="s">
        <v>49</v>
      </c>
      <c r="Q96" s="33" t="n">
        <f>3887</f>
        <v>3887.0</v>
      </c>
      <c r="R96" s="34" t="s">
        <v>50</v>
      </c>
      <c r="S96" s="35" t="n">
        <f>4036.76</f>
        <v>4036.76</v>
      </c>
      <c r="T96" s="32" t="n">
        <f>230430</f>
        <v>230430.0</v>
      </c>
      <c r="U96" s="32" t="str">
        <f>"－"</f>
        <v>－</v>
      </c>
      <c r="V96" s="32" t="n">
        <f>926810880</f>
        <v>9.2681088E8</v>
      </c>
      <c r="W96" s="32" t="str">
        <f>"－"</f>
        <v>－</v>
      </c>
      <c r="X96" s="36" t="n">
        <f>21</f>
        <v>21.0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12110</f>
        <v>12110.0</v>
      </c>
      <c r="L97" s="34" t="s">
        <v>48</v>
      </c>
      <c r="M97" s="33" t="n">
        <f>12880</f>
        <v>12880.0</v>
      </c>
      <c r="N97" s="34" t="s">
        <v>175</v>
      </c>
      <c r="O97" s="33" t="n">
        <f>11680</f>
        <v>11680.0</v>
      </c>
      <c r="P97" s="34" t="s">
        <v>64</v>
      </c>
      <c r="Q97" s="33" t="n">
        <f>12710</f>
        <v>12710.0</v>
      </c>
      <c r="R97" s="34" t="s">
        <v>50</v>
      </c>
      <c r="S97" s="35" t="n">
        <f>12448.1</f>
        <v>12448.1</v>
      </c>
      <c r="T97" s="32" t="n">
        <f>63240</f>
        <v>63240.0</v>
      </c>
      <c r="U97" s="32" t="str">
        <f>"－"</f>
        <v>－</v>
      </c>
      <c r="V97" s="32" t="n">
        <f>785281700</f>
        <v>7.852817E8</v>
      </c>
      <c r="W97" s="32" t="str">
        <f>"－"</f>
        <v>－</v>
      </c>
      <c r="X97" s="36" t="n">
        <f>21</f>
        <v>21.0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32810</f>
        <v>32810.0</v>
      </c>
      <c r="L98" s="34" t="s">
        <v>48</v>
      </c>
      <c r="M98" s="33" t="n">
        <f>32880</f>
        <v>32880.0</v>
      </c>
      <c r="N98" s="34" t="s">
        <v>48</v>
      </c>
      <c r="O98" s="33" t="n">
        <f>30330</f>
        <v>30330.0</v>
      </c>
      <c r="P98" s="34" t="s">
        <v>49</v>
      </c>
      <c r="Q98" s="33" t="n">
        <f>31280</f>
        <v>31280.0</v>
      </c>
      <c r="R98" s="34" t="s">
        <v>50</v>
      </c>
      <c r="S98" s="35" t="n">
        <f>31513.33</f>
        <v>31513.33</v>
      </c>
      <c r="T98" s="32" t="n">
        <f>231047</f>
        <v>231047.0</v>
      </c>
      <c r="U98" s="32" t="n">
        <f>102473</f>
        <v>102473.0</v>
      </c>
      <c r="V98" s="32" t="n">
        <f>7297682537</f>
        <v>7.297682537E9</v>
      </c>
      <c r="W98" s="32" t="n">
        <f>3234160527</f>
        <v>3.234160527E9</v>
      </c>
      <c r="X98" s="36" t="n">
        <f>21</f>
        <v>21.0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2574</f>
        <v>2574.0</v>
      </c>
      <c r="L99" s="34" t="s">
        <v>48</v>
      </c>
      <c r="M99" s="33" t="n">
        <f>2607</f>
        <v>2607.0</v>
      </c>
      <c r="N99" s="34" t="s">
        <v>72</v>
      </c>
      <c r="O99" s="33" t="n">
        <f>2445</f>
        <v>2445.0</v>
      </c>
      <c r="P99" s="34" t="s">
        <v>73</v>
      </c>
      <c r="Q99" s="33" t="n">
        <f>2474</f>
        <v>2474.0</v>
      </c>
      <c r="R99" s="34" t="s">
        <v>50</v>
      </c>
      <c r="S99" s="35" t="n">
        <f>2516.29</f>
        <v>2516.29</v>
      </c>
      <c r="T99" s="32" t="n">
        <f>671839</f>
        <v>671839.0</v>
      </c>
      <c r="U99" s="32" t="n">
        <f>494478</f>
        <v>494478.0</v>
      </c>
      <c r="V99" s="32" t="n">
        <f>1674045402</f>
        <v>1.674045402E9</v>
      </c>
      <c r="W99" s="32" t="n">
        <f>1227634263</f>
        <v>1.227634263E9</v>
      </c>
      <c r="X99" s="36" t="n">
        <f>21</f>
        <v>21.0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20930</f>
        <v>20930.0</v>
      </c>
      <c r="L100" s="34" t="s">
        <v>48</v>
      </c>
      <c r="M100" s="33" t="n">
        <f>21420</f>
        <v>21420.0</v>
      </c>
      <c r="N100" s="34" t="s">
        <v>72</v>
      </c>
      <c r="O100" s="33" t="n">
        <f>18835</f>
        <v>18835.0</v>
      </c>
      <c r="P100" s="34" t="s">
        <v>90</v>
      </c>
      <c r="Q100" s="33" t="n">
        <f>19240</f>
        <v>19240.0</v>
      </c>
      <c r="R100" s="34" t="s">
        <v>50</v>
      </c>
      <c r="S100" s="35" t="n">
        <f>19945.95</f>
        <v>19945.95</v>
      </c>
      <c r="T100" s="32" t="n">
        <f>10984680</f>
        <v>1.098468E7</v>
      </c>
      <c r="U100" s="32" t="n">
        <f>9130</f>
        <v>9130.0</v>
      </c>
      <c r="V100" s="32" t="n">
        <f>218843565525</f>
        <v>2.18843565525E11</v>
      </c>
      <c r="W100" s="32" t="n">
        <f>181783425</f>
        <v>1.81783425E8</v>
      </c>
      <c r="X100" s="36" t="n">
        <f>21</f>
        <v>21.0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2080.5</f>
        <v>2080.5</v>
      </c>
      <c r="L101" s="34" t="s">
        <v>48</v>
      </c>
      <c r="M101" s="33" t="n">
        <f>2189.5</f>
        <v>2189.5</v>
      </c>
      <c r="N101" s="34" t="s">
        <v>73</v>
      </c>
      <c r="O101" s="33" t="n">
        <f>2049</f>
        <v>2049.0</v>
      </c>
      <c r="P101" s="34" t="s">
        <v>72</v>
      </c>
      <c r="Q101" s="33" t="n">
        <f>2151.5</f>
        <v>2151.5</v>
      </c>
      <c r="R101" s="34" t="s">
        <v>50</v>
      </c>
      <c r="S101" s="35" t="n">
        <f>2123.26</f>
        <v>2123.26</v>
      </c>
      <c r="T101" s="32" t="n">
        <f>3197720</f>
        <v>3197720.0</v>
      </c>
      <c r="U101" s="32" t="n">
        <f>60000</f>
        <v>60000.0</v>
      </c>
      <c r="V101" s="32" t="n">
        <f>6799139725</f>
        <v>6.799139725E9</v>
      </c>
      <c r="W101" s="32" t="n">
        <f>125562000</f>
        <v>1.25562E8</v>
      </c>
      <c r="X101" s="36" t="n">
        <f>21</f>
        <v>21.0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1649.5</f>
        <v>1649.5</v>
      </c>
      <c r="L102" s="34" t="s">
        <v>48</v>
      </c>
      <c r="M102" s="33" t="n">
        <f>1655.5</f>
        <v>1655.5</v>
      </c>
      <c r="N102" s="34" t="s">
        <v>48</v>
      </c>
      <c r="O102" s="33" t="n">
        <f>1542</f>
        <v>1542.0</v>
      </c>
      <c r="P102" s="34" t="s">
        <v>49</v>
      </c>
      <c r="Q102" s="33" t="n">
        <f>1576</f>
        <v>1576.0</v>
      </c>
      <c r="R102" s="34" t="s">
        <v>50</v>
      </c>
      <c r="S102" s="35" t="n">
        <f>1595.21</f>
        <v>1595.21</v>
      </c>
      <c r="T102" s="32" t="n">
        <f>20570</f>
        <v>20570.0</v>
      </c>
      <c r="U102" s="32" t="n">
        <f>20</f>
        <v>20.0</v>
      </c>
      <c r="V102" s="32" t="n">
        <f>32847460</f>
        <v>3.284746E7</v>
      </c>
      <c r="W102" s="32" t="n">
        <f>32050</f>
        <v>32050.0</v>
      </c>
      <c r="X102" s="36" t="n">
        <f>21</f>
        <v>21.0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1895</f>
        <v>1895.0</v>
      </c>
      <c r="L103" s="34" t="s">
        <v>48</v>
      </c>
      <c r="M103" s="33" t="n">
        <f>1920</f>
        <v>1920.0</v>
      </c>
      <c r="N103" s="34" t="s">
        <v>48</v>
      </c>
      <c r="O103" s="33" t="n">
        <f>1751</f>
        <v>1751.0</v>
      </c>
      <c r="P103" s="34" t="s">
        <v>90</v>
      </c>
      <c r="Q103" s="33" t="n">
        <f>1835</f>
        <v>1835.0</v>
      </c>
      <c r="R103" s="34" t="s">
        <v>50</v>
      </c>
      <c r="S103" s="35" t="n">
        <f>1853.33</f>
        <v>1853.33</v>
      </c>
      <c r="T103" s="32" t="n">
        <f>5492</f>
        <v>5492.0</v>
      </c>
      <c r="U103" s="32" t="n">
        <f>3</f>
        <v>3.0</v>
      </c>
      <c r="V103" s="32" t="n">
        <f>10040368</f>
        <v>1.0040368E7</v>
      </c>
      <c r="W103" s="32" t="n">
        <f>5622</f>
        <v>5622.0</v>
      </c>
      <c r="X103" s="36" t="n">
        <f>21</f>
        <v>21.0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21335</f>
        <v>21335.0</v>
      </c>
      <c r="L104" s="34" t="s">
        <v>48</v>
      </c>
      <c r="M104" s="33" t="n">
        <f>21485</f>
        <v>21485.0</v>
      </c>
      <c r="N104" s="34" t="s">
        <v>48</v>
      </c>
      <c r="O104" s="33" t="n">
        <f>19855</f>
        <v>19855.0</v>
      </c>
      <c r="P104" s="34" t="s">
        <v>49</v>
      </c>
      <c r="Q104" s="33" t="n">
        <f>20255</f>
        <v>20255.0</v>
      </c>
      <c r="R104" s="34" t="s">
        <v>50</v>
      </c>
      <c r="S104" s="35" t="n">
        <f>20560.71</f>
        <v>20560.71</v>
      </c>
      <c r="T104" s="32" t="n">
        <f>43929</f>
        <v>43929.0</v>
      </c>
      <c r="U104" s="32" t="n">
        <f>12353</f>
        <v>12353.0</v>
      </c>
      <c r="V104" s="32" t="n">
        <f>902481410</f>
        <v>9.0248141E8</v>
      </c>
      <c r="W104" s="32" t="n">
        <f>253294220</f>
        <v>2.5329422E8</v>
      </c>
      <c r="X104" s="36" t="n">
        <f>21</f>
        <v>21.0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1945</f>
        <v>1945.0</v>
      </c>
      <c r="L105" s="34" t="s">
        <v>48</v>
      </c>
      <c r="M105" s="33" t="n">
        <f>1960</f>
        <v>1960.0</v>
      </c>
      <c r="N105" s="34" t="s">
        <v>48</v>
      </c>
      <c r="O105" s="33" t="n">
        <f>1830</f>
        <v>1830.0</v>
      </c>
      <c r="P105" s="34" t="s">
        <v>49</v>
      </c>
      <c r="Q105" s="33" t="n">
        <f>1869</f>
        <v>1869.0</v>
      </c>
      <c r="R105" s="34" t="s">
        <v>50</v>
      </c>
      <c r="S105" s="35" t="n">
        <f>1891.67</f>
        <v>1891.67</v>
      </c>
      <c r="T105" s="32" t="n">
        <f>208282</f>
        <v>208282.0</v>
      </c>
      <c r="U105" s="32" t="n">
        <f>145001</f>
        <v>145001.0</v>
      </c>
      <c r="V105" s="32" t="n">
        <f>392568840</f>
        <v>3.9256884E8</v>
      </c>
      <c r="W105" s="32" t="n">
        <f>272820029</f>
        <v>2.72820029E8</v>
      </c>
      <c r="X105" s="36" t="n">
        <f>21</f>
        <v>21.0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21700</f>
        <v>21700.0</v>
      </c>
      <c r="L106" s="34" t="s">
        <v>48</v>
      </c>
      <c r="M106" s="33" t="n">
        <f>21940</f>
        <v>21940.0</v>
      </c>
      <c r="N106" s="34" t="s">
        <v>48</v>
      </c>
      <c r="O106" s="33" t="n">
        <f>20455</f>
        <v>20455.0</v>
      </c>
      <c r="P106" s="34" t="s">
        <v>49</v>
      </c>
      <c r="Q106" s="33" t="n">
        <f>21035</f>
        <v>21035.0</v>
      </c>
      <c r="R106" s="34" t="s">
        <v>50</v>
      </c>
      <c r="S106" s="35" t="n">
        <f>21188.33</f>
        <v>21188.33</v>
      </c>
      <c r="T106" s="32" t="n">
        <f>48913</f>
        <v>48913.0</v>
      </c>
      <c r="U106" s="32" t="n">
        <f>19500</f>
        <v>19500.0</v>
      </c>
      <c r="V106" s="32" t="n">
        <f>1034706555</f>
        <v>1.034706555E9</v>
      </c>
      <c r="W106" s="32" t="n">
        <f>414234800</f>
        <v>4.142348E8</v>
      </c>
      <c r="X106" s="36" t="n">
        <f>21</f>
        <v>21.0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1910</f>
        <v>1910.0</v>
      </c>
      <c r="L107" s="34" t="s">
        <v>48</v>
      </c>
      <c r="M107" s="33" t="n">
        <f>1915</f>
        <v>1915.0</v>
      </c>
      <c r="N107" s="34" t="s">
        <v>48</v>
      </c>
      <c r="O107" s="33" t="n">
        <f>1828</f>
        <v>1828.0</v>
      </c>
      <c r="P107" s="34" t="s">
        <v>49</v>
      </c>
      <c r="Q107" s="33" t="n">
        <f>1848.5</f>
        <v>1848.5</v>
      </c>
      <c r="R107" s="34" t="s">
        <v>50</v>
      </c>
      <c r="S107" s="35" t="n">
        <f>1866.14</f>
        <v>1866.14</v>
      </c>
      <c r="T107" s="32" t="n">
        <f>1715470</f>
        <v>1715470.0</v>
      </c>
      <c r="U107" s="32" t="n">
        <f>636110</f>
        <v>636110.0</v>
      </c>
      <c r="V107" s="32" t="n">
        <f>3201923455</f>
        <v>3.201923455E9</v>
      </c>
      <c r="W107" s="32" t="n">
        <f>1182896055</f>
        <v>1.182896055E9</v>
      </c>
      <c r="X107" s="36" t="n">
        <f>21</f>
        <v>21.0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1936</f>
        <v>1936.0</v>
      </c>
      <c r="L108" s="34" t="s">
        <v>213</v>
      </c>
      <c r="M108" s="33" t="n">
        <f>1936</f>
        <v>1936.0</v>
      </c>
      <c r="N108" s="34" t="s">
        <v>213</v>
      </c>
      <c r="O108" s="33" t="n">
        <f>1902</f>
        <v>1902.0</v>
      </c>
      <c r="P108" s="34" t="s">
        <v>60</v>
      </c>
      <c r="Q108" s="33" t="n">
        <f>1902</f>
        <v>1902.0</v>
      </c>
      <c r="R108" s="34" t="s">
        <v>60</v>
      </c>
      <c r="S108" s="35" t="n">
        <f>1919</f>
        <v>1919.0</v>
      </c>
      <c r="T108" s="32" t="n">
        <f>120</f>
        <v>120.0</v>
      </c>
      <c r="U108" s="32" t="str">
        <f>"－"</f>
        <v>－</v>
      </c>
      <c r="V108" s="32" t="n">
        <f>228580</f>
        <v>228580.0</v>
      </c>
      <c r="W108" s="32" t="str">
        <f>"－"</f>
        <v>－</v>
      </c>
      <c r="X108" s="36" t="n">
        <f>2</f>
        <v>2.0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1904</f>
        <v>1904.0</v>
      </c>
      <c r="L109" s="34" t="s">
        <v>48</v>
      </c>
      <c r="M109" s="33" t="n">
        <f>1920</f>
        <v>1920.0</v>
      </c>
      <c r="N109" s="34" t="s">
        <v>68</v>
      </c>
      <c r="O109" s="33" t="n">
        <f>1842</f>
        <v>1842.0</v>
      </c>
      <c r="P109" s="34" t="s">
        <v>73</v>
      </c>
      <c r="Q109" s="33" t="n">
        <f>1867</f>
        <v>1867.0</v>
      </c>
      <c r="R109" s="34" t="s">
        <v>50</v>
      </c>
      <c r="S109" s="35" t="n">
        <f>1875.48</f>
        <v>1875.48</v>
      </c>
      <c r="T109" s="32" t="n">
        <f>1878150</f>
        <v>1878150.0</v>
      </c>
      <c r="U109" s="32" t="n">
        <f>657330</f>
        <v>657330.0</v>
      </c>
      <c r="V109" s="32" t="n">
        <f>3515612985</f>
        <v>3.515612985E9</v>
      </c>
      <c r="W109" s="32" t="n">
        <f>1225747140</f>
        <v>1.22574714E9</v>
      </c>
      <c r="X109" s="36" t="n">
        <f>21</f>
        <v>21.0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21530</f>
        <v>21530.0</v>
      </c>
      <c r="L110" s="34" t="s">
        <v>48</v>
      </c>
      <c r="M110" s="33" t="n">
        <f>21650</f>
        <v>21650.0</v>
      </c>
      <c r="N110" s="34" t="s">
        <v>64</v>
      </c>
      <c r="O110" s="33" t="n">
        <f>20255</f>
        <v>20255.0</v>
      </c>
      <c r="P110" s="34" t="s">
        <v>90</v>
      </c>
      <c r="Q110" s="33" t="n">
        <f>20500</f>
        <v>20500.0</v>
      </c>
      <c r="R110" s="34" t="s">
        <v>90</v>
      </c>
      <c r="S110" s="35" t="n">
        <f>20966.79</f>
        <v>20966.79</v>
      </c>
      <c r="T110" s="32" t="n">
        <f>471</f>
        <v>471.0</v>
      </c>
      <c r="U110" s="32" t="str">
        <f>"－"</f>
        <v>－</v>
      </c>
      <c r="V110" s="32" t="n">
        <f>9777155</f>
        <v>9777155.0</v>
      </c>
      <c r="W110" s="32" t="str">
        <f>"－"</f>
        <v>－</v>
      </c>
      <c r="X110" s="36" t="n">
        <f>14</f>
        <v>14.0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100.0</v>
      </c>
      <c r="K111" s="33" t="n">
        <f>275.5</f>
        <v>275.5</v>
      </c>
      <c r="L111" s="34" t="s">
        <v>48</v>
      </c>
      <c r="M111" s="33" t="n">
        <f>280.8</f>
        <v>280.8</v>
      </c>
      <c r="N111" s="34" t="s">
        <v>48</v>
      </c>
      <c r="O111" s="33" t="n">
        <f>260.3</f>
        <v>260.3</v>
      </c>
      <c r="P111" s="34" t="s">
        <v>49</v>
      </c>
      <c r="Q111" s="33" t="n">
        <f>274.5</f>
        <v>274.5</v>
      </c>
      <c r="R111" s="34" t="s">
        <v>50</v>
      </c>
      <c r="S111" s="35" t="n">
        <f>271.42</f>
        <v>271.42</v>
      </c>
      <c r="T111" s="32" t="n">
        <f>99527200</f>
        <v>9.95272E7</v>
      </c>
      <c r="U111" s="32" t="n">
        <f>26314700</f>
        <v>2.63147E7</v>
      </c>
      <c r="V111" s="32" t="n">
        <f>26973669105</f>
        <v>2.6973669105E10</v>
      </c>
      <c r="W111" s="32" t="n">
        <f>7094836385</f>
        <v>7.094836385E9</v>
      </c>
      <c r="X111" s="36" t="n">
        <f>21</f>
        <v>21.0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34930</f>
        <v>34930.0</v>
      </c>
      <c r="L112" s="34" t="s">
        <v>48</v>
      </c>
      <c r="M112" s="33" t="n">
        <f>35410</f>
        <v>35410.0</v>
      </c>
      <c r="N112" s="34" t="s">
        <v>50</v>
      </c>
      <c r="O112" s="33" t="n">
        <f>33700</f>
        <v>33700.0</v>
      </c>
      <c r="P112" s="34" t="s">
        <v>49</v>
      </c>
      <c r="Q112" s="33" t="n">
        <f>35410</f>
        <v>35410.0</v>
      </c>
      <c r="R112" s="34" t="s">
        <v>50</v>
      </c>
      <c r="S112" s="35" t="n">
        <f>34520</f>
        <v>34520.0</v>
      </c>
      <c r="T112" s="32" t="n">
        <f>2096</f>
        <v>2096.0</v>
      </c>
      <c r="U112" s="32" t="str">
        <f>"－"</f>
        <v>－</v>
      </c>
      <c r="V112" s="32" t="n">
        <f>72436300</f>
        <v>7.24363E7</v>
      </c>
      <c r="W112" s="32" t="str">
        <f>"－"</f>
        <v>－</v>
      </c>
      <c r="X112" s="36" t="n">
        <f>21</f>
        <v>21.0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18075</f>
        <v>18075.0</v>
      </c>
      <c r="L113" s="34" t="s">
        <v>48</v>
      </c>
      <c r="M113" s="33" t="n">
        <f>18240</f>
        <v>18240.0</v>
      </c>
      <c r="N113" s="34" t="s">
        <v>48</v>
      </c>
      <c r="O113" s="33" t="n">
        <f>15740</f>
        <v>15740.0</v>
      </c>
      <c r="P113" s="34" t="s">
        <v>86</v>
      </c>
      <c r="Q113" s="33" t="n">
        <f>17570</f>
        <v>17570.0</v>
      </c>
      <c r="R113" s="34" t="s">
        <v>50</v>
      </c>
      <c r="S113" s="35" t="n">
        <f>17131.67</f>
        <v>17131.67</v>
      </c>
      <c r="T113" s="32" t="n">
        <f>17865</f>
        <v>17865.0</v>
      </c>
      <c r="U113" s="32" t="str">
        <f>"－"</f>
        <v>－</v>
      </c>
      <c r="V113" s="32" t="n">
        <f>307439995</f>
        <v>3.07439995E8</v>
      </c>
      <c r="W113" s="32" t="str">
        <f>"－"</f>
        <v>－</v>
      </c>
      <c r="X113" s="36" t="n">
        <f>21</f>
        <v>21.0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26355</f>
        <v>26355.0</v>
      </c>
      <c r="L114" s="34" t="s">
        <v>48</v>
      </c>
      <c r="M114" s="33" t="n">
        <f>26585</f>
        <v>26585.0</v>
      </c>
      <c r="N114" s="34" t="s">
        <v>48</v>
      </c>
      <c r="O114" s="33" t="n">
        <f>24785</f>
        <v>24785.0</v>
      </c>
      <c r="P114" s="34" t="s">
        <v>73</v>
      </c>
      <c r="Q114" s="33" t="n">
        <f>25895</f>
        <v>25895.0</v>
      </c>
      <c r="R114" s="34" t="s">
        <v>50</v>
      </c>
      <c r="S114" s="35" t="n">
        <f>25564.29</f>
        <v>25564.29</v>
      </c>
      <c r="T114" s="32" t="n">
        <f>1718</f>
        <v>1718.0</v>
      </c>
      <c r="U114" s="32" t="str">
        <f>"－"</f>
        <v>－</v>
      </c>
      <c r="V114" s="32" t="n">
        <f>43850765</f>
        <v>4.3850765E7</v>
      </c>
      <c r="W114" s="32" t="str">
        <f>"－"</f>
        <v>－</v>
      </c>
      <c r="X114" s="36" t="n">
        <f>21</f>
        <v>21.0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27445</f>
        <v>27445.0</v>
      </c>
      <c r="L115" s="34" t="s">
        <v>48</v>
      </c>
      <c r="M115" s="33" t="n">
        <f>27615</f>
        <v>27615.0</v>
      </c>
      <c r="N115" s="34" t="s">
        <v>48</v>
      </c>
      <c r="O115" s="33" t="n">
        <f>26100</f>
        <v>26100.0</v>
      </c>
      <c r="P115" s="34" t="s">
        <v>49</v>
      </c>
      <c r="Q115" s="33" t="n">
        <f>26550</f>
        <v>26550.0</v>
      </c>
      <c r="R115" s="34" t="s">
        <v>50</v>
      </c>
      <c r="S115" s="35" t="n">
        <f>26755</f>
        <v>26755.0</v>
      </c>
      <c r="T115" s="32" t="n">
        <f>5650</f>
        <v>5650.0</v>
      </c>
      <c r="U115" s="32" t="n">
        <f>4000</f>
        <v>4000.0</v>
      </c>
      <c r="V115" s="32" t="n">
        <f>150099100</f>
        <v>1.500991E8</v>
      </c>
      <c r="W115" s="32" t="n">
        <f>105849600</f>
        <v>1.058496E8</v>
      </c>
      <c r="X115" s="36" t="n">
        <f>21</f>
        <v>21.0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27595</f>
        <v>27595.0</v>
      </c>
      <c r="L116" s="34" t="s">
        <v>48</v>
      </c>
      <c r="M116" s="33" t="n">
        <f>27700</f>
        <v>27700.0</v>
      </c>
      <c r="N116" s="34" t="s">
        <v>48</v>
      </c>
      <c r="O116" s="33" t="n">
        <f>25010</f>
        <v>25010.0</v>
      </c>
      <c r="P116" s="34" t="s">
        <v>90</v>
      </c>
      <c r="Q116" s="33" t="n">
        <f>25475</f>
        <v>25475.0</v>
      </c>
      <c r="R116" s="34" t="s">
        <v>50</v>
      </c>
      <c r="S116" s="35" t="n">
        <f>26383.57</f>
        <v>26383.57</v>
      </c>
      <c r="T116" s="32" t="n">
        <f>7932</f>
        <v>7932.0</v>
      </c>
      <c r="U116" s="32" t="str">
        <f>"－"</f>
        <v>－</v>
      </c>
      <c r="V116" s="32" t="n">
        <f>209559825</f>
        <v>2.09559825E8</v>
      </c>
      <c r="W116" s="32" t="str">
        <f>"－"</f>
        <v>－</v>
      </c>
      <c r="X116" s="36" t="n">
        <f>21</f>
        <v>21.0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30570</f>
        <v>30570.0</v>
      </c>
      <c r="L117" s="34" t="s">
        <v>48</v>
      </c>
      <c r="M117" s="33" t="n">
        <f>30940</f>
        <v>30940.0</v>
      </c>
      <c r="N117" s="34" t="s">
        <v>48</v>
      </c>
      <c r="O117" s="33" t="n">
        <f>27900</f>
        <v>27900.0</v>
      </c>
      <c r="P117" s="34" t="s">
        <v>50</v>
      </c>
      <c r="Q117" s="33" t="n">
        <f>28460</f>
        <v>28460.0</v>
      </c>
      <c r="R117" s="34" t="s">
        <v>50</v>
      </c>
      <c r="S117" s="35" t="n">
        <f>29338.1</f>
        <v>29338.1</v>
      </c>
      <c r="T117" s="32" t="n">
        <f>12832</f>
        <v>12832.0</v>
      </c>
      <c r="U117" s="32" t="str">
        <f>"－"</f>
        <v>－</v>
      </c>
      <c r="V117" s="32" t="n">
        <f>374892360</f>
        <v>3.7489236E8</v>
      </c>
      <c r="W117" s="32" t="str">
        <f>"－"</f>
        <v>－</v>
      </c>
      <c r="X117" s="36" t="n">
        <f>21</f>
        <v>21.0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23630</f>
        <v>23630.0</v>
      </c>
      <c r="L118" s="34" t="s">
        <v>48</v>
      </c>
      <c r="M118" s="33" t="n">
        <f>23955</f>
        <v>23955.0</v>
      </c>
      <c r="N118" s="34" t="s">
        <v>48</v>
      </c>
      <c r="O118" s="33" t="n">
        <f>21325</f>
        <v>21325.0</v>
      </c>
      <c r="P118" s="34" t="s">
        <v>49</v>
      </c>
      <c r="Q118" s="33" t="n">
        <f>22220</f>
        <v>22220.0</v>
      </c>
      <c r="R118" s="34" t="s">
        <v>50</v>
      </c>
      <c r="S118" s="35" t="n">
        <f>22335</f>
        <v>22335.0</v>
      </c>
      <c r="T118" s="32" t="n">
        <f>14489</f>
        <v>14489.0</v>
      </c>
      <c r="U118" s="32" t="n">
        <f>8900</f>
        <v>8900.0</v>
      </c>
      <c r="V118" s="32" t="n">
        <f>324333970</f>
        <v>3.2433397E8</v>
      </c>
      <c r="W118" s="32" t="n">
        <f>199562430</f>
        <v>1.9956243E8</v>
      </c>
      <c r="X118" s="36" t="n">
        <f>21</f>
        <v>21.0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47230</f>
        <v>47230.0</v>
      </c>
      <c r="L119" s="34" t="s">
        <v>48</v>
      </c>
      <c r="M119" s="33" t="n">
        <f>47870</f>
        <v>47870.0</v>
      </c>
      <c r="N119" s="34" t="s">
        <v>48</v>
      </c>
      <c r="O119" s="33" t="n">
        <f>43460</f>
        <v>43460.0</v>
      </c>
      <c r="P119" s="34" t="s">
        <v>50</v>
      </c>
      <c r="Q119" s="33" t="n">
        <f>43900</f>
        <v>43900.0</v>
      </c>
      <c r="R119" s="34" t="s">
        <v>50</v>
      </c>
      <c r="S119" s="35" t="n">
        <f>45647.14</f>
        <v>45647.14</v>
      </c>
      <c r="T119" s="32" t="n">
        <f>4339</f>
        <v>4339.0</v>
      </c>
      <c r="U119" s="32" t="n">
        <f>2700</f>
        <v>2700.0</v>
      </c>
      <c r="V119" s="32" t="n">
        <f>197759300</f>
        <v>1.977593E8</v>
      </c>
      <c r="W119" s="32" t="n">
        <f>122795400</f>
        <v>1.227954E8</v>
      </c>
      <c r="X119" s="36" t="n">
        <f>21</f>
        <v>21.0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31250</f>
        <v>31250.0</v>
      </c>
      <c r="L120" s="34" t="s">
        <v>48</v>
      </c>
      <c r="M120" s="33" t="n">
        <f>31370</f>
        <v>31370.0</v>
      </c>
      <c r="N120" s="34" t="s">
        <v>64</v>
      </c>
      <c r="O120" s="33" t="n">
        <f>28905</f>
        <v>28905.0</v>
      </c>
      <c r="P120" s="34" t="s">
        <v>175</v>
      </c>
      <c r="Q120" s="33" t="n">
        <f>29330</f>
        <v>29330.0</v>
      </c>
      <c r="R120" s="34" t="s">
        <v>50</v>
      </c>
      <c r="S120" s="35" t="n">
        <f>30094.29</f>
        <v>30094.29</v>
      </c>
      <c r="T120" s="32" t="n">
        <f>16538</f>
        <v>16538.0</v>
      </c>
      <c r="U120" s="32" t="n">
        <f>7600</f>
        <v>7600.0</v>
      </c>
      <c r="V120" s="32" t="n">
        <f>501556170</f>
        <v>5.0155617E8</v>
      </c>
      <c r="W120" s="32" t="n">
        <f>228918450</f>
        <v>2.2891845E8</v>
      </c>
      <c r="X120" s="36" t="n">
        <f>21</f>
        <v>21.0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30330</f>
        <v>30330.0</v>
      </c>
      <c r="L121" s="34" t="s">
        <v>48</v>
      </c>
      <c r="M121" s="33" t="n">
        <f>30500</f>
        <v>30500.0</v>
      </c>
      <c r="N121" s="34" t="s">
        <v>48</v>
      </c>
      <c r="O121" s="33" t="n">
        <f>28670</f>
        <v>28670.0</v>
      </c>
      <c r="P121" s="34" t="s">
        <v>49</v>
      </c>
      <c r="Q121" s="33" t="n">
        <f>29510</f>
        <v>29510.0</v>
      </c>
      <c r="R121" s="34" t="s">
        <v>50</v>
      </c>
      <c r="S121" s="35" t="n">
        <f>29556.43</f>
        <v>29556.43</v>
      </c>
      <c r="T121" s="32" t="n">
        <f>927</f>
        <v>927.0</v>
      </c>
      <c r="U121" s="32" t="str">
        <f>"－"</f>
        <v>－</v>
      </c>
      <c r="V121" s="32" t="n">
        <f>27426580</f>
        <v>2.742658E7</v>
      </c>
      <c r="W121" s="32" t="str">
        <f>"－"</f>
        <v>－</v>
      </c>
      <c r="X121" s="36" t="n">
        <f>21</f>
        <v>21.0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7991</f>
        <v>7991.0</v>
      </c>
      <c r="L122" s="34" t="s">
        <v>48</v>
      </c>
      <c r="M122" s="33" t="n">
        <f>8049</f>
        <v>8049.0</v>
      </c>
      <c r="N122" s="34" t="s">
        <v>48</v>
      </c>
      <c r="O122" s="33" t="n">
        <f>7282</f>
        <v>7282.0</v>
      </c>
      <c r="P122" s="34" t="s">
        <v>73</v>
      </c>
      <c r="Q122" s="33" t="n">
        <f>7810</f>
        <v>7810.0</v>
      </c>
      <c r="R122" s="34" t="s">
        <v>50</v>
      </c>
      <c r="S122" s="35" t="n">
        <f>7699.48</f>
        <v>7699.48</v>
      </c>
      <c r="T122" s="32" t="n">
        <f>21337</f>
        <v>21337.0</v>
      </c>
      <c r="U122" s="32" t="str">
        <f>"－"</f>
        <v>－</v>
      </c>
      <c r="V122" s="32" t="n">
        <f>162831384</f>
        <v>1.62831384E8</v>
      </c>
      <c r="W122" s="32" t="str">
        <f>"－"</f>
        <v>－</v>
      </c>
      <c r="X122" s="36" t="n">
        <f>21</f>
        <v>21.0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18320</f>
        <v>18320.0</v>
      </c>
      <c r="L123" s="34" t="s">
        <v>48</v>
      </c>
      <c r="M123" s="33" t="n">
        <f>18415</f>
        <v>18415.0</v>
      </c>
      <c r="N123" s="34" t="s">
        <v>48</v>
      </c>
      <c r="O123" s="33" t="n">
        <f>16880</f>
        <v>16880.0</v>
      </c>
      <c r="P123" s="34" t="s">
        <v>49</v>
      </c>
      <c r="Q123" s="33" t="n">
        <f>17450</f>
        <v>17450.0</v>
      </c>
      <c r="R123" s="34" t="s">
        <v>50</v>
      </c>
      <c r="S123" s="35" t="n">
        <f>17495.48</f>
        <v>17495.48</v>
      </c>
      <c r="T123" s="32" t="n">
        <f>41975</f>
        <v>41975.0</v>
      </c>
      <c r="U123" s="32" t="n">
        <f>34400</f>
        <v>34400.0</v>
      </c>
      <c r="V123" s="32" t="n">
        <f>729081330</f>
        <v>7.2908133E8</v>
      </c>
      <c r="W123" s="32" t="n">
        <f>596227680</f>
        <v>5.9622768E8</v>
      </c>
      <c r="X123" s="36" t="n">
        <f>21</f>
        <v>21.0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71140</f>
        <v>71140.0</v>
      </c>
      <c r="L124" s="34" t="s">
        <v>48</v>
      </c>
      <c r="M124" s="33" t="n">
        <f>71800</f>
        <v>71800.0</v>
      </c>
      <c r="N124" s="34" t="s">
        <v>48</v>
      </c>
      <c r="O124" s="33" t="n">
        <f>65670</f>
        <v>65670.0</v>
      </c>
      <c r="P124" s="34" t="s">
        <v>86</v>
      </c>
      <c r="Q124" s="33" t="n">
        <f>69000</f>
        <v>69000.0</v>
      </c>
      <c r="R124" s="34" t="s">
        <v>50</v>
      </c>
      <c r="S124" s="35" t="n">
        <f>69250.48</f>
        <v>69250.48</v>
      </c>
      <c r="T124" s="32" t="n">
        <f>10245</f>
        <v>10245.0</v>
      </c>
      <c r="U124" s="32" t="str">
        <f>"－"</f>
        <v>－</v>
      </c>
      <c r="V124" s="32" t="n">
        <f>704224140</f>
        <v>7.0422414E8</v>
      </c>
      <c r="W124" s="32" t="str">
        <f>"－"</f>
        <v>－</v>
      </c>
      <c r="X124" s="36" t="n">
        <f>21</f>
        <v>21.0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25880</f>
        <v>25880.0</v>
      </c>
      <c r="L125" s="34" t="s">
        <v>48</v>
      </c>
      <c r="M125" s="33" t="n">
        <f>26000</f>
        <v>26000.0</v>
      </c>
      <c r="N125" s="34" t="s">
        <v>213</v>
      </c>
      <c r="O125" s="33" t="n">
        <f>24625</f>
        <v>24625.0</v>
      </c>
      <c r="P125" s="34" t="s">
        <v>49</v>
      </c>
      <c r="Q125" s="33" t="n">
        <f>25685</f>
        <v>25685.0</v>
      </c>
      <c r="R125" s="34" t="s">
        <v>50</v>
      </c>
      <c r="S125" s="35" t="n">
        <f>25282.62</f>
        <v>25282.62</v>
      </c>
      <c r="T125" s="32" t="n">
        <f>1048</f>
        <v>1048.0</v>
      </c>
      <c r="U125" s="32" t="str">
        <f>"－"</f>
        <v>－</v>
      </c>
      <c r="V125" s="32" t="n">
        <f>26547505</f>
        <v>2.6547505E7</v>
      </c>
      <c r="W125" s="32" t="str">
        <f>"－"</f>
        <v>－</v>
      </c>
      <c r="X125" s="36" t="n">
        <f>21</f>
        <v>21.0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14490</f>
        <v>14490.0</v>
      </c>
      <c r="L126" s="34" t="s">
        <v>48</v>
      </c>
      <c r="M126" s="33" t="n">
        <f>14765</f>
        <v>14765.0</v>
      </c>
      <c r="N126" s="34" t="s">
        <v>48</v>
      </c>
      <c r="O126" s="33" t="n">
        <f>13660</f>
        <v>13660.0</v>
      </c>
      <c r="P126" s="34" t="s">
        <v>49</v>
      </c>
      <c r="Q126" s="33" t="n">
        <f>14445</f>
        <v>14445.0</v>
      </c>
      <c r="R126" s="34" t="s">
        <v>50</v>
      </c>
      <c r="S126" s="35" t="n">
        <f>14239.05</f>
        <v>14239.05</v>
      </c>
      <c r="T126" s="32" t="n">
        <f>67265</f>
        <v>67265.0</v>
      </c>
      <c r="U126" s="32" t="str">
        <f>"－"</f>
        <v>－</v>
      </c>
      <c r="V126" s="32" t="n">
        <f>952647435</f>
        <v>9.52647435E8</v>
      </c>
      <c r="W126" s="32" t="str">
        <f>"－"</f>
        <v>－</v>
      </c>
      <c r="X126" s="36" t="n">
        <f>21</f>
        <v>21.0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19655</f>
        <v>19655.0</v>
      </c>
      <c r="L127" s="34" t="s">
        <v>48</v>
      </c>
      <c r="M127" s="33" t="n">
        <f>19925</f>
        <v>19925.0</v>
      </c>
      <c r="N127" s="34" t="s">
        <v>64</v>
      </c>
      <c r="O127" s="33" t="n">
        <f>18505</f>
        <v>18505.0</v>
      </c>
      <c r="P127" s="34" t="s">
        <v>73</v>
      </c>
      <c r="Q127" s="33" t="n">
        <f>19500</f>
        <v>19500.0</v>
      </c>
      <c r="R127" s="34" t="s">
        <v>50</v>
      </c>
      <c r="S127" s="35" t="n">
        <f>19303.81</f>
        <v>19303.81</v>
      </c>
      <c r="T127" s="32" t="n">
        <f>11688</f>
        <v>11688.0</v>
      </c>
      <c r="U127" s="32" t="n">
        <f>3</f>
        <v>3.0</v>
      </c>
      <c r="V127" s="32" t="n">
        <f>226866425</f>
        <v>2.26866425E8</v>
      </c>
      <c r="W127" s="32" t="n">
        <f>59285</f>
        <v>59285.0</v>
      </c>
      <c r="X127" s="36" t="n">
        <f>21</f>
        <v>21.0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34130</f>
        <v>34130.0</v>
      </c>
      <c r="L128" s="34" t="s">
        <v>48</v>
      </c>
      <c r="M128" s="33" t="n">
        <f>35470</f>
        <v>35470.0</v>
      </c>
      <c r="N128" s="34" t="s">
        <v>48</v>
      </c>
      <c r="O128" s="33" t="n">
        <f>31690</f>
        <v>31690.0</v>
      </c>
      <c r="P128" s="34" t="s">
        <v>73</v>
      </c>
      <c r="Q128" s="33" t="n">
        <f>32740</f>
        <v>32740.0</v>
      </c>
      <c r="R128" s="34" t="s">
        <v>50</v>
      </c>
      <c r="S128" s="35" t="n">
        <f>33000.95</f>
        <v>33000.95</v>
      </c>
      <c r="T128" s="32" t="n">
        <f>4579</f>
        <v>4579.0</v>
      </c>
      <c r="U128" s="32" t="n">
        <f>2990</f>
        <v>2990.0</v>
      </c>
      <c r="V128" s="32" t="n">
        <f>152441819</f>
        <v>1.52441819E8</v>
      </c>
      <c r="W128" s="32" t="n">
        <f>100359399</f>
        <v>1.00359399E8</v>
      </c>
      <c r="X128" s="36" t="n">
        <f>21</f>
        <v>21.0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10.0</v>
      </c>
      <c r="K129" s="33" t="n">
        <f>1723.5</f>
        <v>1723.5</v>
      </c>
      <c r="L129" s="34" t="s">
        <v>48</v>
      </c>
      <c r="M129" s="33" t="n">
        <f>1723.5</f>
        <v>1723.5</v>
      </c>
      <c r="N129" s="34" t="s">
        <v>48</v>
      </c>
      <c r="O129" s="33" t="n">
        <f>1592</f>
        <v>1592.0</v>
      </c>
      <c r="P129" s="34" t="s">
        <v>73</v>
      </c>
      <c r="Q129" s="33" t="n">
        <f>1635</f>
        <v>1635.0</v>
      </c>
      <c r="R129" s="34" t="s">
        <v>50</v>
      </c>
      <c r="S129" s="35" t="n">
        <f>1648.26</f>
        <v>1648.26</v>
      </c>
      <c r="T129" s="32" t="n">
        <f>1407460</f>
        <v>1407460.0</v>
      </c>
      <c r="U129" s="32" t="n">
        <f>774610</f>
        <v>774610.0</v>
      </c>
      <c r="V129" s="32" t="n">
        <f>2322416679</f>
        <v>2.322416679E9</v>
      </c>
      <c r="W129" s="32" t="n">
        <f>1279832689</f>
        <v>1.279832689E9</v>
      </c>
      <c r="X129" s="36" t="n">
        <f>21</f>
        <v>21.0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2680.5</f>
        <v>2680.5</v>
      </c>
      <c r="L130" s="34" t="s">
        <v>48</v>
      </c>
      <c r="M130" s="33" t="n">
        <f>2695.5</f>
        <v>2695.5</v>
      </c>
      <c r="N130" s="34" t="s">
        <v>48</v>
      </c>
      <c r="O130" s="33" t="n">
        <f>2520</f>
        <v>2520.0</v>
      </c>
      <c r="P130" s="34" t="s">
        <v>49</v>
      </c>
      <c r="Q130" s="33" t="n">
        <f>2569</f>
        <v>2569.0</v>
      </c>
      <c r="R130" s="34" t="s">
        <v>50</v>
      </c>
      <c r="S130" s="35" t="n">
        <f>2601.95</f>
        <v>2601.95</v>
      </c>
      <c r="T130" s="32" t="n">
        <f>102630</f>
        <v>102630.0</v>
      </c>
      <c r="U130" s="32" t="str">
        <f>"－"</f>
        <v>－</v>
      </c>
      <c r="V130" s="32" t="n">
        <f>265830295</f>
        <v>2.65830295E8</v>
      </c>
      <c r="W130" s="32" t="str">
        <f>"－"</f>
        <v>－</v>
      </c>
      <c r="X130" s="36" t="n">
        <f>21</f>
        <v>21.0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2955</f>
        <v>2955.0</v>
      </c>
      <c r="L131" s="34" t="s">
        <v>48</v>
      </c>
      <c r="M131" s="33" t="n">
        <f>2955</f>
        <v>2955.0</v>
      </c>
      <c r="N131" s="34" t="s">
        <v>48</v>
      </c>
      <c r="O131" s="33" t="n">
        <f>2788</f>
        <v>2788.0</v>
      </c>
      <c r="P131" s="34" t="s">
        <v>49</v>
      </c>
      <c r="Q131" s="33" t="n">
        <f>2825</f>
        <v>2825.0</v>
      </c>
      <c r="R131" s="34" t="s">
        <v>50</v>
      </c>
      <c r="S131" s="35" t="n">
        <f>2867.33</f>
        <v>2867.33</v>
      </c>
      <c r="T131" s="32" t="n">
        <f>15050</f>
        <v>15050.0</v>
      </c>
      <c r="U131" s="32" t="str">
        <f>"－"</f>
        <v>－</v>
      </c>
      <c r="V131" s="32" t="n">
        <f>43108355</f>
        <v>4.3108355E7</v>
      </c>
      <c r="W131" s="32" t="str">
        <f>"－"</f>
        <v>－</v>
      </c>
      <c r="X131" s="36" t="n">
        <f>18</f>
        <v>18.0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1791</f>
        <v>1791.0</v>
      </c>
      <c r="L132" s="34" t="s">
        <v>91</v>
      </c>
      <c r="M132" s="33" t="n">
        <f>1851</f>
        <v>1851.0</v>
      </c>
      <c r="N132" s="34" t="s">
        <v>72</v>
      </c>
      <c r="O132" s="33" t="n">
        <f>1750</f>
        <v>1750.0</v>
      </c>
      <c r="P132" s="34" t="s">
        <v>49</v>
      </c>
      <c r="Q132" s="33" t="n">
        <f>1780</f>
        <v>1780.0</v>
      </c>
      <c r="R132" s="34" t="s">
        <v>50</v>
      </c>
      <c r="S132" s="35" t="n">
        <f>1798.25</f>
        <v>1798.25</v>
      </c>
      <c r="T132" s="32" t="n">
        <f>155540</f>
        <v>155540.0</v>
      </c>
      <c r="U132" s="32" t="n">
        <f>130000</f>
        <v>130000.0</v>
      </c>
      <c r="V132" s="32" t="n">
        <f>278739600</f>
        <v>2.787396E8</v>
      </c>
      <c r="W132" s="32" t="n">
        <f>232583000</f>
        <v>2.32583E8</v>
      </c>
      <c r="X132" s="36" t="n">
        <f>16</f>
        <v>16.0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463.8</f>
        <v>463.8</v>
      </c>
      <c r="L133" s="34" t="s">
        <v>48</v>
      </c>
      <c r="M133" s="33" t="n">
        <f>471.9</f>
        <v>471.9</v>
      </c>
      <c r="N133" s="34" t="s">
        <v>64</v>
      </c>
      <c r="O133" s="33" t="n">
        <f>445</f>
        <v>445.0</v>
      </c>
      <c r="P133" s="34" t="s">
        <v>90</v>
      </c>
      <c r="Q133" s="33" t="n">
        <f>449.3</f>
        <v>449.3</v>
      </c>
      <c r="R133" s="34" t="s">
        <v>50</v>
      </c>
      <c r="S133" s="35" t="n">
        <f>460.25</f>
        <v>460.25</v>
      </c>
      <c r="T133" s="32" t="n">
        <f>36594850</f>
        <v>3.659485E7</v>
      </c>
      <c r="U133" s="32" t="n">
        <f>2294350</f>
        <v>2294350.0</v>
      </c>
      <c r="V133" s="32" t="n">
        <f>16822659165</f>
        <v>1.6822659165E10</v>
      </c>
      <c r="W133" s="32" t="n">
        <f>1054019410</f>
        <v>1.05401941E9</v>
      </c>
      <c r="X133" s="36" t="n">
        <f>21</f>
        <v>21.0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285.4</f>
        <v>285.4</v>
      </c>
      <c r="L134" s="34" t="s">
        <v>48</v>
      </c>
      <c r="M134" s="33" t="n">
        <f>285.5</f>
        <v>285.5</v>
      </c>
      <c r="N134" s="34" t="s">
        <v>48</v>
      </c>
      <c r="O134" s="33" t="n">
        <f>276.4</f>
        <v>276.4</v>
      </c>
      <c r="P134" s="34" t="s">
        <v>60</v>
      </c>
      <c r="Q134" s="33" t="n">
        <f>280.2</f>
        <v>280.2</v>
      </c>
      <c r="R134" s="34" t="s">
        <v>50</v>
      </c>
      <c r="S134" s="35" t="n">
        <f>280.55</f>
        <v>280.55</v>
      </c>
      <c r="T134" s="32" t="n">
        <f>50821010</f>
        <v>5.082101E7</v>
      </c>
      <c r="U134" s="32" t="n">
        <f>48661480</f>
        <v>4.866148E7</v>
      </c>
      <c r="V134" s="32" t="n">
        <f>14263481843</f>
        <v>1.4263481843E10</v>
      </c>
      <c r="W134" s="32" t="n">
        <f>13659257222</f>
        <v>1.3659257222E10</v>
      </c>
      <c r="X134" s="36" t="n">
        <f>21</f>
        <v>21.0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3970</f>
        <v>3970.0</v>
      </c>
      <c r="L135" s="34" t="s">
        <v>48</v>
      </c>
      <c r="M135" s="33" t="n">
        <f>4035</f>
        <v>4035.0</v>
      </c>
      <c r="N135" s="34" t="s">
        <v>64</v>
      </c>
      <c r="O135" s="33" t="n">
        <f>3790</f>
        <v>3790.0</v>
      </c>
      <c r="P135" s="34" t="s">
        <v>90</v>
      </c>
      <c r="Q135" s="33" t="n">
        <f>3830</f>
        <v>3830.0</v>
      </c>
      <c r="R135" s="34" t="s">
        <v>50</v>
      </c>
      <c r="S135" s="35" t="n">
        <f>3925</f>
        <v>3925.0</v>
      </c>
      <c r="T135" s="32" t="n">
        <f>36012</f>
        <v>36012.0</v>
      </c>
      <c r="U135" s="32" t="n">
        <f>3125</f>
        <v>3125.0</v>
      </c>
      <c r="V135" s="32" t="n">
        <f>141707367</f>
        <v>1.41707367E8</v>
      </c>
      <c r="W135" s="32" t="n">
        <f>12614937</f>
        <v>1.2614937E7</v>
      </c>
      <c r="X135" s="36" t="n">
        <f>21</f>
        <v>21.0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2394</f>
        <v>2394.0</v>
      </c>
      <c r="L136" s="34" t="s">
        <v>48</v>
      </c>
      <c r="M136" s="33" t="n">
        <f>2415</f>
        <v>2415.0</v>
      </c>
      <c r="N136" s="34" t="s">
        <v>64</v>
      </c>
      <c r="O136" s="33" t="n">
        <f>2293</f>
        <v>2293.0</v>
      </c>
      <c r="P136" s="34" t="s">
        <v>175</v>
      </c>
      <c r="Q136" s="33" t="n">
        <f>2314</f>
        <v>2314.0</v>
      </c>
      <c r="R136" s="34" t="s">
        <v>50</v>
      </c>
      <c r="S136" s="35" t="n">
        <f>2353.43</f>
        <v>2353.43</v>
      </c>
      <c r="T136" s="32" t="n">
        <f>47834</f>
        <v>47834.0</v>
      </c>
      <c r="U136" s="32" t="n">
        <f>4348</f>
        <v>4348.0</v>
      </c>
      <c r="V136" s="32" t="n">
        <f>112311358</f>
        <v>1.12311358E8</v>
      </c>
      <c r="W136" s="32" t="n">
        <f>9991269</f>
        <v>9991269.0</v>
      </c>
      <c r="X136" s="36" t="n">
        <f>21</f>
        <v>21.0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2650</f>
        <v>2650.0</v>
      </c>
      <c r="L137" s="34" t="s">
        <v>48</v>
      </c>
      <c r="M137" s="33" t="n">
        <f>2683</f>
        <v>2683.0</v>
      </c>
      <c r="N137" s="34" t="s">
        <v>64</v>
      </c>
      <c r="O137" s="33" t="n">
        <f>2468</f>
        <v>2468.0</v>
      </c>
      <c r="P137" s="34" t="s">
        <v>50</v>
      </c>
      <c r="Q137" s="33" t="n">
        <f>2480</f>
        <v>2480.0</v>
      </c>
      <c r="R137" s="34" t="s">
        <v>50</v>
      </c>
      <c r="S137" s="35" t="n">
        <f>2580.57</f>
        <v>2580.57</v>
      </c>
      <c r="T137" s="32" t="n">
        <f>147275</f>
        <v>147275.0</v>
      </c>
      <c r="U137" s="32" t="n">
        <f>1</f>
        <v>1.0</v>
      </c>
      <c r="V137" s="32" t="n">
        <f>377084911</f>
        <v>3.77084911E8</v>
      </c>
      <c r="W137" s="32" t="n">
        <f>2796</f>
        <v>2796.0</v>
      </c>
      <c r="X137" s="36" t="n">
        <f>21</f>
        <v>21.0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10730</f>
        <v>10730.0</v>
      </c>
      <c r="L138" s="34" t="s">
        <v>48</v>
      </c>
      <c r="M138" s="33" t="n">
        <f>10750</f>
        <v>10750.0</v>
      </c>
      <c r="N138" s="34" t="s">
        <v>48</v>
      </c>
      <c r="O138" s="33" t="n">
        <f>10330</f>
        <v>10330.0</v>
      </c>
      <c r="P138" s="34" t="s">
        <v>241</v>
      </c>
      <c r="Q138" s="33" t="n">
        <f>10450</f>
        <v>10450.0</v>
      </c>
      <c r="R138" s="34" t="s">
        <v>50</v>
      </c>
      <c r="S138" s="35" t="n">
        <f>10491.67</f>
        <v>10491.67</v>
      </c>
      <c r="T138" s="32" t="n">
        <f>180614</f>
        <v>180614.0</v>
      </c>
      <c r="U138" s="32" t="n">
        <f>98000</f>
        <v>98000.0</v>
      </c>
      <c r="V138" s="32" t="n">
        <f>1889612265</f>
        <v>1.889612265E9</v>
      </c>
      <c r="W138" s="32" t="n">
        <f>1023142335</f>
        <v>1.023142335E9</v>
      </c>
      <c r="X138" s="36" t="n">
        <f>21</f>
        <v>21.0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3350</f>
        <v>3350.0</v>
      </c>
      <c r="L139" s="34" t="s">
        <v>48</v>
      </c>
      <c r="M139" s="33" t="n">
        <f>3385</f>
        <v>3385.0</v>
      </c>
      <c r="N139" s="34" t="s">
        <v>60</v>
      </c>
      <c r="O139" s="33" t="n">
        <f>3030</f>
        <v>3030.0</v>
      </c>
      <c r="P139" s="34" t="s">
        <v>91</v>
      </c>
      <c r="Q139" s="33" t="n">
        <f>3170</f>
        <v>3170.0</v>
      </c>
      <c r="R139" s="34" t="s">
        <v>50</v>
      </c>
      <c r="S139" s="35" t="n">
        <f>3215.24</f>
        <v>3215.24</v>
      </c>
      <c r="T139" s="32" t="n">
        <f>6932212</f>
        <v>6932212.0</v>
      </c>
      <c r="U139" s="32" t="n">
        <f>75</f>
        <v>75.0</v>
      </c>
      <c r="V139" s="32" t="n">
        <f>22234137209</f>
        <v>2.2234137209E10</v>
      </c>
      <c r="W139" s="32" t="n">
        <f>233744</f>
        <v>233744.0</v>
      </c>
      <c r="X139" s="36" t="n">
        <f>21</f>
        <v>21.0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26155</f>
        <v>26155.0</v>
      </c>
      <c r="L140" s="34" t="s">
        <v>48</v>
      </c>
      <c r="M140" s="33" t="n">
        <f>28150</f>
        <v>28150.0</v>
      </c>
      <c r="N140" s="34" t="s">
        <v>90</v>
      </c>
      <c r="O140" s="33" t="n">
        <f>25485</f>
        <v>25485.0</v>
      </c>
      <c r="P140" s="34" t="s">
        <v>73</v>
      </c>
      <c r="Q140" s="33" t="n">
        <f>28080</f>
        <v>28080.0</v>
      </c>
      <c r="R140" s="34" t="s">
        <v>50</v>
      </c>
      <c r="S140" s="35" t="n">
        <f>26915.24</f>
        <v>26915.24</v>
      </c>
      <c r="T140" s="32" t="n">
        <f>9835</f>
        <v>9835.0</v>
      </c>
      <c r="U140" s="32" t="str">
        <f>"－"</f>
        <v>－</v>
      </c>
      <c r="V140" s="32" t="n">
        <f>266202315</f>
        <v>2.66202315E8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3074</f>
        <v>3074.0</v>
      </c>
      <c r="L141" s="34" t="s">
        <v>48</v>
      </c>
      <c r="M141" s="33" t="n">
        <f>3231</f>
        <v>3231.0</v>
      </c>
      <c r="N141" s="34" t="s">
        <v>276</v>
      </c>
      <c r="O141" s="33" t="n">
        <f>2852</f>
        <v>2852.0</v>
      </c>
      <c r="P141" s="34" t="s">
        <v>174</v>
      </c>
      <c r="Q141" s="33" t="n">
        <f>3210</f>
        <v>3210.0</v>
      </c>
      <c r="R141" s="34" t="s">
        <v>50</v>
      </c>
      <c r="S141" s="35" t="n">
        <f>3089.52</f>
        <v>3089.52</v>
      </c>
      <c r="T141" s="32" t="n">
        <f>21110</f>
        <v>21110.0</v>
      </c>
      <c r="U141" s="32" t="str">
        <f>"－"</f>
        <v>－</v>
      </c>
      <c r="V141" s="32" t="n">
        <f>64651435</f>
        <v>6.4651435E7</v>
      </c>
      <c r="W141" s="32" t="str">
        <f>"－"</f>
        <v>－</v>
      </c>
      <c r="X141" s="36" t="n">
        <f>21</f>
        <v>21.0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12665</f>
        <v>12665.0</v>
      </c>
      <c r="L142" s="34" t="s">
        <v>48</v>
      </c>
      <c r="M142" s="33" t="n">
        <f>12935</f>
        <v>12935.0</v>
      </c>
      <c r="N142" s="34" t="s">
        <v>50</v>
      </c>
      <c r="O142" s="33" t="n">
        <f>11805</f>
        <v>11805.0</v>
      </c>
      <c r="P142" s="34" t="s">
        <v>91</v>
      </c>
      <c r="Q142" s="33" t="n">
        <f>12935</f>
        <v>12935.0</v>
      </c>
      <c r="R142" s="34" t="s">
        <v>50</v>
      </c>
      <c r="S142" s="35" t="n">
        <f>12326.9</f>
        <v>12326.9</v>
      </c>
      <c r="T142" s="32" t="n">
        <f>4922</f>
        <v>4922.0</v>
      </c>
      <c r="U142" s="32" t="str">
        <f>"－"</f>
        <v>－</v>
      </c>
      <c r="V142" s="32" t="n">
        <f>60746080</f>
        <v>6.074608E7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17180</f>
        <v>17180.0</v>
      </c>
      <c r="L143" s="34" t="s">
        <v>48</v>
      </c>
      <c r="M143" s="33" t="n">
        <f>17540</f>
        <v>17540.0</v>
      </c>
      <c r="N143" s="34" t="s">
        <v>48</v>
      </c>
      <c r="O143" s="33" t="n">
        <f>15200</f>
        <v>15200.0</v>
      </c>
      <c r="P143" s="34" t="s">
        <v>276</v>
      </c>
      <c r="Q143" s="33" t="n">
        <f>15620</f>
        <v>15620.0</v>
      </c>
      <c r="R143" s="34" t="s">
        <v>50</v>
      </c>
      <c r="S143" s="35" t="n">
        <f>15945.48</f>
        <v>15945.48</v>
      </c>
      <c r="T143" s="32" t="n">
        <f>8110</f>
        <v>8110.0</v>
      </c>
      <c r="U143" s="32" t="str">
        <f>"－"</f>
        <v>－</v>
      </c>
      <c r="V143" s="32" t="n">
        <f>128872830</f>
        <v>1.2887283E8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18990</f>
        <v>18990.0</v>
      </c>
      <c r="L144" s="34" t="s">
        <v>48</v>
      </c>
      <c r="M144" s="33" t="n">
        <f>19650</f>
        <v>19650.0</v>
      </c>
      <c r="N144" s="34" t="s">
        <v>90</v>
      </c>
      <c r="O144" s="33" t="n">
        <f>17960</f>
        <v>17960.0</v>
      </c>
      <c r="P144" s="34" t="s">
        <v>213</v>
      </c>
      <c r="Q144" s="33" t="n">
        <f>19250</f>
        <v>19250.0</v>
      </c>
      <c r="R144" s="34" t="s">
        <v>90</v>
      </c>
      <c r="S144" s="35" t="n">
        <f>19075.83</f>
        <v>19075.83</v>
      </c>
      <c r="T144" s="32" t="n">
        <f>209</f>
        <v>209.0</v>
      </c>
      <c r="U144" s="32" t="str">
        <f>"－"</f>
        <v>－</v>
      </c>
      <c r="V144" s="32" t="n">
        <f>3979865</f>
        <v>3979865.0</v>
      </c>
      <c r="W144" s="32" t="str">
        <f>"－"</f>
        <v>－</v>
      </c>
      <c r="X144" s="36" t="n">
        <f>12</f>
        <v>12.0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52250</f>
        <v>52250.0</v>
      </c>
      <c r="L145" s="34" t="s">
        <v>48</v>
      </c>
      <c r="M145" s="33" t="n">
        <f>52450</f>
        <v>52450.0</v>
      </c>
      <c r="N145" s="34" t="s">
        <v>64</v>
      </c>
      <c r="O145" s="33" t="n">
        <f>51480</f>
        <v>51480.0</v>
      </c>
      <c r="P145" s="34" t="s">
        <v>73</v>
      </c>
      <c r="Q145" s="33" t="n">
        <f>52190</f>
        <v>52190.0</v>
      </c>
      <c r="R145" s="34" t="s">
        <v>50</v>
      </c>
      <c r="S145" s="35" t="n">
        <f>52005.71</f>
        <v>52005.71</v>
      </c>
      <c r="T145" s="32" t="n">
        <f>8140</f>
        <v>8140.0</v>
      </c>
      <c r="U145" s="32" t="n">
        <f>3980</f>
        <v>3980.0</v>
      </c>
      <c r="V145" s="32" t="n">
        <f>424566481</f>
        <v>4.24566481E8</v>
      </c>
      <c r="W145" s="32" t="n">
        <f>208730581</f>
        <v>2.08730581E8</v>
      </c>
      <c r="X145" s="36" t="n">
        <f>21</f>
        <v>21.0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312.9</f>
        <v>312.9</v>
      </c>
      <c r="L146" s="34" t="s">
        <v>48</v>
      </c>
      <c r="M146" s="33" t="n">
        <f>315.8</f>
        <v>315.8</v>
      </c>
      <c r="N146" s="34" t="s">
        <v>206</v>
      </c>
      <c r="O146" s="33" t="n">
        <f>300.1</f>
        <v>300.1</v>
      </c>
      <c r="P146" s="34" t="s">
        <v>90</v>
      </c>
      <c r="Q146" s="33" t="n">
        <f>304.1</f>
        <v>304.1</v>
      </c>
      <c r="R146" s="34" t="s">
        <v>50</v>
      </c>
      <c r="S146" s="35" t="n">
        <f>309.5</f>
        <v>309.5</v>
      </c>
      <c r="T146" s="32" t="n">
        <f>27360590</f>
        <v>2.736059E7</v>
      </c>
      <c r="U146" s="32" t="n">
        <f>215200</f>
        <v>215200.0</v>
      </c>
      <c r="V146" s="32" t="n">
        <f>8454485401</f>
        <v>8.454485401E9</v>
      </c>
      <c r="W146" s="32" t="n">
        <f>66735374</f>
        <v>6.6735374E7</v>
      </c>
      <c r="X146" s="36" t="n">
        <f>21</f>
        <v>21.0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42880</f>
        <v>42880.0</v>
      </c>
      <c r="L147" s="34" t="s">
        <v>48</v>
      </c>
      <c r="M147" s="33" t="n">
        <f>43250</f>
        <v>43250.0</v>
      </c>
      <c r="N147" s="34" t="s">
        <v>286</v>
      </c>
      <c r="O147" s="33" t="n">
        <f>41380</f>
        <v>41380.0</v>
      </c>
      <c r="P147" s="34" t="s">
        <v>90</v>
      </c>
      <c r="Q147" s="33" t="n">
        <f>42050</f>
        <v>42050.0</v>
      </c>
      <c r="R147" s="34" t="s">
        <v>50</v>
      </c>
      <c r="S147" s="35" t="n">
        <f>42476.19</f>
        <v>42476.19</v>
      </c>
      <c r="T147" s="32" t="n">
        <f>2330</f>
        <v>2330.0</v>
      </c>
      <c r="U147" s="32" t="str">
        <f>"－"</f>
        <v>－</v>
      </c>
      <c r="V147" s="32" t="n">
        <f>98810300</f>
        <v>9.88103E7</v>
      </c>
      <c r="W147" s="32" t="str">
        <f>"－"</f>
        <v>－</v>
      </c>
      <c r="X147" s="36" t="n">
        <f>21</f>
        <v>21.0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4554</f>
        <v>4554.0</v>
      </c>
      <c r="L148" s="34" t="s">
        <v>48</v>
      </c>
      <c r="M148" s="33" t="n">
        <f>4627</f>
        <v>4627.0</v>
      </c>
      <c r="N148" s="34" t="s">
        <v>64</v>
      </c>
      <c r="O148" s="33" t="n">
        <f>4357</f>
        <v>4357.0</v>
      </c>
      <c r="P148" s="34" t="s">
        <v>90</v>
      </c>
      <c r="Q148" s="33" t="n">
        <f>4400</f>
        <v>4400.0</v>
      </c>
      <c r="R148" s="34" t="s">
        <v>50</v>
      </c>
      <c r="S148" s="35" t="n">
        <f>4505.71</f>
        <v>4505.71</v>
      </c>
      <c r="T148" s="32" t="n">
        <f>43840</f>
        <v>43840.0</v>
      </c>
      <c r="U148" s="32" t="str">
        <f>"－"</f>
        <v>－</v>
      </c>
      <c r="V148" s="32" t="n">
        <f>197612490</f>
        <v>1.9761249E8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1810</f>
        <v>1810.0</v>
      </c>
      <c r="L149" s="34" t="s">
        <v>48</v>
      </c>
      <c r="M149" s="33" t="n">
        <f>1832</f>
        <v>1832.0</v>
      </c>
      <c r="N149" s="34" t="s">
        <v>64</v>
      </c>
      <c r="O149" s="33" t="n">
        <f>1730.5</f>
        <v>1730.5</v>
      </c>
      <c r="P149" s="34" t="s">
        <v>175</v>
      </c>
      <c r="Q149" s="33" t="n">
        <f>1739.5</f>
        <v>1739.5</v>
      </c>
      <c r="R149" s="34" t="s">
        <v>50</v>
      </c>
      <c r="S149" s="35" t="n">
        <f>1776.14</f>
        <v>1776.14</v>
      </c>
      <c r="T149" s="32" t="n">
        <f>235680</f>
        <v>235680.0</v>
      </c>
      <c r="U149" s="32" t="str">
        <f>"－"</f>
        <v>－</v>
      </c>
      <c r="V149" s="32" t="n">
        <f>416862220</f>
        <v>4.1686222E8</v>
      </c>
      <c r="W149" s="32" t="str">
        <f>"－"</f>
        <v>－</v>
      </c>
      <c r="X149" s="36" t="n">
        <f>21</f>
        <v>21.0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100.0</v>
      </c>
      <c r="K150" s="33" t="n">
        <f>235.3</f>
        <v>235.3</v>
      </c>
      <c r="L150" s="34" t="s">
        <v>48</v>
      </c>
      <c r="M150" s="33" t="n">
        <f>238.5</f>
        <v>238.5</v>
      </c>
      <c r="N150" s="34" t="s">
        <v>50</v>
      </c>
      <c r="O150" s="33" t="n">
        <f>222</f>
        <v>222.0</v>
      </c>
      <c r="P150" s="34" t="s">
        <v>91</v>
      </c>
      <c r="Q150" s="33" t="n">
        <f>237.9</f>
        <v>237.9</v>
      </c>
      <c r="R150" s="34" t="s">
        <v>50</v>
      </c>
      <c r="S150" s="35" t="n">
        <f>230.48</f>
        <v>230.48</v>
      </c>
      <c r="T150" s="32" t="n">
        <f>212200</f>
        <v>212200.0</v>
      </c>
      <c r="U150" s="32" t="str">
        <f>"－"</f>
        <v>－</v>
      </c>
      <c r="V150" s="32" t="n">
        <f>48977310</f>
        <v>4.897731E7</v>
      </c>
      <c r="W150" s="32" t="str">
        <f>"－"</f>
        <v>－</v>
      </c>
      <c r="X150" s="36" t="n">
        <f>21</f>
        <v>21.0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1675</f>
        <v>1675.0</v>
      </c>
      <c r="L151" s="34" t="s">
        <v>48</v>
      </c>
      <c r="M151" s="33" t="n">
        <f>1726</f>
        <v>1726.0</v>
      </c>
      <c r="N151" s="34" t="s">
        <v>276</v>
      </c>
      <c r="O151" s="33" t="n">
        <f>1608</f>
        <v>1608.0</v>
      </c>
      <c r="P151" s="34" t="s">
        <v>91</v>
      </c>
      <c r="Q151" s="33" t="n">
        <f>1719</f>
        <v>1719.0</v>
      </c>
      <c r="R151" s="34" t="s">
        <v>68</v>
      </c>
      <c r="S151" s="35" t="n">
        <f>1683.38</f>
        <v>1683.38</v>
      </c>
      <c r="T151" s="32" t="n">
        <f>1850</f>
        <v>1850.0</v>
      </c>
      <c r="U151" s="32" t="str">
        <f>"－"</f>
        <v>－</v>
      </c>
      <c r="V151" s="32" t="n">
        <f>3119305</f>
        <v>3119305.0</v>
      </c>
      <c r="W151" s="32" t="str">
        <f>"－"</f>
        <v>－</v>
      </c>
      <c r="X151" s="36" t="n">
        <f>13</f>
        <v>13.0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645.2</f>
        <v>645.2</v>
      </c>
      <c r="L152" s="34" t="s">
        <v>48</v>
      </c>
      <c r="M152" s="33" t="n">
        <f>684.9</f>
        <v>684.9</v>
      </c>
      <c r="N152" s="34" t="s">
        <v>174</v>
      </c>
      <c r="O152" s="33" t="n">
        <f>600.1</f>
        <v>600.1</v>
      </c>
      <c r="P152" s="34" t="s">
        <v>91</v>
      </c>
      <c r="Q152" s="33" t="n">
        <f>620</f>
        <v>620.0</v>
      </c>
      <c r="R152" s="34" t="s">
        <v>50</v>
      </c>
      <c r="S152" s="35" t="n">
        <f>633.11</f>
        <v>633.11</v>
      </c>
      <c r="T152" s="32" t="n">
        <f>93400</f>
        <v>93400.0</v>
      </c>
      <c r="U152" s="32" t="str">
        <f>"－"</f>
        <v>－</v>
      </c>
      <c r="V152" s="32" t="n">
        <f>58788470</f>
        <v>5.878847E7</v>
      </c>
      <c r="W152" s="32" t="str">
        <f>"－"</f>
        <v>－</v>
      </c>
      <c r="X152" s="36" t="n">
        <f>21</f>
        <v>21.0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2147</f>
        <v>2147.0</v>
      </c>
      <c r="L153" s="34" t="s">
        <v>48</v>
      </c>
      <c r="M153" s="33" t="n">
        <f>2174.5</f>
        <v>2174.5</v>
      </c>
      <c r="N153" s="34" t="s">
        <v>48</v>
      </c>
      <c r="O153" s="33" t="n">
        <f>2032</f>
        <v>2032.0</v>
      </c>
      <c r="P153" s="34" t="s">
        <v>206</v>
      </c>
      <c r="Q153" s="33" t="n">
        <f>2078</f>
        <v>2078.0</v>
      </c>
      <c r="R153" s="34" t="s">
        <v>50</v>
      </c>
      <c r="S153" s="35" t="n">
        <f>2071.16</f>
        <v>2071.16</v>
      </c>
      <c r="T153" s="32" t="n">
        <f>3510</f>
        <v>3510.0</v>
      </c>
      <c r="U153" s="32" t="str">
        <f>"－"</f>
        <v>－</v>
      </c>
      <c r="V153" s="32" t="n">
        <f>7407775</f>
        <v>7407775.0</v>
      </c>
      <c r="W153" s="32" t="str">
        <f>"－"</f>
        <v>－</v>
      </c>
      <c r="X153" s="36" t="n">
        <f>19</f>
        <v>19.0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974.9</f>
        <v>974.9</v>
      </c>
      <c r="L154" s="34" t="s">
        <v>48</v>
      </c>
      <c r="M154" s="33" t="n">
        <f>1004</f>
        <v>1004.0</v>
      </c>
      <c r="N154" s="34" t="s">
        <v>60</v>
      </c>
      <c r="O154" s="33" t="n">
        <f>949</f>
        <v>949.0</v>
      </c>
      <c r="P154" s="34" t="s">
        <v>64</v>
      </c>
      <c r="Q154" s="33" t="n">
        <f>974.3</f>
        <v>974.3</v>
      </c>
      <c r="R154" s="34" t="s">
        <v>50</v>
      </c>
      <c r="S154" s="35" t="n">
        <f>976.1</f>
        <v>976.1</v>
      </c>
      <c r="T154" s="32" t="n">
        <f>32520</f>
        <v>32520.0</v>
      </c>
      <c r="U154" s="32" t="str">
        <f>"－"</f>
        <v>－</v>
      </c>
      <c r="V154" s="32" t="n">
        <f>31887756</f>
        <v>3.1887756E7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627.4</f>
        <v>627.4</v>
      </c>
      <c r="L155" s="34" t="s">
        <v>48</v>
      </c>
      <c r="M155" s="33" t="n">
        <f>666</f>
        <v>666.0</v>
      </c>
      <c r="N155" s="34" t="s">
        <v>60</v>
      </c>
      <c r="O155" s="33" t="n">
        <f>627.4</f>
        <v>627.4</v>
      </c>
      <c r="P155" s="34" t="s">
        <v>48</v>
      </c>
      <c r="Q155" s="33" t="n">
        <f>637.9</f>
        <v>637.9</v>
      </c>
      <c r="R155" s="34" t="s">
        <v>50</v>
      </c>
      <c r="S155" s="35" t="n">
        <f>643.96</f>
        <v>643.96</v>
      </c>
      <c r="T155" s="32" t="n">
        <f>110750</f>
        <v>110750.0</v>
      </c>
      <c r="U155" s="32" t="str">
        <f>"－"</f>
        <v>－</v>
      </c>
      <c r="V155" s="32" t="n">
        <f>71422901</f>
        <v>7.1422901E7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100.0</v>
      </c>
      <c r="K156" s="33" t="n">
        <f>1.2</f>
        <v>1.2</v>
      </c>
      <c r="L156" s="34" t="s">
        <v>48</v>
      </c>
      <c r="M156" s="33" t="n">
        <f>1.4</f>
        <v>1.4</v>
      </c>
      <c r="N156" s="34" t="s">
        <v>213</v>
      </c>
      <c r="O156" s="33" t="n">
        <f>1.1</f>
        <v>1.1</v>
      </c>
      <c r="P156" s="34" t="s">
        <v>48</v>
      </c>
      <c r="Q156" s="33" t="n">
        <f>1.3</f>
        <v>1.3</v>
      </c>
      <c r="R156" s="34" t="s">
        <v>50</v>
      </c>
      <c r="S156" s="35" t="n">
        <f>1.28</f>
        <v>1.28</v>
      </c>
      <c r="T156" s="32" t="n">
        <f>1263548500</f>
        <v>1.2635485E9</v>
      </c>
      <c r="U156" s="32" t="n">
        <f>300</f>
        <v>300.0</v>
      </c>
      <c r="V156" s="32" t="n">
        <f>1615687250</f>
        <v>1.61568725E9</v>
      </c>
      <c r="W156" s="32" t="n">
        <f>330</f>
        <v>330.0</v>
      </c>
      <c r="X156" s="36" t="n">
        <f>21</f>
        <v>21.0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1601.5</f>
        <v>1601.5</v>
      </c>
      <c r="L157" s="34" t="s">
        <v>48</v>
      </c>
      <c r="M157" s="33" t="n">
        <f>1609.5</f>
        <v>1609.5</v>
      </c>
      <c r="N157" s="34" t="s">
        <v>60</v>
      </c>
      <c r="O157" s="33" t="n">
        <f>1445</f>
        <v>1445.0</v>
      </c>
      <c r="P157" s="34" t="s">
        <v>91</v>
      </c>
      <c r="Q157" s="33" t="n">
        <f>1519</f>
        <v>1519.0</v>
      </c>
      <c r="R157" s="34" t="s">
        <v>50</v>
      </c>
      <c r="S157" s="35" t="n">
        <f>1536.07</f>
        <v>1536.07</v>
      </c>
      <c r="T157" s="32" t="n">
        <f>117650</f>
        <v>117650.0</v>
      </c>
      <c r="U157" s="32" t="str">
        <f>"－"</f>
        <v>－</v>
      </c>
      <c r="V157" s="32" t="n">
        <f>180789170</f>
        <v>1.8078917E8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8448</f>
        <v>8448.0</v>
      </c>
      <c r="L158" s="34" t="s">
        <v>48</v>
      </c>
      <c r="M158" s="33" t="n">
        <f>8999</f>
        <v>8999.0</v>
      </c>
      <c r="N158" s="34" t="s">
        <v>241</v>
      </c>
      <c r="O158" s="33" t="n">
        <f>7462</f>
        <v>7462.0</v>
      </c>
      <c r="P158" s="34" t="s">
        <v>91</v>
      </c>
      <c r="Q158" s="33" t="n">
        <f>7824</f>
        <v>7824.0</v>
      </c>
      <c r="R158" s="34" t="s">
        <v>50</v>
      </c>
      <c r="S158" s="35" t="n">
        <f>7893.52</f>
        <v>7893.52</v>
      </c>
      <c r="T158" s="32" t="n">
        <f>3625</f>
        <v>3625.0</v>
      </c>
      <c r="U158" s="32" t="str">
        <f>"－"</f>
        <v>－</v>
      </c>
      <c r="V158" s="32" t="n">
        <f>29017461</f>
        <v>2.9017461E7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100.0</v>
      </c>
      <c r="K159" s="33" t="n">
        <f>465.1</f>
        <v>465.1</v>
      </c>
      <c r="L159" s="34" t="s">
        <v>48</v>
      </c>
      <c r="M159" s="33" t="n">
        <f>468</f>
        <v>468.0</v>
      </c>
      <c r="N159" s="34" t="s">
        <v>48</v>
      </c>
      <c r="O159" s="33" t="n">
        <f>430.3</f>
        <v>430.3</v>
      </c>
      <c r="P159" s="34" t="s">
        <v>206</v>
      </c>
      <c r="Q159" s="33" t="n">
        <f>452</f>
        <v>452.0</v>
      </c>
      <c r="R159" s="34" t="s">
        <v>50</v>
      </c>
      <c r="S159" s="35" t="n">
        <f>443.3</f>
        <v>443.3</v>
      </c>
      <c r="T159" s="32" t="n">
        <f>90500</f>
        <v>90500.0</v>
      </c>
      <c r="U159" s="32" t="str">
        <f>"－"</f>
        <v>－</v>
      </c>
      <c r="V159" s="32" t="n">
        <f>40304020</f>
        <v>4.030402E7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4990</f>
        <v>4990.0</v>
      </c>
      <c r="L160" s="34" t="s">
        <v>48</v>
      </c>
      <c r="M160" s="33" t="n">
        <f>4990</f>
        <v>4990.0</v>
      </c>
      <c r="N160" s="34" t="s">
        <v>48</v>
      </c>
      <c r="O160" s="33" t="n">
        <f>4702</f>
        <v>4702.0</v>
      </c>
      <c r="P160" s="34" t="s">
        <v>91</v>
      </c>
      <c r="Q160" s="33" t="n">
        <f>4890</f>
        <v>4890.0</v>
      </c>
      <c r="R160" s="34" t="s">
        <v>50</v>
      </c>
      <c r="S160" s="35" t="n">
        <f>4815.48</f>
        <v>4815.48</v>
      </c>
      <c r="T160" s="32" t="n">
        <f>17960</f>
        <v>17960.0</v>
      </c>
      <c r="U160" s="32" t="str">
        <f>"－"</f>
        <v>－</v>
      </c>
      <c r="V160" s="32" t="n">
        <f>86573150</f>
        <v>8.657315E7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2611.5</f>
        <v>2611.5</v>
      </c>
      <c r="L161" s="34" t="s">
        <v>48</v>
      </c>
      <c r="M161" s="33" t="n">
        <f>2645</f>
        <v>2645.0</v>
      </c>
      <c r="N161" s="34" t="s">
        <v>174</v>
      </c>
      <c r="O161" s="33" t="n">
        <f>2482.5</f>
        <v>2482.5</v>
      </c>
      <c r="P161" s="34" t="s">
        <v>68</v>
      </c>
      <c r="Q161" s="33" t="n">
        <f>2516.5</f>
        <v>2516.5</v>
      </c>
      <c r="R161" s="34" t="s">
        <v>50</v>
      </c>
      <c r="S161" s="35" t="n">
        <f>2552.67</f>
        <v>2552.67</v>
      </c>
      <c r="T161" s="32" t="n">
        <f>11540</f>
        <v>11540.0</v>
      </c>
      <c r="U161" s="32" t="str">
        <f>"－"</f>
        <v>－</v>
      </c>
      <c r="V161" s="32" t="n">
        <f>29441065</f>
        <v>2.9441065E7</v>
      </c>
      <c r="W161" s="32" t="str">
        <f>"－"</f>
        <v>－</v>
      </c>
      <c r="X161" s="36" t="n">
        <f>21</f>
        <v>21.0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77.4</f>
        <v>77.4</v>
      </c>
      <c r="L162" s="34" t="s">
        <v>48</v>
      </c>
      <c r="M162" s="33" t="n">
        <f>83.5</f>
        <v>83.5</v>
      </c>
      <c r="N162" s="34" t="s">
        <v>60</v>
      </c>
      <c r="O162" s="33" t="n">
        <f>75.3</f>
        <v>75.3</v>
      </c>
      <c r="P162" s="34" t="s">
        <v>48</v>
      </c>
      <c r="Q162" s="33" t="n">
        <f>78.3</f>
        <v>78.3</v>
      </c>
      <c r="R162" s="34" t="s">
        <v>50</v>
      </c>
      <c r="S162" s="35" t="n">
        <f>79.45</f>
        <v>79.45</v>
      </c>
      <c r="T162" s="32" t="n">
        <f>11964300</f>
        <v>1.19643E7</v>
      </c>
      <c r="U162" s="32" t="str">
        <f>"－"</f>
        <v>－</v>
      </c>
      <c r="V162" s="32" t="n">
        <f>944445740</f>
        <v>9.4444574E8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169.1</f>
        <v>169.1</v>
      </c>
      <c r="L163" s="34" t="s">
        <v>48</v>
      </c>
      <c r="M163" s="33" t="n">
        <f>179.4</f>
        <v>179.4</v>
      </c>
      <c r="N163" s="34" t="s">
        <v>60</v>
      </c>
      <c r="O163" s="33" t="n">
        <f>168</f>
        <v>168.0</v>
      </c>
      <c r="P163" s="34" t="s">
        <v>48</v>
      </c>
      <c r="Q163" s="33" t="n">
        <f>170</f>
        <v>170.0</v>
      </c>
      <c r="R163" s="34" t="s">
        <v>50</v>
      </c>
      <c r="S163" s="35" t="n">
        <f>172.65</f>
        <v>172.65</v>
      </c>
      <c r="T163" s="32" t="n">
        <f>840800</f>
        <v>840800.0</v>
      </c>
      <c r="U163" s="32" t="str">
        <f>"－"</f>
        <v>－</v>
      </c>
      <c r="V163" s="32" t="n">
        <f>145591130</f>
        <v>1.4559113E8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4648</f>
        <v>4648.0</v>
      </c>
      <c r="L164" s="34" t="s">
        <v>48</v>
      </c>
      <c r="M164" s="33" t="n">
        <f>4798</f>
        <v>4798.0</v>
      </c>
      <c r="N164" s="34" t="s">
        <v>286</v>
      </c>
      <c r="O164" s="33" t="n">
        <f>4555</f>
        <v>4555.0</v>
      </c>
      <c r="P164" s="34" t="s">
        <v>213</v>
      </c>
      <c r="Q164" s="33" t="n">
        <f>4682</f>
        <v>4682.0</v>
      </c>
      <c r="R164" s="34" t="s">
        <v>50</v>
      </c>
      <c r="S164" s="35" t="n">
        <f>4684.76</f>
        <v>4684.76</v>
      </c>
      <c r="T164" s="32" t="n">
        <f>5050</f>
        <v>5050.0</v>
      </c>
      <c r="U164" s="32" t="str">
        <f>"－"</f>
        <v>－</v>
      </c>
      <c r="V164" s="32" t="n">
        <f>23655730</f>
        <v>2.365573E7</v>
      </c>
      <c r="W164" s="32" t="str">
        <f>"－"</f>
        <v>－</v>
      </c>
      <c r="X164" s="36" t="n">
        <f>21</f>
        <v>21.0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2667</f>
        <v>2667.0</v>
      </c>
      <c r="L165" s="34" t="s">
        <v>48</v>
      </c>
      <c r="M165" s="33" t="n">
        <f>2667</f>
        <v>2667.0</v>
      </c>
      <c r="N165" s="34" t="s">
        <v>48</v>
      </c>
      <c r="O165" s="33" t="n">
        <f>2487</f>
        <v>2487.0</v>
      </c>
      <c r="P165" s="34" t="s">
        <v>49</v>
      </c>
      <c r="Q165" s="33" t="n">
        <f>2552.5</f>
        <v>2552.5</v>
      </c>
      <c r="R165" s="34" t="s">
        <v>50</v>
      </c>
      <c r="S165" s="35" t="n">
        <f>2558.9</f>
        <v>2558.9</v>
      </c>
      <c r="T165" s="32" t="n">
        <f>572110</f>
        <v>572110.0</v>
      </c>
      <c r="U165" s="32" t="n">
        <f>394890</f>
        <v>394890.0</v>
      </c>
      <c r="V165" s="32" t="n">
        <f>1466391789</f>
        <v>1.466391789E9</v>
      </c>
      <c r="W165" s="32" t="n">
        <f>1013849499</f>
        <v>1.013849499E9</v>
      </c>
      <c r="X165" s="36" t="n">
        <f>21</f>
        <v>21.0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432.6</f>
        <v>432.6</v>
      </c>
      <c r="L166" s="34" t="s">
        <v>48</v>
      </c>
      <c r="M166" s="33" t="n">
        <f>440.7</f>
        <v>440.7</v>
      </c>
      <c r="N166" s="34" t="s">
        <v>60</v>
      </c>
      <c r="O166" s="33" t="n">
        <f>394.9</f>
        <v>394.9</v>
      </c>
      <c r="P166" s="34" t="s">
        <v>91</v>
      </c>
      <c r="Q166" s="33" t="n">
        <f>415.8</f>
        <v>415.8</v>
      </c>
      <c r="R166" s="34" t="s">
        <v>50</v>
      </c>
      <c r="S166" s="35" t="n">
        <f>419.92</f>
        <v>419.92</v>
      </c>
      <c r="T166" s="32" t="n">
        <f>29394260</f>
        <v>2.939426E7</v>
      </c>
      <c r="U166" s="32" t="n">
        <f>4610</f>
        <v>4610.0</v>
      </c>
      <c r="V166" s="32" t="n">
        <f>12347204191</f>
        <v>1.2347204191E10</v>
      </c>
      <c r="W166" s="32" t="n">
        <f>1870387</f>
        <v>1870387.0</v>
      </c>
      <c r="X166" s="36" t="n">
        <f>21</f>
        <v>21.0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549</v>
      </c>
      <c r="J167" s="32" t="n">
        <v>1.0</v>
      </c>
      <c r="K167" s="33" t="n">
        <f>4955</f>
        <v>4955.0</v>
      </c>
      <c r="L167" s="34" t="s">
        <v>48</v>
      </c>
      <c r="M167" s="33" t="n">
        <f>5170</f>
        <v>5170.0</v>
      </c>
      <c r="N167" s="34" t="s">
        <v>64</v>
      </c>
      <c r="O167" s="33" t="n">
        <f>4420</f>
        <v>4420.0</v>
      </c>
      <c r="P167" s="34" t="s">
        <v>49</v>
      </c>
      <c r="Q167" s="33" t="n">
        <f>4555</f>
        <v>4555.0</v>
      </c>
      <c r="R167" s="34" t="s">
        <v>50</v>
      </c>
      <c r="S167" s="35" t="n">
        <f>4729.29</f>
        <v>4729.29</v>
      </c>
      <c r="T167" s="32" t="n">
        <f>34911</f>
        <v>34911.0</v>
      </c>
      <c r="U167" s="32" t="str">
        <f>"－"</f>
        <v>－</v>
      </c>
      <c r="V167" s="32" t="n">
        <f>164968300</f>
        <v>1.649683E8</v>
      </c>
      <c r="W167" s="32" t="str">
        <f>"－"</f>
        <v>－</v>
      </c>
      <c r="X167" s="36" t="n">
        <f>21</f>
        <v>21.0</v>
      </c>
    </row>
    <row r="168">
      <c r="A168" s="27" t="s">
        <v>42</v>
      </c>
      <c r="B168" s="27" t="s">
        <v>550</v>
      </c>
      <c r="C168" s="27" t="s">
        <v>551</v>
      </c>
      <c r="D168" s="27" t="s">
        <v>552</v>
      </c>
      <c r="E168" s="28" t="s">
        <v>46</v>
      </c>
      <c r="F168" s="29" t="s">
        <v>46</v>
      </c>
      <c r="G168" s="30" t="s">
        <v>46</v>
      </c>
      <c r="H168" s="31"/>
      <c r="I168" s="31" t="s">
        <v>549</v>
      </c>
      <c r="J168" s="32" t="n">
        <v>1.0</v>
      </c>
      <c r="K168" s="33" t="n">
        <f>9092</f>
        <v>9092.0</v>
      </c>
      <c r="L168" s="34" t="s">
        <v>48</v>
      </c>
      <c r="M168" s="33" t="n">
        <f>9700</f>
        <v>9700.0</v>
      </c>
      <c r="N168" s="34" t="s">
        <v>175</v>
      </c>
      <c r="O168" s="33" t="n">
        <f>8850</f>
        <v>8850.0</v>
      </c>
      <c r="P168" s="34" t="s">
        <v>64</v>
      </c>
      <c r="Q168" s="33" t="n">
        <f>9623</f>
        <v>9623.0</v>
      </c>
      <c r="R168" s="34" t="s">
        <v>50</v>
      </c>
      <c r="S168" s="35" t="n">
        <f>9368.14</f>
        <v>9368.14</v>
      </c>
      <c r="T168" s="32" t="n">
        <f>12955</f>
        <v>12955.0</v>
      </c>
      <c r="U168" s="32" t="str">
        <f>"－"</f>
        <v>－</v>
      </c>
      <c r="V168" s="32" t="n">
        <f>121421203</f>
        <v>1.21421203E8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553</v>
      </c>
      <c r="C169" s="27" t="s">
        <v>554</v>
      </c>
      <c r="D169" s="27" t="s">
        <v>555</v>
      </c>
      <c r="E169" s="28" t="s">
        <v>46</v>
      </c>
      <c r="F169" s="29" t="s">
        <v>46</v>
      </c>
      <c r="G169" s="30" t="s">
        <v>46</v>
      </c>
      <c r="H169" s="31"/>
      <c r="I169" s="31" t="s">
        <v>549</v>
      </c>
      <c r="J169" s="32" t="n">
        <v>1.0</v>
      </c>
      <c r="K169" s="33" t="n">
        <f>11700</f>
        <v>11700.0</v>
      </c>
      <c r="L169" s="34" t="s">
        <v>48</v>
      </c>
      <c r="M169" s="33" t="n">
        <f>11910</f>
        <v>11910.0</v>
      </c>
      <c r="N169" s="34" t="s">
        <v>48</v>
      </c>
      <c r="O169" s="33" t="n">
        <f>10150</f>
        <v>10150.0</v>
      </c>
      <c r="P169" s="34" t="s">
        <v>68</v>
      </c>
      <c r="Q169" s="33" t="n">
        <f>10245</f>
        <v>10245.0</v>
      </c>
      <c r="R169" s="34" t="s">
        <v>50</v>
      </c>
      <c r="S169" s="35" t="n">
        <f>11016.05</f>
        <v>11016.05</v>
      </c>
      <c r="T169" s="32" t="n">
        <f>1105</f>
        <v>1105.0</v>
      </c>
      <c r="U169" s="32" t="str">
        <f>"－"</f>
        <v>－</v>
      </c>
      <c r="V169" s="32" t="n">
        <f>12151325</f>
        <v>1.2151325E7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556</v>
      </c>
      <c r="C170" s="27" t="s">
        <v>557</v>
      </c>
      <c r="D170" s="27" t="s">
        <v>558</v>
      </c>
      <c r="E170" s="28" t="s">
        <v>46</v>
      </c>
      <c r="F170" s="29" t="s">
        <v>46</v>
      </c>
      <c r="G170" s="30" t="s">
        <v>46</v>
      </c>
      <c r="H170" s="31"/>
      <c r="I170" s="31" t="s">
        <v>549</v>
      </c>
      <c r="J170" s="32" t="n">
        <v>1.0</v>
      </c>
      <c r="K170" s="33" t="n">
        <f>8188</f>
        <v>8188.0</v>
      </c>
      <c r="L170" s="34" t="s">
        <v>48</v>
      </c>
      <c r="M170" s="33" t="n">
        <f>9100</f>
        <v>9100.0</v>
      </c>
      <c r="N170" s="34" t="s">
        <v>50</v>
      </c>
      <c r="O170" s="33" t="n">
        <f>8169</f>
        <v>8169.0</v>
      </c>
      <c r="P170" s="34" t="s">
        <v>48</v>
      </c>
      <c r="Q170" s="33" t="n">
        <f>9100</f>
        <v>9100.0</v>
      </c>
      <c r="R170" s="34" t="s">
        <v>50</v>
      </c>
      <c r="S170" s="35" t="n">
        <f>8546.95</f>
        <v>8546.95</v>
      </c>
      <c r="T170" s="32" t="n">
        <f>23555</f>
        <v>23555.0</v>
      </c>
      <c r="U170" s="32" t="str">
        <f>"－"</f>
        <v>－</v>
      </c>
      <c r="V170" s="32" t="n">
        <f>200052865</f>
        <v>2.00052865E8</v>
      </c>
      <c r="W170" s="32" t="str">
        <f>"－"</f>
        <v>－</v>
      </c>
      <c r="X170" s="36" t="n">
        <f>21</f>
        <v>21.0</v>
      </c>
    </row>
    <row r="171">
      <c r="A171" s="27" t="s">
        <v>42</v>
      </c>
      <c r="B171" s="27" t="s">
        <v>559</v>
      </c>
      <c r="C171" s="27" t="s">
        <v>560</v>
      </c>
      <c r="D171" s="27" t="s">
        <v>561</v>
      </c>
      <c r="E171" s="28" t="s">
        <v>46</v>
      </c>
      <c r="F171" s="29" t="s">
        <v>46</v>
      </c>
      <c r="G171" s="30" t="s">
        <v>46</v>
      </c>
      <c r="H171" s="31"/>
      <c r="I171" s="31" t="s">
        <v>549</v>
      </c>
      <c r="J171" s="32" t="n">
        <v>1.0</v>
      </c>
      <c r="K171" s="33" t="n">
        <f>33040</f>
        <v>33040.0</v>
      </c>
      <c r="L171" s="34" t="s">
        <v>48</v>
      </c>
      <c r="M171" s="33" t="n">
        <f>38920</f>
        <v>38920.0</v>
      </c>
      <c r="N171" s="34" t="s">
        <v>90</v>
      </c>
      <c r="O171" s="33" t="n">
        <f>31590</f>
        <v>31590.0</v>
      </c>
      <c r="P171" s="34" t="s">
        <v>86</v>
      </c>
      <c r="Q171" s="33" t="n">
        <f>38490</f>
        <v>38490.0</v>
      </c>
      <c r="R171" s="34" t="s">
        <v>50</v>
      </c>
      <c r="S171" s="35" t="n">
        <f>35333.33</f>
        <v>35333.33</v>
      </c>
      <c r="T171" s="32" t="n">
        <f>47937</f>
        <v>47937.0</v>
      </c>
      <c r="U171" s="32" t="n">
        <f>75</f>
        <v>75.0</v>
      </c>
      <c r="V171" s="32" t="n">
        <f>1712709810</f>
        <v>1.71270981E9</v>
      </c>
      <c r="W171" s="32" t="n">
        <f>2694220</f>
        <v>2694220.0</v>
      </c>
      <c r="X171" s="36" t="n">
        <f>21</f>
        <v>21.0</v>
      </c>
    </row>
    <row r="172">
      <c r="A172" s="27" t="s">
        <v>42</v>
      </c>
      <c r="B172" s="27" t="s">
        <v>562</v>
      </c>
      <c r="C172" s="27" t="s">
        <v>563</v>
      </c>
      <c r="D172" s="27" t="s">
        <v>564</v>
      </c>
      <c r="E172" s="28" t="s">
        <v>46</v>
      </c>
      <c r="F172" s="29" t="s">
        <v>46</v>
      </c>
      <c r="G172" s="30" t="s">
        <v>46</v>
      </c>
      <c r="H172" s="31"/>
      <c r="I172" s="31" t="s">
        <v>549</v>
      </c>
      <c r="J172" s="32" t="n">
        <v>1.0</v>
      </c>
      <c r="K172" s="33" t="n">
        <f>3780</f>
        <v>3780.0</v>
      </c>
      <c r="L172" s="34" t="s">
        <v>48</v>
      </c>
      <c r="M172" s="33" t="n">
        <f>3890</f>
        <v>3890.0</v>
      </c>
      <c r="N172" s="34" t="s">
        <v>91</v>
      </c>
      <c r="O172" s="33" t="n">
        <f>3480</f>
        <v>3480.0</v>
      </c>
      <c r="P172" s="34" t="s">
        <v>90</v>
      </c>
      <c r="Q172" s="33" t="n">
        <f>3520</f>
        <v>3520.0</v>
      </c>
      <c r="R172" s="34" t="s">
        <v>50</v>
      </c>
      <c r="S172" s="35" t="n">
        <f>3681.67</f>
        <v>3681.67</v>
      </c>
      <c r="T172" s="32" t="n">
        <f>18832</f>
        <v>18832.0</v>
      </c>
      <c r="U172" s="32" t="str">
        <f>"－"</f>
        <v>－</v>
      </c>
      <c r="V172" s="32" t="n">
        <f>69253630</f>
        <v>6.925363E7</v>
      </c>
      <c r="W172" s="32" t="str">
        <f>"－"</f>
        <v>－</v>
      </c>
      <c r="X172" s="36" t="n">
        <f>21</f>
        <v>21.0</v>
      </c>
    </row>
    <row r="173">
      <c r="A173" s="27" t="s">
        <v>42</v>
      </c>
      <c r="B173" s="27" t="s">
        <v>565</v>
      </c>
      <c r="C173" s="27" t="s">
        <v>566</v>
      </c>
      <c r="D173" s="27" t="s">
        <v>567</v>
      </c>
      <c r="E173" s="28" t="s">
        <v>46</v>
      </c>
      <c r="F173" s="29" t="s">
        <v>46</v>
      </c>
      <c r="G173" s="30" t="s">
        <v>46</v>
      </c>
      <c r="H173" s="31"/>
      <c r="I173" s="31" t="s">
        <v>549</v>
      </c>
      <c r="J173" s="32" t="n">
        <v>1.0</v>
      </c>
      <c r="K173" s="33" t="n">
        <f>2190</f>
        <v>2190.0</v>
      </c>
      <c r="L173" s="34" t="s">
        <v>48</v>
      </c>
      <c r="M173" s="33" t="n">
        <f>2283</f>
        <v>2283.0</v>
      </c>
      <c r="N173" s="34" t="s">
        <v>60</v>
      </c>
      <c r="O173" s="33" t="n">
        <f>1827</f>
        <v>1827.0</v>
      </c>
      <c r="P173" s="34" t="s">
        <v>91</v>
      </c>
      <c r="Q173" s="33" t="n">
        <f>2100</f>
        <v>2100.0</v>
      </c>
      <c r="R173" s="34" t="s">
        <v>50</v>
      </c>
      <c r="S173" s="35" t="n">
        <f>2100.1</f>
        <v>2100.1</v>
      </c>
      <c r="T173" s="32" t="n">
        <f>19803016</f>
        <v>1.9803016E7</v>
      </c>
      <c r="U173" s="32" t="n">
        <f>401208</f>
        <v>401208.0</v>
      </c>
      <c r="V173" s="32" t="n">
        <f>41701047670</f>
        <v>4.170104767E10</v>
      </c>
      <c r="W173" s="32" t="n">
        <f>902477035</f>
        <v>9.02477035E8</v>
      </c>
      <c r="X173" s="36" t="n">
        <f>21</f>
        <v>21.0</v>
      </c>
    </row>
    <row r="174">
      <c r="A174" s="27" t="s">
        <v>42</v>
      </c>
      <c r="B174" s="27" t="s">
        <v>568</v>
      </c>
      <c r="C174" s="27" t="s">
        <v>569</v>
      </c>
      <c r="D174" s="27" t="s">
        <v>570</v>
      </c>
      <c r="E174" s="28" t="s">
        <v>46</v>
      </c>
      <c r="F174" s="29" t="s">
        <v>46</v>
      </c>
      <c r="G174" s="30" t="s">
        <v>46</v>
      </c>
      <c r="H174" s="31"/>
      <c r="I174" s="31" t="s">
        <v>549</v>
      </c>
      <c r="J174" s="32" t="n">
        <v>1.0</v>
      </c>
      <c r="K174" s="33" t="n">
        <f>1035</f>
        <v>1035.0</v>
      </c>
      <c r="L174" s="34" t="s">
        <v>48</v>
      </c>
      <c r="M174" s="33" t="n">
        <f>1119</f>
        <v>1119.0</v>
      </c>
      <c r="N174" s="34" t="s">
        <v>91</v>
      </c>
      <c r="O174" s="33" t="n">
        <f>1001</f>
        <v>1001.0</v>
      </c>
      <c r="P174" s="34" t="s">
        <v>60</v>
      </c>
      <c r="Q174" s="33" t="n">
        <f>1032</f>
        <v>1032.0</v>
      </c>
      <c r="R174" s="34" t="s">
        <v>50</v>
      </c>
      <c r="S174" s="35" t="n">
        <f>1042.29</f>
        <v>1042.29</v>
      </c>
      <c r="T174" s="32" t="n">
        <f>1890218</f>
        <v>1890218.0</v>
      </c>
      <c r="U174" s="32" t="n">
        <f>58</f>
        <v>58.0</v>
      </c>
      <c r="V174" s="32" t="n">
        <f>1996763757</f>
        <v>1.996763757E9</v>
      </c>
      <c r="W174" s="32" t="n">
        <f>61134</f>
        <v>61134.0</v>
      </c>
      <c r="X174" s="36" t="n">
        <f>21</f>
        <v>21.0</v>
      </c>
    </row>
    <row r="175">
      <c r="A175" s="27" t="s">
        <v>42</v>
      </c>
      <c r="B175" s="27" t="s">
        <v>571</v>
      </c>
      <c r="C175" s="27" t="s">
        <v>572</v>
      </c>
      <c r="D175" s="27" t="s">
        <v>573</v>
      </c>
      <c r="E175" s="28" t="s">
        <v>46</v>
      </c>
      <c r="F175" s="29" t="s">
        <v>46</v>
      </c>
      <c r="G175" s="30" t="s">
        <v>46</v>
      </c>
      <c r="H175" s="31"/>
      <c r="I175" s="31" t="s">
        <v>549</v>
      </c>
      <c r="J175" s="32" t="n">
        <v>1.0</v>
      </c>
      <c r="K175" s="33" t="n">
        <f>23405</f>
        <v>23405.0</v>
      </c>
      <c r="L175" s="34" t="s">
        <v>48</v>
      </c>
      <c r="M175" s="33" t="n">
        <f>23470</f>
        <v>23470.0</v>
      </c>
      <c r="N175" s="34" t="s">
        <v>206</v>
      </c>
      <c r="O175" s="33" t="n">
        <f>21505</f>
        <v>21505.0</v>
      </c>
      <c r="P175" s="34" t="s">
        <v>90</v>
      </c>
      <c r="Q175" s="33" t="n">
        <f>22035</f>
        <v>22035.0</v>
      </c>
      <c r="R175" s="34" t="s">
        <v>50</v>
      </c>
      <c r="S175" s="35" t="n">
        <f>22699.05</f>
        <v>22699.05</v>
      </c>
      <c r="T175" s="32" t="n">
        <f>54132</f>
        <v>54132.0</v>
      </c>
      <c r="U175" s="32" t="n">
        <f>1</f>
        <v>1.0</v>
      </c>
      <c r="V175" s="32" t="n">
        <f>1231135030</f>
        <v>1.23113503E9</v>
      </c>
      <c r="W175" s="32" t="n">
        <f>22590</f>
        <v>22590.0</v>
      </c>
      <c r="X175" s="36" t="n">
        <f>21</f>
        <v>21.0</v>
      </c>
    </row>
    <row r="176">
      <c r="A176" s="27" t="s">
        <v>42</v>
      </c>
      <c r="B176" s="27" t="s">
        <v>574</v>
      </c>
      <c r="C176" s="27" t="s">
        <v>575</v>
      </c>
      <c r="D176" s="27" t="s">
        <v>576</v>
      </c>
      <c r="E176" s="28" t="s">
        <v>46</v>
      </c>
      <c r="F176" s="29" t="s">
        <v>46</v>
      </c>
      <c r="G176" s="30" t="s">
        <v>46</v>
      </c>
      <c r="H176" s="31"/>
      <c r="I176" s="31" t="s">
        <v>549</v>
      </c>
      <c r="J176" s="32" t="n">
        <v>1.0</v>
      </c>
      <c r="K176" s="33" t="n">
        <f>2912</f>
        <v>2912.0</v>
      </c>
      <c r="L176" s="34" t="s">
        <v>48</v>
      </c>
      <c r="M176" s="33" t="n">
        <f>3035</f>
        <v>3035.0</v>
      </c>
      <c r="N176" s="34" t="s">
        <v>90</v>
      </c>
      <c r="O176" s="33" t="n">
        <f>2886</f>
        <v>2886.0</v>
      </c>
      <c r="P176" s="34" t="s">
        <v>206</v>
      </c>
      <c r="Q176" s="33" t="n">
        <f>2991</f>
        <v>2991.0</v>
      </c>
      <c r="R176" s="34" t="s">
        <v>50</v>
      </c>
      <c r="S176" s="35" t="n">
        <f>2946.76</f>
        <v>2946.76</v>
      </c>
      <c r="T176" s="32" t="n">
        <f>373011</f>
        <v>373011.0</v>
      </c>
      <c r="U176" s="32" t="n">
        <f>255</f>
        <v>255.0</v>
      </c>
      <c r="V176" s="32" t="n">
        <f>1101299945</f>
        <v>1.101299945E9</v>
      </c>
      <c r="W176" s="32" t="n">
        <f>759986</f>
        <v>759986.0</v>
      </c>
      <c r="X176" s="36" t="n">
        <f>21</f>
        <v>21.0</v>
      </c>
    </row>
    <row r="177">
      <c r="A177" s="27" t="s">
        <v>42</v>
      </c>
      <c r="B177" s="27" t="s">
        <v>577</v>
      </c>
      <c r="C177" s="27" t="s">
        <v>578</v>
      </c>
      <c r="D177" s="27" t="s">
        <v>579</v>
      </c>
      <c r="E177" s="28" t="s">
        <v>46</v>
      </c>
      <c r="F177" s="29" t="s">
        <v>46</v>
      </c>
      <c r="G177" s="30" t="s">
        <v>46</v>
      </c>
      <c r="H177" s="31"/>
      <c r="I177" s="31" t="s">
        <v>549</v>
      </c>
      <c r="J177" s="32" t="n">
        <v>1.0</v>
      </c>
      <c r="K177" s="33" t="n">
        <f>7909</f>
        <v>7909.0</v>
      </c>
      <c r="L177" s="34" t="s">
        <v>48</v>
      </c>
      <c r="M177" s="33" t="n">
        <f>7909</f>
        <v>7909.0</v>
      </c>
      <c r="N177" s="34" t="s">
        <v>48</v>
      </c>
      <c r="O177" s="33" t="n">
        <f>6638</f>
        <v>6638.0</v>
      </c>
      <c r="P177" s="34" t="s">
        <v>49</v>
      </c>
      <c r="Q177" s="33" t="n">
        <f>6899</f>
        <v>6899.0</v>
      </c>
      <c r="R177" s="34" t="s">
        <v>50</v>
      </c>
      <c r="S177" s="35" t="n">
        <f>7196.29</f>
        <v>7196.29</v>
      </c>
      <c r="T177" s="32" t="n">
        <f>59094</f>
        <v>59094.0</v>
      </c>
      <c r="U177" s="32" t="str">
        <f>"－"</f>
        <v>－</v>
      </c>
      <c r="V177" s="32" t="n">
        <f>416797097</f>
        <v>4.16797097E8</v>
      </c>
      <c r="W177" s="32" t="str">
        <f>"－"</f>
        <v>－</v>
      </c>
      <c r="X177" s="36" t="n">
        <f>21</f>
        <v>21.0</v>
      </c>
    </row>
    <row r="178">
      <c r="A178" s="27" t="s">
        <v>42</v>
      </c>
      <c r="B178" s="27" t="s">
        <v>580</v>
      </c>
      <c r="C178" s="27" t="s">
        <v>581</v>
      </c>
      <c r="D178" s="27" t="s">
        <v>582</v>
      </c>
      <c r="E178" s="28" t="s">
        <v>46</v>
      </c>
      <c r="F178" s="29" t="s">
        <v>46</v>
      </c>
      <c r="G178" s="30" t="s">
        <v>46</v>
      </c>
      <c r="H178" s="31"/>
      <c r="I178" s="31" t="s">
        <v>549</v>
      </c>
      <c r="J178" s="32" t="n">
        <v>1.0</v>
      </c>
      <c r="K178" s="33" t="n">
        <f>18250</f>
        <v>18250.0</v>
      </c>
      <c r="L178" s="34" t="s">
        <v>48</v>
      </c>
      <c r="M178" s="33" t="n">
        <f>18335</f>
        <v>18335.0</v>
      </c>
      <c r="N178" s="34" t="s">
        <v>48</v>
      </c>
      <c r="O178" s="33" t="n">
        <f>17020</f>
        <v>17020.0</v>
      </c>
      <c r="P178" s="34" t="s">
        <v>50</v>
      </c>
      <c r="Q178" s="33" t="n">
        <f>17020</f>
        <v>17020.0</v>
      </c>
      <c r="R178" s="34" t="s">
        <v>50</v>
      </c>
      <c r="S178" s="35" t="n">
        <f>17432.14</f>
        <v>17432.14</v>
      </c>
      <c r="T178" s="32" t="n">
        <f>129</f>
        <v>129.0</v>
      </c>
      <c r="U178" s="32" t="str">
        <f>"－"</f>
        <v>－</v>
      </c>
      <c r="V178" s="32" t="n">
        <f>2305700</f>
        <v>2305700.0</v>
      </c>
      <c r="W178" s="32" t="str">
        <f>"－"</f>
        <v>－</v>
      </c>
      <c r="X178" s="36" t="n">
        <f>14</f>
        <v>14.0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/>
      <c r="I179" s="31" t="s">
        <v>549</v>
      </c>
      <c r="J179" s="32" t="n">
        <v>1.0</v>
      </c>
      <c r="K179" s="33" t="n">
        <f>25255</f>
        <v>25255.0</v>
      </c>
      <c r="L179" s="34" t="s">
        <v>48</v>
      </c>
      <c r="M179" s="33" t="n">
        <f>25400</f>
        <v>25400.0</v>
      </c>
      <c r="N179" s="34" t="s">
        <v>48</v>
      </c>
      <c r="O179" s="33" t="n">
        <f>23795</f>
        <v>23795.0</v>
      </c>
      <c r="P179" s="34" t="s">
        <v>90</v>
      </c>
      <c r="Q179" s="33" t="n">
        <f>24060</f>
        <v>24060.0</v>
      </c>
      <c r="R179" s="34" t="s">
        <v>50</v>
      </c>
      <c r="S179" s="35" t="n">
        <f>24641.43</f>
        <v>24641.43</v>
      </c>
      <c r="T179" s="32" t="n">
        <f>9371</f>
        <v>9371.0</v>
      </c>
      <c r="U179" s="32" t="str">
        <f>"－"</f>
        <v>－</v>
      </c>
      <c r="V179" s="32" t="n">
        <f>230126375</f>
        <v>2.30126375E8</v>
      </c>
      <c r="W179" s="32" t="str">
        <f>"－"</f>
        <v>－</v>
      </c>
      <c r="X179" s="36" t="n">
        <f>21</f>
        <v>21.0</v>
      </c>
    </row>
    <row r="180">
      <c r="A180" s="27" t="s">
        <v>42</v>
      </c>
      <c r="B180" s="27" t="s">
        <v>586</v>
      </c>
      <c r="C180" s="27" t="s">
        <v>587</v>
      </c>
      <c r="D180" s="27" t="s">
        <v>588</v>
      </c>
      <c r="E180" s="28" t="s">
        <v>46</v>
      </c>
      <c r="F180" s="29" t="s">
        <v>46</v>
      </c>
      <c r="G180" s="30" t="s">
        <v>46</v>
      </c>
      <c r="H180" s="31"/>
      <c r="I180" s="31" t="s">
        <v>549</v>
      </c>
      <c r="J180" s="32" t="n">
        <v>1.0</v>
      </c>
      <c r="K180" s="33" t="n">
        <f>15650</f>
        <v>15650.0</v>
      </c>
      <c r="L180" s="34" t="s">
        <v>48</v>
      </c>
      <c r="M180" s="33" t="n">
        <f>15650</f>
        <v>15650.0</v>
      </c>
      <c r="N180" s="34" t="s">
        <v>48</v>
      </c>
      <c r="O180" s="33" t="n">
        <f>14240</f>
        <v>14240.0</v>
      </c>
      <c r="P180" s="34" t="s">
        <v>90</v>
      </c>
      <c r="Q180" s="33" t="n">
        <f>14685</f>
        <v>14685.0</v>
      </c>
      <c r="R180" s="34" t="s">
        <v>50</v>
      </c>
      <c r="S180" s="35" t="n">
        <f>15039.5</f>
        <v>15039.5</v>
      </c>
      <c r="T180" s="32" t="n">
        <f>321</f>
        <v>321.0</v>
      </c>
      <c r="U180" s="32" t="str">
        <f>"－"</f>
        <v>－</v>
      </c>
      <c r="V180" s="32" t="n">
        <f>4758340</f>
        <v>4758340.0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589</v>
      </c>
      <c r="C181" s="27" t="s">
        <v>590</v>
      </c>
      <c r="D181" s="27" t="s">
        <v>591</v>
      </c>
      <c r="E181" s="28" t="s">
        <v>46</v>
      </c>
      <c r="F181" s="29" t="s">
        <v>46</v>
      </c>
      <c r="G181" s="30" t="s">
        <v>46</v>
      </c>
      <c r="H181" s="31"/>
      <c r="I181" s="31" t="s">
        <v>549</v>
      </c>
      <c r="J181" s="32" t="n">
        <v>1.0</v>
      </c>
      <c r="K181" s="33" t="n">
        <f>23575</f>
        <v>23575.0</v>
      </c>
      <c r="L181" s="34" t="s">
        <v>48</v>
      </c>
      <c r="M181" s="33" t="n">
        <f>23865</f>
        <v>23865.0</v>
      </c>
      <c r="N181" s="34" t="s">
        <v>64</v>
      </c>
      <c r="O181" s="33" t="n">
        <f>21510</f>
        <v>21510.0</v>
      </c>
      <c r="P181" s="34" t="s">
        <v>175</v>
      </c>
      <c r="Q181" s="33" t="n">
        <f>21990</f>
        <v>21990.0</v>
      </c>
      <c r="R181" s="34" t="s">
        <v>50</v>
      </c>
      <c r="S181" s="35" t="n">
        <f>22855.24</f>
        <v>22855.24</v>
      </c>
      <c r="T181" s="32" t="n">
        <f>43233</f>
        <v>43233.0</v>
      </c>
      <c r="U181" s="32" t="str">
        <f>"－"</f>
        <v>－</v>
      </c>
      <c r="V181" s="32" t="n">
        <f>986919520</f>
        <v>9.8691952E8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592</v>
      </c>
      <c r="C182" s="27" t="s">
        <v>593</v>
      </c>
      <c r="D182" s="27" t="s">
        <v>594</v>
      </c>
      <c r="E182" s="28" t="s">
        <v>46</v>
      </c>
      <c r="F182" s="29" t="s">
        <v>46</v>
      </c>
      <c r="G182" s="30" t="s">
        <v>46</v>
      </c>
      <c r="H182" s="31"/>
      <c r="I182" s="31" t="s">
        <v>549</v>
      </c>
      <c r="J182" s="32" t="n">
        <v>1.0</v>
      </c>
      <c r="K182" s="33" t="n">
        <f>4310</f>
        <v>4310.0</v>
      </c>
      <c r="L182" s="34" t="s">
        <v>48</v>
      </c>
      <c r="M182" s="33" t="n">
        <f>4565</f>
        <v>4565.0</v>
      </c>
      <c r="N182" s="34" t="s">
        <v>175</v>
      </c>
      <c r="O182" s="33" t="n">
        <f>4210</f>
        <v>4210.0</v>
      </c>
      <c r="P182" s="34" t="s">
        <v>48</v>
      </c>
      <c r="Q182" s="33" t="n">
        <f>4410</f>
        <v>4410.0</v>
      </c>
      <c r="R182" s="34" t="s">
        <v>50</v>
      </c>
      <c r="S182" s="35" t="n">
        <f>4339.76</f>
        <v>4339.76</v>
      </c>
      <c r="T182" s="32" t="n">
        <f>8070</f>
        <v>8070.0</v>
      </c>
      <c r="U182" s="32" t="str">
        <f>"－"</f>
        <v>－</v>
      </c>
      <c r="V182" s="32" t="n">
        <f>35313280</f>
        <v>3.531328E7</v>
      </c>
      <c r="W182" s="32" t="str">
        <f>"－"</f>
        <v>－</v>
      </c>
      <c r="X182" s="36" t="n">
        <f>21</f>
        <v>21.0</v>
      </c>
    </row>
    <row r="183">
      <c r="A183" s="27" t="s">
        <v>42</v>
      </c>
      <c r="B183" s="27" t="s">
        <v>595</v>
      </c>
      <c r="C183" s="27" t="s">
        <v>596</v>
      </c>
      <c r="D183" s="27" t="s">
        <v>597</v>
      </c>
      <c r="E183" s="28" t="s">
        <v>46</v>
      </c>
      <c r="F183" s="29" t="s">
        <v>46</v>
      </c>
      <c r="G183" s="30" t="s">
        <v>46</v>
      </c>
      <c r="H183" s="31"/>
      <c r="I183" s="31" t="s">
        <v>549</v>
      </c>
      <c r="J183" s="32" t="n">
        <v>1.0</v>
      </c>
      <c r="K183" s="33" t="n">
        <f>23855</f>
        <v>23855.0</v>
      </c>
      <c r="L183" s="34" t="s">
        <v>48</v>
      </c>
      <c r="M183" s="33" t="n">
        <f>24040</f>
        <v>24040.0</v>
      </c>
      <c r="N183" s="34" t="s">
        <v>64</v>
      </c>
      <c r="O183" s="33" t="n">
        <f>22485</f>
        <v>22485.0</v>
      </c>
      <c r="P183" s="34" t="s">
        <v>86</v>
      </c>
      <c r="Q183" s="33" t="n">
        <f>23325</f>
        <v>23325.0</v>
      </c>
      <c r="R183" s="34" t="s">
        <v>50</v>
      </c>
      <c r="S183" s="35" t="n">
        <f>23375.26</f>
        <v>23375.26</v>
      </c>
      <c r="T183" s="32" t="n">
        <f>309</f>
        <v>309.0</v>
      </c>
      <c r="U183" s="32" t="str">
        <f>"－"</f>
        <v>－</v>
      </c>
      <c r="V183" s="32" t="n">
        <f>7223710</f>
        <v>7223710.0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598</v>
      </c>
      <c r="C184" s="27" t="s">
        <v>599</v>
      </c>
      <c r="D184" s="27" t="s">
        <v>600</v>
      </c>
      <c r="E184" s="28" t="s">
        <v>46</v>
      </c>
      <c r="F184" s="29" t="s">
        <v>46</v>
      </c>
      <c r="G184" s="30" t="s">
        <v>46</v>
      </c>
      <c r="H184" s="31"/>
      <c r="I184" s="31" t="s">
        <v>549</v>
      </c>
      <c r="J184" s="32" t="n">
        <v>1.0</v>
      </c>
      <c r="K184" s="33" t="n">
        <f>15455</f>
        <v>15455.0</v>
      </c>
      <c r="L184" s="34" t="s">
        <v>86</v>
      </c>
      <c r="M184" s="33" t="n">
        <f>16005</f>
        <v>16005.0</v>
      </c>
      <c r="N184" s="34" t="s">
        <v>72</v>
      </c>
      <c r="O184" s="33" t="n">
        <f>15400</f>
        <v>15400.0</v>
      </c>
      <c r="P184" s="34" t="s">
        <v>276</v>
      </c>
      <c r="Q184" s="33" t="n">
        <f>15430</f>
        <v>15430.0</v>
      </c>
      <c r="R184" s="34" t="s">
        <v>50</v>
      </c>
      <c r="S184" s="35" t="n">
        <f>15657.86</f>
        <v>15657.86</v>
      </c>
      <c r="T184" s="32" t="n">
        <f>23</f>
        <v>23.0</v>
      </c>
      <c r="U184" s="32" t="str">
        <f>"－"</f>
        <v>－</v>
      </c>
      <c r="V184" s="32" t="n">
        <f>359985</f>
        <v>359985.0</v>
      </c>
      <c r="W184" s="32" t="str">
        <f>"－"</f>
        <v>－</v>
      </c>
      <c r="X184" s="36" t="n">
        <f>7</f>
        <v>7.0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549</v>
      </c>
      <c r="J185" s="32" t="n">
        <v>1.0</v>
      </c>
      <c r="K185" s="33" t="n">
        <f>28195</f>
        <v>28195.0</v>
      </c>
      <c r="L185" s="34" t="s">
        <v>48</v>
      </c>
      <c r="M185" s="33" t="n">
        <f>28275</f>
        <v>28275.0</v>
      </c>
      <c r="N185" s="34" t="s">
        <v>48</v>
      </c>
      <c r="O185" s="33" t="n">
        <f>26335</f>
        <v>26335.0</v>
      </c>
      <c r="P185" s="34" t="s">
        <v>73</v>
      </c>
      <c r="Q185" s="33" t="n">
        <f>26765</f>
        <v>26765.0</v>
      </c>
      <c r="R185" s="34" t="s">
        <v>90</v>
      </c>
      <c r="S185" s="35" t="n">
        <f>27183.06</f>
        <v>27183.06</v>
      </c>
      <c r="T185" s="32" t="n">
        <f>754</f>
        <v>754.0</v>
      </c>
      <c r="U185" s="32" t="str">
        <f>"－"</f>
        <v>－</v>
      </c>
      <c r="V185" s="32" t="n">
        <f>20389075</f>
        <v>2.0389075E7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549</v>
      </c>
      <c r="J186" s="32" t="n">
        <v>1.0</v>
      </c>
      <c r="K186" s="33" t="n">
        <f>18805</f>
        <v>18805.0</v>
      </c>
      <c r="L186" s="34" t="s">
        <v>116</v>
      </c>
      <c r="M186" s="33" t="n">
        <f>18805</f>
        <v>18805.0</v>
      </c>
      <c r="N186" s="34" t="s">
        <v>116</v>
      </c>
      <c r="O186" s="33" t="n">
        <f>18535</f>
        <v>18535.0</v>
      </c>
      <c r="P186" s="34" t="s">
        <v>50</v>
      </c>
      <c r="Q186" s="33" t="n">
        <f>18535</f>
        <v>18535.0</v>
      </c>
      <c r="R186" s="34" t="s">
        <v>50</v>
      </c>
      <c r="S186" s="35" t="n">
        <f>18670</f>
        <v>18670.0</v>
      </c>
      <c r="T186" s="32" t="n">
        <f>108</f>
        <v>108.0</v>
      </c>
      <c r="U186" s="32" t="str">
        <f>"－"</f>
        <v>－</v>
      </c>
      <c r="V186" s="32" t="n">
        <f>2002050</f>
        <v>2002050.0</v>
      </c>
      <c r="W186" s="32" t="str">
        <f>"－"</f>
        <v>－</v>
      </c>
      <c r="X186" s="36" t="n">
        <f>2</f>
        <v>2.0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549</v>
      </c>
      <c r="J187" s="32" t="n">
        <v>1.0</v>
      </c>
      <c r="K187" s="33" t="n">
        <f>16845</f>
        <v>16845.0</v>
      </c>
      <c r="L187" s="34" t="s">
        <v>48</v>
      </c>
      <c r="M187" s="33" t="n">
        <f>16845</f>
        <v>16845.0</v>
      </c>
      <c r="N187" s="34" t="s">
        <v>48</v>
      </c>
      <c r="O187" s="33" t="n">
        <f>15695</f>
        <v>15695.0</v>
      </c>
      <c r="P187" s="34" t="s">
        <v>73</v>
      </c>
      <c r="Q187" s="33" t="n">
        <f>15795</f>
        <v>15795.0</v>
      </c>
      <c r="R187" s="34" t="s">
        <v>50</v>
      </c>
      <c r="S187" s="35" t="n">
        <f>16137.5</f>
        <v>16137.5</v>
      </c>
      <c r="T187" s="32" t="n">
        <f>751</f>
        <v>751.0</v>
      </c>
      <c r="U187" s="32" t="str">
        <f>"－"</f>
        <v>－</v>
      </c>
      <c r="V187" s="32" t="n">
        <f>11980290</f>
        <v>1.198029E7</v>
      </c>
      <c r="W187" s="32" t="str">
        <f>"－"</f>
        <v>－</v>
      </c>
      <c r="X187" s="36" t="n">
        <f>16</f>
        <v>16.0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549</v>
      </c>
      <c r="J188" s="32" t="n">
        <v>1.0</v>
      </c>
      <c r="K188" s="33" t="n">
        <f>19420</f>
        <v>19420.0</v>
      </c>
      <c r="L188" s="34" t="s">
        <v>48</v>
      </c>
      <c r="M188" s="33" t="n">
        <f>19445</f>
        <v>19445.0</v>
      </c>
      <c r="N188" s="34" t="s">
        <v>48</v>
      </c>
      <c r="O188" s="33" t="n">
        <f>18155</f>
        <v>18155.0</v>
      </c>
      <c r="P188" s="34" t="s">
        <v>86</v>
      </c>
      <c r="Q188" s="33" t="n">
        <f>18625</f>
        <v>18625.0</v>
      </c>
      <c r="R188" s="34" t="s">
        <v>286</v>
      </c>
      <c r="S188" s="35" t="n">
        <f>18631.25</f>
        <v>18631.25</v>
      </c>
      <c r="T188" s="32" t="n">
        <f>61</f>
        <v>61.0</v>
      </c>
      <c r="U188" s="32" t="str">
        <f>"－"</f>
        <v>－</v>
      </c>
      <c r="V188" s="32" t="n">
        <f>1129570</f>
        <v>1129570.0</v>
      </c>
      <c r="W188" s="32" t="str">
        <f>"－"</f>
        <v>－</v>
      </c>
      <c r="X188" s="36" t="n">
        <f>4</f>
        <v>4.0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549</v>
      </c>
      <c r="J189" s="32" t="n">
        <v>1.0</v>
      </c>
      <c r="K189" s="33" t="str">
        <f>"－"</f>
        <v>－</v>
      </c>
      <c r="L189" s="34"/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5" t="str">
        <f>"－"</f>
        <v>－</v>
      </c>
      <c r="T189" s="32" t="str">
        <f>"－"</f>
        <v>－</v>
      </c>
      <c r="U189" s="32" t="str">
        <f>"－"</f>
        <v>－</v>
      </c>
      <c r="V189" s="32" t="str">
        <f>"－"</f>
        <v>－</v>
      </c>
      <c r="W189" s="32" t="str">
        <f>"－"</f>
        <v>－</v>
      </c>
      <c r="X189" s="36" t="str">
        <f>"－"</f>
        <v>－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549</v>
      </c>
      <c r="J190" s="32" t="n">
        <v>1.0</v>
      </c>
      <c r="K190" s="33" t="n">
        <f>10265</f>
        <v>10265.0</v>
      </c>
      <c r="L190" s="34" t="s">
        <v>91</v>
      </c>
      <c r="M190" s="33" t="n">
        <f>10395</f>
        <v>10395.0</v>
      </c>
      <c r="N190" s="34" t="s">
        <v>72</v>
      </c>
      <c r="O190" s="33" t="n">
        <f>9920</f>
        <v>9920.0</v>
      </c>
      <c r="P190" s="34" t="s">
        <v>90</v>
      </c>
      <c r="Q190" s="33" t="n">
        <f>9920</f>
        <v>9920.0</v>
      </c>
      <c r="R190" s="34" t="s">
        <v>90</v>
      </c>
      <c r="S190" s="35" t="n">
        <f>10154.17</f>
        <v>10154.17</v>
      </c>
      <c r="T190" s="32" t="n">
        <f>3936</f>
        <v>3936.0</v>
      </c>
      <c r="U190" s="32" t="str">
        <f>"－"</f>
        <v>－</v>
      </c>
      <c r="V190" s="32" t="n">
        <f>39908555</f>
        <v>3.9908555E7</v>
      </c>
      <c r="W190" s="32" t="str">
        <f>"－"</f>
        <v>－</v>
      </c>
      <c r="X190" s="36" t="n">
        <f>6</f>
        <v>6.0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549</v>
      </c>
      <c r="J191" s="32" t="n">
        <v>1.0</v>
      </c>
      <c r="K191" s="33" t="n">
        <f>11495</f>
        <v>11495.0</v>
      </c>
      <c r="L191" s="34" t="s">
        <v>48</v>
      </c>
      <c r="M191" s="33" t="n">
        <f>11545</f>
        <v>11545.0</v>
      </c>
      <c r="N191" s="34" t="s">
        <v>48</v>
      </c>
      <c r="O191" s="33" t="n">
        <f>10645</f>
        <v>10645.0</v>
      </c>
      <c r="P191" s="34" t="s">
        <v>49</v>
      </c>
      <c r="Q191" s="33" t="n">
        <f>10880</f>
        <v>10880.0</v>
      </c>
      <c r="R191" s="34" t="s">
        <v>50</v>
      </c>
      <c r="S191" s="35" t="n">
        <f>11068.75</f>
        <v>11068.75</v>
      </c>
      <c r="T191" s="32" t="n">
        <f>14985</f>
        <v>14985.0</v>
      </c>
      <c r="U191" s="32" t="str">
        <f>"－"</f>
        <v>－</v>
      </c>
      <c r="V191" s="32" t="n">
        <f>166030850</f>
        <v>1.6603085E8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549</v>
      </c>
      <c r="J192" s="32" t="n">
        <v>1.0</v>
      </c>
      <c r="K192" s="33" t="n">
        <f>11280</f>
        <v>11280.0</v>
      </c>
      <c r="L192" s="34" t="s">
        <v>48</v>
      </c>
      <c r="M192" s="33" t="n">
        <f>11280</f>
        <v>11280.0</v>
      </c>
      <c r="N192" s="34" t="s">
        <v>48</v>
      </c>
      <c r="O192" s="33" t="n">
        <f>10520</f>
        <v>10520.0</v>
      </c>
      <c r="P192" s="34" t="s">
        <v>90</v>
      </c>
      <c r="Q192" s="33" t="n">
        <f>10545</f>
        <v>10545.0</v>
      </c>
      <c r="R192" s="34" t="s">
        <v>90</v>
      </c>
      <c r="S192" s="35" t="n">
        <f>10898.21</f>
        <v>10898.21</v>
      </c>
      <c r="T192" s="32" t="n">
        <f>8176</f>
        <v>8176.0</v>
      </c>
      <c r="U192" s="32" t="str">
        <f>"－"</f>
        <v>－</v>
      </c>
      <c r="V192" s="32" t="n">
        <f>88900230</f>
        <v>8.890023E7</v>
      </c>
      <c r="W192" s="32" t="str">
        <f>"－"</f>
        <v>－</v>
      </c>
      <c r="X192" s="36" t="n">
        <f>14</f>
        <v>14.0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549</v>
      </c>
      <c r="J193" s="32" t="n">
        <v>1.0</v>
      </c>
      <c r="K193" s="33" t="n">
        <f>10800</f>
        <v>10800.0</v>
      </c>
      <c r="L193" s="34" t="s">
        <v>266</v>
      </c>
      <c r="M193" s="33" t="n">
        <f>10800</f>
        <v>10800.0</v>
      </c>
      <c r="N193" s="34" t="s">
        <v>266</v>
      </c>
      <c r="O193" s="33" t="n">
        <f>10425</f>
        <v>10425.0</v>
      </c>
      <c r="P193" s="34" t="s">
        <v>50</v>
      </c>
      <c r="Q193" s="33" t="n">
        <f>10425</f>
        <v>10425.0</v>
      </c>
      <c r="R193" s="34" t="s">
        <v>50</v>
      </c>
      <c r="S193" s="35" t="n">
        <f>10663.33</f>
        <v>10663.33</v>
      </c>
      <c r="T193" s="32" t="n">
        <f>12</f>
        <v>12.0</v>
      </c>
      <c r="U193" s="32" t="str">
        <f>"－"</f>
        <v>－</v>
      </c>
      <c r="V193" s="32" t="n">
        <f>129155</f>
        <v>129155.0</v>
      </c>
      <c r="W193" s="32" t="str">
        <f>"－"</f>
        <v>－</v>
      </c>
      <c r="X193" s="36" t="n">
        <f>3</f>
        <v>3.0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1.0</v>
      </c>
      <c r="K194" s="33" t="n">
        <f>1017</f>
        <v>1017.0</v>
      </c>
      <c r="L194" s="34" t="s">
        <v>48</v>
      </c>
      <c r="M194" s="33" t="n">
        <f>1031</f>
        <v>1031.0</v>
      </c>
      <c r="N194" s="34" t="s">
        <v>48</v>
      </c>
      <c r="O194" s="33" t="n">
        <f>956</f>
        <v>956.0</v>
      </c>
      <c r="P194" s="34" t="s">
        <v>73</v>
      </c>
      <c r="Q194" s="33" t="n">
        <f>991</f>
        <v>991.0</v>
      </c>
      <c r="R194" s="34" t="s">
        <v>50</v>
      </c>
      <c r="S194" s="35" t="n">
        <f>991.62</f>
        <v>991.62</v>
      </c>
      <c r="T194" s="32" t="n">
        <f>23859127</f>
        <v>2.3859127E7</v>
      </c>
      <c r="U194" s="32" t="n">
        <f>462850</f>
        <v>462850.0</v>
      </c>
      <c r="V194" s="32" t="n">
        <f>23615832057</f>
        <v>2.3615832057E10</v>
      </c>
      <c r="W194" s="32" t="n">
        <f>455049366</f>
        <v>4.55049366E8</v>
      </c>
      <c r="X194" s="36" t="n">
        <f>21</f>
        <v>21.0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1.0</v>
      </c>
      <c r="K195" s="33" t="n">
        <f>1000</f>
        <v>1000.0</v>
      </c>
      <c r="L195" s="34" t="s">
        <v>48</v>
      </c>
      <c r="M195" s="33" t="n">
        <f>1009</f>
        <v>1009.0</v>
      </c>
      <c r="N195" s="34" t="s">
        <v>48</v>
      </c>
      <c r="O195" s="33" t="n">
        <f>941</f>
        <v>941.0</v>
      </c>
      <c r="P195" s="34" t="s">
        <v>49</v>
      </c>
      <c r="Q195" s="33" t="n">
        <f>971</f>
        <v>971.0</v>
      </c>
      <c r="R195" s="34" t="s">
        <v>50</v>
      </c>
      <c r="S195" s="35" t="n">
        <f>973.38</f>
        <v>973.38</v>
      </c>
      <c r="T195" s="32" t="n">
        <f>486756</f>
        <v>486756.0</v>
      </c>
      <c r="U195" s="32" t="str">
        <f>"－"</f>
        <v>－</v>
      </c>
      <c r="V195" s="32" t="n">
        <f>477528899</f>
        <v>4.77528899E8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47</v>
      </c>
      <c r="J196" s="32" t="n">
        <v>1.0</v>
      </c>
      <c r="K196" s="33" t="n">
        <f>954</f>
        <v>954.0</v>
      </c>
      <c r="L196" s="34" t="s">
        <v>48</v>
      </c>
      <c r="M196" s="33" t="n">
        <f>957</f>
        <v>957.0</v>
      </c>
      <c r="N196" s="34" t="s">
        <v>48</v>
      </c>
      <c r="O196" s="33" t="n">
        <f>891</f>
        <v>891.0</v>
      </c>
      <c r="P196" s="34" t="s">
        <v>49</v>
      </c>
      <c r="Q196" s="33" t="n">
        <f>910</f>
        <v>910.0</v>
      </c>
      <c r="R196" s="34" t="s">
        <v>50</v>
      </c>
      <c r="S196" s="35" t="n">
        <f>924.52</f>
        <v>924.52</v>
      </c>
      <c r="T196" s="32" t="n">
        <f>195741</f>
        <v>195741.0</v>
      </c>
      <c r="U196" s="32" t="str">
        <f>"－"</f>
        <v>－</v>
      </c>
      <c r="V196" s="32" t="n">
        <f>180500135</f>
        <v>1.80500135E8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47</v>
      </c>
      <c r="J197" s="32" t="n">
        <v>1.0</v>
      </c>
      <c r="K197" s="33" t="n">
        <f>1909</f>
        <v>1909.0</v>
      </c>
      <c r="L197" s="34" t="s">
        <v>48</v>
      </c>
      <c r="M197" s="33" t="n">
        <f>1921</f>
        <v>1921.0</v>
      </c>
      <c r="N197" s="34" t="s">
        <v>64</v>
      </c>
      <c r="O197" s="33" t="n">
        <f>1757</f>
        <v>1757.0</v>
      </c>
      <c r="P197" s="34" t="s">
        <v>49</v>
      </c>
      <c r="Q197" s="33" t="n">
        <f>1812</f>
        <v>1812.0</v>
      </c>
      <c r="R197" s="34" t="s">
        <v>50</v>
      </c>
      <c r="S197" s="35" t="n">
        <f>1844.67</f>
        <v>1844.67</v>
      </c>
      <c r="T197" s="32" t="n">
        <f>739718</f>
        <v>739718.0</v>
      </c>
      <c r="U197" s="32" t="n">
        <f>16301</f>
        <v>16301.0</v>
      </c>
      <c r="V197" s="32" t="n">
        <f>1353552065</f>
        <v>1.353552065E9</v>
      </c>
      <c r="W197" s="32" t="n">
        <f>30172309</f>
        <v>3.0172309E7</v>
      </c>
      <c r="X197" s="36" t="n">
        <f>21</f>
        <v>21.0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47</v>
      </c>
      <c r="J198" s="32" t="n">
        <v>1.0</v>
      </c>
      <c r="K198" s="33" t="n">
        <f>2008</f>
        <v>2008.0</v>
      </c>
      <c r="L198" s="34" t="s">
        <v>48</v>
      </c>
      <c r="M198" s="33" t="n">
        <f>2031</f>
        <v>2031.0</v>
      </c>
      <c r="N198" s="34" t="s">
        <v>48</v>
      </c>
      <c r="O198" s="33" t="n">
        <f>1888</f>
        <v>1888.0</v>
      </c>
      <c r="P198" s="34" t="s">
        <v>49</v>
      </c>
      <c r="Q198" s="33" t="n">
        <f>1952</f>
        <v>1952.0</v>
      </c>
      <c r="R198" s="34" t="s">
        <v>50</v>
      </c>
      <c r="S198" s="35" t="n">
        <f>1951.52</f>
        <v>1951.52</v>
      </c>
      <c r="T198" s="32" t="n">
        <f>2272727</f>
        <v>2272727.0</v>
      </c>
      <c r="U198" s="32" t="n">
        <f>194427</f>
        <v>194427.0</v>
      </c>
      <c r="V198" s="32" t="n">
        <f>4436450025</f>
        <v>4.436450025E9</v>
      </c>
      <c r="W198" s="32" t="n">
        <f>379872327</f>
        <v>3.79872327E8</v>
      </c>
      <c r="X198" s="36" t="n">
        <f>21</f>
        <v>21.0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47</v>
      </c>
      <c r="J199" s="32" t="n">
        <v>10.0</v>
      </c>
      <c r="K199" s="33" t="n">
        <f>505</f>
        <v>505.0</v>
      </c>
      <c r="L199" s="34" t="s">
        <v>48</v>
      </c>
      <c r="M199" s="33" t="n">
        <f>510.5</f>
        <v>510.5</v>
      </c>
      <c r="N199" s="34" t="s">
        <v>48</v>
      </c>
      <c r="O199" s="33" t="n">
        <f>476</f>
        <v>476.0</v>
      </c>
      <c r="P199" s="34" t="s">
        <v>73</v>
      </c>
      <c r="Q199" s="33" t="n">
        <f>494.6</f>
        <v>494.6</v>
      </c>
      <c r="R199" s="34" t="s">
        <v>50</v>
      </c>
      <c r="S199" s="35" t="n">
        <f>490.82</f>
        <v>490.82</v>
      </c>
      <c r="T199" s="32" t="n">
        <f>8476150</f>
        <v>8476150.0</v>
      </c>
      <c r="U199" s="32" t="n">
        <f>751410</f>
        <v>751410.0</v>
      </c>
      <c r="V199" s="32" t="n">
        <f>4153211953</f>
        <v>4.153211953E9</v>
      </c>
      <c r="W199" s="32" t="n">
        <f>364284039</f>
        <v>3.64284039E8</v>
      </c>
      <c r="X199" s="36" t="n">
        <f>21</f>
        <v>21.0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47</v>
      </c>
      <c r="J200" s="32" t="n">
        <v>10.0</v>
      </c>
      <c r="K200" s="33" t="n">
        <f>1946.5</f>
        <v>1946.5</v>
      </c>
      <c r="L200" s="34" t="s">
        <v>174</v>
      </c>
      <c r="M200" s="33" t="n">
        <f>1966.5</f>
        <v>1966.5</v>
      </c>
      <c r="N200" s="34" t="s">
        <v>213</v>
      </c>
      <c r="O200" s="33" t="n">
        <f>1880</f>
        <v>1880.0</v>
      </c>
      <c r="P200" s="34" t="s">
        <v>68</v>
      </c>
      <c r="Q200" s="33" t="n">
        <f>1880</f>
        <v>1880.0</v>
      </c>
      <c r="R200" s="34" t="s">
        <v>68</v>
      </c>
      <c r="S200" s="35" t="n">
        <f>1917.5</f>
        <v>1917.5</v>
      </c>
      <c r="T200" s="32" t="n">
        <f>1700</f>
        <v>1700.0</v>
      </c>
      <c r="U200" s="32" t="str">
        <f>"－"</f>
        <v>－</v>
      </c>
      <c r="V200" s="32" t="n">
        <f>3273800</f>
        <v>3273800.0</v>
      </c>
      <c r="W200" s="32" t="str">
        <f>"－"</f>
        <v>－</v>
      </c>
      <c r="X200" s="36" t="n">
        <f>6</f>
        <v>6.0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47</v>
      </c>
      <c r="J201" s="32" t="n">
        <v>10.0</v>
      </c>
      <c r="K201" s="33" t="n">
        <f>1940</f>
        <v>1940.0</v>
      </c>
      <c r="L201" s="34" t="s">
        <v>73</v>
      </c>
      <c r="M201" s="33" t="n">
        <f>2007</f>
        <v>2007.0</v>
      </c>
      <c r="N201" s="34" t="s">
        <v>213</v>
      </c>
      <c r="O201" s="33" t="n">
        <f>1891.5</f>
        <v>1891.5</v>
      </c>
      <c r="P201" s="34" t="s">
        <v>175</v>
      </c>
      <c r="Q201" s="33" t="n">
        <f>1891.5</f>
        <v>1891.5</v>
      </c>
      <c r="R201" s="34" t="s">
        <v>90</v>
      </c>
      <c r="S201" s="35" t="n">
        <f>1932.25</f>
        <v>1932.25</v>
      </c>
      <c r="T201" s="32" t="n">
        <f>55850</f>
        <v>55850.0</v>
      </c>
      <c r="U201" s="32" t="str">
        <f>"－"</f>
        <v>－</v>
      </c>
      <c r="V201" s="32" t="n">
        <f>111920345</f>
        <v>1.11920345E8</v>
      </c>
      <c r="W201" s="32" t="str">
        <f>"－"</f>
        <v>－</v>
      </c>
      <c r="X201" s="36" t="n">
        <f>4</f>
        <v>4.0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47</v>
      </c>
      <c r="J202" s="32" t="n">
        <v>10.0</v>
      </c>
      <c r="K202" s="33" t="n">
        <f>1993</f>
        <v>1993.0</v>
      </c>
      <c r="L202" s="34" t="s">
        <v>213</v>
      </c>
      <c r="M202" s="33" t="n">
        <f>1993</f>
        <v>1993.0</v>
      </c>
      <c r="N202" s="34" t="s">
        <v>213</v>
      </c>
      <c r="O202" s="33" t="n">
        <f>1875</f>
        <v>1875.0</v>
      </c>
      <c r="P202" s="34" t="s">
        <v>90</v>
      </c>
      <c r="Q202" s="33" t="n">
        <f>1875</f>
        <v>1875.0</v>
      </c>
      <c r="R202" s="34" t="s">
        <v>90</v>
      </c>
      <c r="S202" s="35" t="n">
        <f>1912</f>
        <v>1912.0</v>
      </c>
      <c r="T202" s="32" t="n">
        <f>80</f>
        <v>80.0</v>
      </c>
      <c r="U202" s="32" t="str">
        <f>"－"</f>
        <v>－</v>
      </c>
      <c r="V202" s="32" t="n">
        <f>156640</f>
        <v>156640.0</v>
      </c>
      <c r="W202" s="32" t="str">
        <f>"－"</f>
        <v>－</v>
      </c>
      <c r="X202" s="36" t="n">
        <f>2</f>
        <v>2.0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47</v>
      </c>
      <c r="J203" s="32" t="n">
        <v>10.0</v>
      </c>
      <c r="K203" s="33" t="n">
        <f>1940</f>
        <v>1940.0</v>
      </c>
      <c r="L203" s="34" t="s">
        <v>174</v>
      </c>
      <c r="M203" s="33" t="n">
        <f>1980</f>
        <v>1980.0</v>
      </c>
      <c r="N203" s="34" t="s">
        <v>213</v>
      </c>
      <c r="O203" s="33" t="n">
        <f>1940</f>
        <v>1940.0</v>
      </c>
      <c r="P203" s="34" t="s">
        <v>174</v>
      </c>
      <c r="Q203" s="33" t="n">
        <f>1957</f>
        <v>1957.0</v>
      </c>
      <c r="R203" s="34" t="s">
        <v>213</v>
      </c>
      <c r="S203" s="35" t="n">
        <f>1948.5</f>
        <v>1948.5</v>
      </c>
      <c r="T203" s="32" t="n">
        <f>120</f>
        <v>120.0</v>
      </c>
      <c r="U203" s="32" t="str">
        <f>"－"</f>
        <v>－</v>
      </c>
      <c r="V203" s="32" t="n">
        <f>236970</f>
        <v>236970.0</v>
      </c>
      <c r="W203" s="32" t="str">
        <f>"－"</f>
        <v>－</v>
      </c>
      <c r="X203" s="36" t="n">
        <f>2</f>
        <v>2.0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47</v>
      </c>
      <c r="J204" s="32" t="n">
        <v>10.0</v>
      </c>
      <c r="K204" s="33" t="n">
        <f>4941</f>
        <v>4941.0</v>
      </c>
      <c r="L204" s="34" t="s">
        <v>48</v>
      </c>
      <c r="M204" s="33" t="n">
        <f>5038</f>
        <v>5038.0</v>
      </c>
      <c r="N204" s="34" t="s">
        <v>213</v>
      </c>
      <c r="O204" s="33" t="n">
        <f>4810</f>
        <v>4810.0</v>
      </c>
      <c r="P204" s="34" t="s">
        <v>175</v>
      </c>
      <c r="Q204" s="33" t="n">
        <f>4850</f>
        <v>4850.0</v>
      </c>
      <c r="R204" s="34" t="s">
        <v>68</v>
      </c>
      <c r="S204" s="35" t="n">
        <f>4908</f>
        <v>4908.0</v>
      </c>
      <c r="T204" s="32" t="n">
        <f>99280</f>
        <v>99280.0</v>
      </c>
      <c r="U204" s="32" t="n">
        <f>20000</f>
        <v>20000.0</v>
      </c>
      <c r="V204" s="32" t="n">
        <f>487056762</f>
        <v>4.87056762E8</v>
      </c>
      <c r="W204" s="32" t="n">
        <f>97312352</f>
        <v>9.7312352E7</v>
      </c>
      <c r="X204" s="36" t="n">
        <f>11</f>
        <v>11.0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47</v>
      </c>
      <c r="J205" s="32" t="n">
        <v>10.0</v>
      </c>
      <c r="K205" s="33" t="n">
        <f>5040</f>
        <v>5040.0</v>
      </c>
      <c r="L205" s="34" t="s">
        <v>213</v>
      </c>
      <c r="M205" s="33" t="n">
        <f>5040</f>
        <v>5040.0</v>
      </c>
      <c r="N205" s="34" t="s">
        <v>213</v>
      </c>
      <c r="O205" s="33" t="n">
        <f>5005</f>
        <v>5005.0</v>
      </c>
      <c r="P205" s="34" t="s">
        <v>213</v>
      </c>
      <c r="Q205" s="33" t="n">
        <f>5005</f>
        <v>5005.0</v>
      </c>
      <c r="R205" s="34" t="s">
        <v>213</v>
      </c>
      <c r="S205" s="35" t="n">
        <f>5005</f>
        <v>5005.0</v>
      </c>
      <c r="T205" s="32" t="n">
        <f>20</f>
        <v>20.0</v>
      </c>
      <c r="U205" s="32" t="str">
        <f>"－"</f>
        <v>－</v>
      </c>
      <c r="V205" s="32" t="n">
        <f>100450</f>
        <v>100450.0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47</v>
      </c>
      <c r="J206" s="32" t="n">
        <v>10.0</v>
      </c>
      <c r="K206" s="33" t="n">
        <f>4944</f>
        <v>4944.0</v>
      </c>
      <c r="L206" s="34" t="s">
        <v>174</v>
      </c>
      <c r="M206" s="33" t="n">
        <f>5068</f>
        <v>5068.0</v>
      </c>
      <c r="N206" s="34" t="s">
        <v>213</v>
      </c>
      <c r="O206" s="33" t="n">
        <f>4909</f>
        <v>4909.0</v>
      </c>
      <c r="P206" s="34" t="s">
        <v>60</v>
      </c>
      <c r="Q206" s="33" t="n">
        <f>4909</f>
        <v>4909.0</v>
      </c>
      <c r="R206" s="34" t="s">
        <v>60</v>
      </c>
      <c r="S206" s="35" t="n">
        <f>4957.25</f>
        <v>4957.25</v>
      </c>
      <c r="T206" s="32" t="n">
        <f>22140</f>
        <v>22140.0</v>
      </c>
      <c r="U206" s="32" t="str">
        <f>"－"</f>
        <v>－</v>
      </c>
      <c r="V206" s="32" t="n">
        <f>110256100</f>
        <v>1.102561E8</v>
      </c>
      <c r="W206" s="32" t="str">
        <f>"－"</f>
        <v>－</v>
      </c>
      <c r="X206" s="36" t="n">
        <f>4</f>
        <v>4.0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670</v>
      </c>
      <c r="F207" s="29" t="s">
        <v>671</v>
      </c>
      <c r="G207" s="30" t="s">
        <v>672</v>
      </c>
      <c r="H207" s="31"/>
      <c r="I207" s="31" t="s">
        <v>47</v>
      </c>
      <c r="J207" s="32" t="n">
        <v>10.0</v>
      </c>
      <c r="K207" s="33" t="n">
        <f>5149</f>
        <v>5149.0</v>
      </c>
      <c r="L207" s="34" t="s">
        <v>86</v>
      </c>
      <c r="M207" s="33" t="n">
        <f>5149</f>
        <v>5149.0</v>
      </c>
      <c r="N207" s="34" t="s">
        <v>86</v>
      </c>
      <c r="O207" s="33" t="n">
        <f>4956</f>
        <v>4956.0</v>
      </c>
      <c r="P207" s="34" t="s">
        <v>213</v>
      </c>
      <c r="Q207" s="33" t="n">
        <f>5040</f>
        <v>5040.0</v>
      </c>
      <c r="R207" s="34" t="s">
        <v>50</v>
      </c>
      <c r="S207" s="35" t="n">
        <f>5005.11</f>
        <v>5005.11</v>
      </c>
      <c r="T207" s="32" t="n">
        <f>33200</f>
        <v>33200.0</v>
      </c>
      <c r="U207" s="32" t="str">
        <f>"－"</f>
        <v>－</v>
      </c>
      <c r="V207" s="32" t="n">
        <f>165349580</f>
        <v>1.6534958E8</v>
      </c>
      <c r="W207" s="32" t="str">
        <f>"－"</f>
        <v>－</v>
      </c>
      <c r="X207" s="36" t="n">
        <f>18</f>
        <v>18.0</v>
      </c>
    </row>
    <row r="208">
      <c r="A208" s="27" t="s">
        <v>42</v>
      </c>
      <c r="B208" s="27" t="s">
        <v>673</v>
      </c>
      <c r="C208" s="27" t="s">
        <v>674</v>
      </c>
      <c r="D208" s="27" t="s">
        <v>675</v>
      </c>
      <c r="E208" s="28" t="s">
        <v>670</v>
      </c>
      <c r="F208" s="29" t="s">
        <v>671</v>
      </c>
      <c r="G208" s="30" t="s">
        <v>676</v>
      </c>
      <c r="H208" s="31"/>
      <c r="I208" s="31" t="s">
        <v>47</v>
      </c>
      <c r="J208" s="32" t="n">
        <v>1.0</v>
      </c>
      <c r="K208" s="33" t="n">
        <f>1002</f>
        <v>1002.0</v>
      </c>
      <c r="L208" s="34" t="s">
        <v>91</v>
      </c>
      <c r="M208" s="33" t="n">
        <f>1008</f>
        <v>1008.0</v>
      </c>
      <c r="N208" s="34" t="s">
        <v>90</v>
      </c>
      <c r="O208" s="33" t="n">
        <f>982</f>
        <v>982.0</v>
      </c>
      <c r="P208" s="34" t="s">
        <v>64</v>
      </c>
      <c r="Q208" s="33" t="n">
        <f>997</f>
        <v>997.0</v>
      </c>
      <c r="R208" s="34" t="s">
        <v>50</v>
      </c>
      <c r="S208" s="35" t="n">
        <f>994.12</f>
        <v>994.12</v>
      </c>
      <c r="T208" s="32" t="n">
        <f>1024708</f>
        <v>1024708.0</v>
      </c>
      <c r="U208" s="32" t="n">
        <f>479195</f>
        <v>479195.0</v>
      </c>
      <c r="V208" s="32" t="n">
        <f>1015140517</f>
        <v>1.015140517E9</v>
      </c>
      <c r="W208" s="32" t="n">
        <f>474373693</f>
        <v>4.74373693E8</v>
      </c>
      <c r="X208" s="36" t="n">
        <f>17</f>
        <v>17.0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670</v>
      </c>
      <c r="F209" s="29" t="s">
        <v>671</v>
      </c>
      <c r="G209" s="30" t="s">
        <v>680</v>
      </c>
      <c r="H209" s="31"/>
      <c r="I209" s="31" t="s">
        <v>47</v>
      </c>
      <c r="J209" s="32" t="n">
        <v>1.0</v>
      </c>
      <c r="K209" s="33" t="n">
        <f>1011</f>
        <v>1011.0</v>
      </c>
      <c r="L209" s="34" t="s">
        <v>175</v>
      </c>
      <c r="M209" s="33" t="n">
        <f>1015</f>
        <v>1015.0</v>
      </c>
      <c r="N209" s="34" t="s">
        <v>175</v>
      </c>
      <c r="O209" s="33" t="n">
        <f>979</f>
        <v>979.0</v>
      </c>
      <c r="P209" s="34" t="s">
        <v>50</v>
      </c>
      <c r="Q209" s="33" t="n">
        <f>996</f>
        <v>996.0</v>
      </c>
      <c r="R209" s="34" t="s">
        <v>50</v>
      </c>
      <c r="S209" s="35" t="n">
        <f>999.25</f>
        <v>999.25</v>
      </c>
      <c r="T209" s="32" t="n">
        <f>26056</f>
        <v>26056.0</v>
      </c>
      <c r="U209" s="32" t="str">
        <f>"－"</f>
        <v>－</v>
      </c>
      <c r="V209" s="32" t="n">
        <f>25931943</f>
        <v>2.5931943E7</v>
      </c>
      <c r="W209" s="32" t="str">
        <f>"－"</f>
        <v>－</v>
      </c>
      <c r="X209" s="36" t="n">
        <f>4</f>
        <v>4.0</v>
      </c>
    </row>
    <row r="210">
      <c r="A210" s="27" t="s">
        <v>42</v>
      </c>
      <c r="B210" s="27" t="s">
        <v>681</v>
      </c>
      <c r="C210" s="27" t="s">
        <v>682</v>
      </c>
      <c r="D210" s="27" t="s">
        <v>683</v>
      </c>
      <c r="E210" s="28" t="s">
        <v>670</v>
      </c>
      <c r="F210" s="29" t="s">
        <v>671</v>
      </c>
      <c r="G210" s="30" t="s">
        <v>680</v>
      </c>
      <c r="H210" s="31"/>
      <c r="I210" s="31" t="s">
        <v>47</v>
      </c>
      <c r="J210" s="32" t="n">
        <v>1.0</v>
      </c>
      <c r="K210" s="33" t="n">
        <f>999</f>
        <v>999.0</v>
      </c>
      <c r="L210" s="34" t="s">
        <v>175</v>
      </c>
      <c r="M210" s="33" t="n">
        <f>1019</f>
        <v>1019.0</v>
      </c>
      <c r="N210" s="34" t="s">
        <v>68</v>
      </c>
      <c r="O210" s="33" t="n">
        <f>993</f>
        <v>993.0</v>
      </c>
      <c r="P210" s="34" t="s">
        <v>50</v>
      </c>
      <c r="Q210" s="33" t="n">
        <f>1002</f>
        <v>1002.0</v>
      </c>
      <c r="R210" s="34" t="s">
        <v>50</v>
      </c>
      <c r="S210" s="35" t="n">
        <f>1005.75</f>
        <v>1005.75</v>
      </c>
      <c r="T210" s="32" t="n">
        <f>46833</f>
        <v>46833.0</v>
      </c>
      <c r="U210" s="32" t="str">
        <f>"－"</f>
        <v>－</v>
      </c>
      <c r="V210" s="32" t="n">
        <f>46892201</f>
        <v>4.6892201E7</v>
      </c>
      <c r="W210" s="32" t="str">
        <f>"－"</f>
        <v>－</v>
      </c>
      <c r="X210" s="36" t="n">
        <f>4</f>
        <v>4.0</v>
      </c>
    </row>
    <row r="211">
      <c r="A211" s="27" t="s">
        <v>42</v>
      </c>
      <c r="B211" s="27" t="s">
        <v>684</v>
      </c>
      <c r="C211" s="27" t="s">
        <v>685</v>
      </c>
      <c r="D211" s="27" t="s">
        <v>686</v>
      </c>
      <c r="E211" s="28" t="s">
        <v>670</v>
      </c>
      <c r="F211" s="29" t="s">
        <v>671</v>
      </c>
      <c r="G211" s="30" t="s">
        <v>680</v>
      </c>
      <c r="H211" s="31"/>
      <c r="I211" s="31" t="s">
        <v>47</v>
      </c>
      <c r="J211" s="32" t="n">
        <v>1.0</v>
      </c>
      <c r="K211" s="33" t="n">
        <f>1002</f>
        <v>1002.0</v>
      </c>
      <c r="L211" s="34" t="s">
        <v>175</v>
      </c>
      <c r="M211" s="33" t="n">
        <f>1028</f>
        <v>1028.0</v>
      </c>
      <c r="N211" s="34" t="s">
        <v>68</v>
      </c>
      <c r="O211" s="33" t="n">
        <f>1000</f>
        <v>1000.0</v>
      </c>
      <c r="P211" s="34" t="s">
        <v>175</v>
      </c>
      <c r="Q211" s="33" t="n">
        <f>1008</f>
        <v>1008.0</v>
      </c>
      <c r="R211" s="34" t="s">
        <v>50</v>
      </c>
      <c r="S211" s="35" t="n">
        <f>1014</f>
        <v>1014.0</v>
      </c>
      <c r="T211" s="32" t="n">
        <f>839107</f>
        <v>839107.0</v>
      </c>
      <c r="U211" s="32" t="str">
        <f>"－"</f>
        <v>－</v>
      </c>
      <c r="V211" s="32" t="n">
        <f>844857443</f>
        <v>8.44857443E8</v>
      </c>
      <c r="W211" s="32" t="str">
        <f>"－"</f>
        <v>－</v>
      </c>
      <c r="X211" s="36" t="n">
        <f>4</f>
        <v>4.0</v>
      </c>
    </row>
    <row r="212">
      <c r="A212" s="27" t="s">
        <v>42</v>
      </c>
      <c r="B212" s="27" t="s">
        <v>687</v>
      </c>
      <c r="C212" s="27" t="s">
        <v>688</v>
      </c>
      <c r="D212" s="27" t="s">
        <v>689</v>
      </c>
      <c r="E212" s="28" t="s">
        <v>670</v>
      </c>
      <c r="F212" s="29" t="s">
        <v>671</v>
      </c>
      <c r="G212" s="30" t="s">
        <v>680</v>
      </c>
      <c r="H212" s="31"/>
      <c r="I212" s="31" t="s">
        <v>47</v>
      </c>
      <c r="J212" s="32" t="n">
        <v>1.0</v>
      </c>
      <c r="K212" s="33" t="n">
        <f>998</f>
        <v>998.0</v>
      </c>
      <c r="L212" s="34" t="s">
        <v>175</v>
      </c>
      <c r="M212" s="33" t="n">
        <f>1025</f>
        <v>1025.0</v>
      </c>
      <c r="N212" s="34" t="s">
        <v>68</v>
      </c>
      <c r="O212" s="33" t="n">
        <f>997</f>
        <v>997.0</v>
      </c>
      <c r="P212" s="34" t="s">
        <v>175</v>
      </c>
      <c r="Q212" s="33" t="n">
        <f>1005</f>
        <v>1005.0</v>
      </c>
      <c r="R212" s="34" t="s">
        <v>50</v>
      </c>
      <c r="S212" s="35" t="n">
        <f>1010.25</f>
        <v>1010.25</v>
      </c>
      <c r="T212" s="32" t="n">
        <f>205739</f>
        <v>205739.0</v>
      </c>
      <c r="U212" s="32" t="str">
        <f>"－"</f>
        <v>－</v>
      </c>
      <c r="V212" s="32" t="n">
        <f>206597150</f>
        <v>2.0659715E8</v>
      </c>
      <c r="W212" s="32" t="str">
        <f>"－"</f>
        <v>－</v>
      </c>
      <c r="X212" s="36" t="n">
        <f>4</f>
        <v>4.0</v>
      </c>
    </row>
    <row r="213">
      <c r="A213" s="27" t="s">
        <v>42</v>
      </c>
      <c r="B213" s="27" t="s">
        <v>690</v>
      </c>
      <c r="C213" s="27" t="s">
        <v>691</v>
      </c>
      <c r="D213" s="27" t="s">
        <v>692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2246</f>
        <v>2246.0</v>
      </c>
      <c r="L213" s="34" t="s">
        <v>48</v>
      </c>
      <c r="M213" s="33" t="n">
        <f>2247</f>
        <v>2247.0</v>
      </c>
      <c r="N213" s="34" t="s">
        <v>241</v>
      </c>
      <c r="O213" s="33" t="n">
        <f>2120.5</f>
        <v>2120.5</v>
      </c>
      <c r="P213" s="34" t="s">
        <v>90</v>
      </c>
      <c r="Q213" s="33" t="n">
        <f>2141</f>
        <v>2141.0</v>
      </c>
      <c r="R213" s="34" t="s">
        <v>50</v>
      </c>
      <c r="S213" s="35" t="n">
        <f>2174.62</f>
        <v>2174.62</v>
      </c>
      <c r="T213" s="32" t="n">
        <f>12860</f>
        <v>12860.0</v>
      </c>
      <c r="U213" s="32" t="str">
        <f>"－"</f>
        <v>－</v>
      </c>
      <c r="V213" s="32" t="n">
        <f>28032340</f>
        <v>2.803234E7</v>
      </c>
      <c r="W213" s="32" t="str">
        <f>"－"</f>
        <v>－</v>
      </c>
      <c r="X213" s="36" t="n">
        <f>21</f>
        <v>21.0</v>
      </c>
    </row>
    <row r="214">
      <c r="A214" s="27" t="s">
        <v>42</v>
      </c>
      <c r="B214" s="27" t="s">
        <v>693</v>
      </c>
      <c r="C214" s="27" t="s">
        <v>694</v>
      </c>
      <c r="D214" s="27" t="s">
        <v>695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1083</f>
        <v>1083.0</v>
      </c>
      <c r="L214" s="34" t="s">
        <v>48</v>
      </c>
      <c r="M214" s="33" t="n">
        <f>1087</f>
        <v>1087.0</v>
      </c>
      <c r="N214" s="34" t="s">
        <v>48</v>
      </c>
      <c r="O214" s="33" t="n">
        <f>1000</f>
        <v>1000.0</v>
      </c>
      <c r="P214" s="34" t="s">
        <v>90</v>
      </c>
      <c r="Q214" s="33" t="n">
        <f>1035</f>
        <v>1035.0</v>
      </c>
      <c r="R214" s="34" t="s">
        <v>50</v>
      </c>
      <c r="S214" s="35" t="n">
        <f>1057</f>
        <v>1057.0</v>
      </c>
      <c r="T214" s="32" t="n">
        <f>666820</f>
        <v>666820.0</v>
      </c>
      <c r="U214" s="32" t="n">
        <f>105275</f>
        <v>105275.0</v>
      </c>
      <c r="V214" s="32" t="n">
        <f>706798499</f>
        <v>7.06798499E8</v>
      </c>
      <c r="W214" s="32" t="n">
        <f>112055665</f>
        <v>1.12055665E8</v>
      </c>
      <c r="X214" s="36" t="n">
        <f>21</f>
        <v>21.0</v>
      </c>
    </row>
    <row r="215">
      <c r="A215" s="27" t="s">
        <v>42</v>
      </c>
      <c r="B215" s="27" t="s">
        <v>696</v>
      </c>
      <c r="C215" s="27" t="s">
        <v>697</v>
      </c>
      <c r="D215" s="27" t="s">
        <v>698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53600</f>
        <v>53600.0</v>
      </c>
      <c r="L215" s="34" t="s">
        <v>48</v>
      </c>
      <c r="M215" s="33" t="n">
        <f>55540</f>
        <v>55540.0</v>
      </c>
      <c r="N215" s="34" t="s">
        <v>64</v>
      </c>
      <c r="O215" s="33" t="n">
        <f>48760</f>
        <v>48760.0</v>
      </c>
      <c r="P215" s="34" t="s">
        <v>90</v>
      </c>
      <c r="Q215" s="33" t="n">
        <f>49240</f>
        <v>49240.0</v>
      </c>
      <c r="R215" s="34" t="s">
        <v>50</v>
      </c>
      <c r="S215" s="35" t="n">
        <f>52466.19</f>
        <v>52466.19</v>
      </c>
      <c r="T215" s="32" t="n">
        <f>46647</f>
        <v>46647.0</v>
      </c>
      <c r="U215" s="32" t="str">
        <f>"－"</f>
        <v>－</v>
      </c>
      <c r="V215" s="32" t="n">
        <f>2432105090</f>
        <v>2.43210509E9</v>
      </c>
      <c r="W215" s="32" t="str">
        <f>"－"</f>
        <v>－</v>
      </c>
      <c r="X215" s="36" t="n">
        <f>21</f>
        <v>21.0</v>
      </c>
    </row>
    <row r="216">
      <c r="A216" s="27" t="s">
        <v>42</v>
      </c>
      <c r="B216" s="27" t="s">
        <v>699</v>
      </c>
      <c r="C216" s="27" t="s">
        <v>700</v>
      </c>
      <c r="D216" s="27" t="s">
        <v>701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9107</f>
        <v>9107.0</v>
      </c>
      <c r="L216" s="34" t="s">
        <v>48</v>
      </c>
      <c r="M216" s="33" t="n">
        <f>9518</f>
        <v>9518.0</v>
      </c>
      <c r="N216" s="34" t="s">
        <v>90</v>
      </c>
      <c r="O216" s="33" t="n">
        <f>8940</f>
        <v>8940.0</v>
      </c>
      <c r="P216" s="34" t="s">
        <v>64</v>
      </c>
      <c r="Q216" s="33" t="n">
        <f>9465</f>
        <v>9465.0</v>
      </c>
      <c r="R216" s="34" t="s">
        <v>50</v>
      </c>
      <c r="S216" s="35" t="n">
        <f>9197.76</f>
        <v>9197.76</v>
      </c>
      <c r="T216" s="32" t="n">
        <f>531198</f>
        <v>531198.0</v>
      </c>
      <c r="U216" s="32" t="n">
        <f>454759</f>
        <v>454759.0</v>
      </c>
      <c r="V216" s="32" t="n">
        <f>4956101678</f>
        <v>4.956101678E9</v>
      </c>
      <c r="W216" s="32" t="n">
        <f>4245959678</f>
        <v>4.245959678E9</v>
      </c>
      <c r="X216" s="36" t="n">
        <f>21</f>
        <v>21.0</v>
      </c>
    </row>
    <row r="217">
      <c r="A217" s="27" t="s">
        <v>42</v>
      </c>
      <c r="B217" s="27" t="s">
        <v>702</v>
      </c>
      <c r="C217" s="27" t="s">
        <v>703</v>
      </c>
      <c r="D217" s="27" t="s">
        <v>704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11480</f>
        <v>11480.0</v>
      </c>
      <c r="L217" s="34" t="s">
        <v>48</v>
      </c>
      <c r="M217" s="33" t="n">
        <f>11885</f>
        <v>11885.0</v>
      </c>
      <c r="N217" s="34" t="s">
        <v>64</v>
      </c>
      <c r="O217" s="33" t="n">
        <f>10445</f>
        <v>10445.0</v>
      </c>
      <c r="P217" s="34" t="s">
        <v>90</v>
      </c>
      <c r="Q217" s="33" t="n">
        <f>10550</f>
        <v>10550.0</v>
      </c>
      <c r="R217" s="34" t="s">
        <v>50</v>
      </c>
      <c r="S217" s="35" t="n">
        <f>11231.9</f>
        <v>11231.9</v>
      </c>
      <c r="T217" s="32" t="n">
        <f>40070</f>
        <v>40070.0</v>
      </c>
      <c r="U217" s="32" t="str">
        <f>"－"</f>
        <v>－</v>
      </c>
      <c r="V217" s="32" t="n">
        <f>451140950</f>
        <v>4.5114095E8</v>
      </c>
      <c r="W217" s="32" t="str">
        <f>"－"</f>
        <v>－</v>
      </c>
      <c r="X217" s="36" t="n">
        <f>21</f>
        <v>21.0</v>
      </c>
    </row>
    <row r="218">
      <c r="A218" s="27" t="s">
        <v>42</v>
      </c>
      <c r="B218" s="27" t="s">
        <v>705</v>
      </c>
      <c r="C218" s="27" t="s">
        <v>706</v>
      </c>
      <c r="D218" s="27" t="s">
        <v>707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9157</f>
        <v>9157.0</v>
      </c>
      <c r="L218" s="34" t="s">
        <v>48</v>
      </c>
      <c r="M218" s="33" t="n">
        <f>9569</f>
        <v>9569.0</v>
      </c>
      <c r="N218" s="34" t="s">
        <v>90</v>
      </c>
      <c r="O218" s="33" t="n">
        <f>8987</f>
        <v>8987.0</v>
      </c>
      <c r="P218" s="34" t="s">
        <v>64</v>
      </c>
      <c r="Q218" s="33" t="n">
        <f>9508</f>
        <v>9508.0</v>
      </c>
      <c r="R218" s="34" t="s">
        <v>50</v>
      </c>
      <c r="S218" s="35" t="n">
        <f>9240.43</f>
        <v>9240.43</v>
      </c>
      <c r="T218" s="32" t="n">
        <f>202970</f>
        <v>202970.0</v>
      </c>
      <c r="U218" s="32" t="n">
        <f>189400</f>
        <v>189400.0</v>
      </c>
      <c r="V218" s="32" t="n">
        <f>1887343217</f>
        <v>1.887343217E9</v>
      </c>
      <c r="W218" s="32" t="n">
        <f>1761009297</f>
        <v>1.761009297E9</v>
      </c>
      <c r="X218" s="36" t="n">
        <f>21</f>
        <v>21.0</v>
      </c>
    </row>
    <row r="219">
      <c r="A219" s="27" t="s">
        <v>42</v>
      </c>
      <c r="B219" s="27" t="s">
        <v>708</v>
      </c>
      <c r="C219" s="27" t="s">
        <v>709</v>
      </c>
      <c r="D219" s="27" t="s">
        <v>710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572.5</f>
        <v>572.5</v>
      </c>
      <c r="L219" s="34" t="s">
        <v>48</v>
      </c>
      <c r="M219" s="33" t="n">
        <f>574.3</f>
        <v>574.3</v>
      </c>
      <c r="N219" s="34" t="s">
        <v>72</v>
      </c>
      <c r="O219" s="33" t="n">
        <f>542.9</f>
        <v>542.9</v>
      </c>
      <c r="P219" s="34" t="s">
        <v>90</v>
      </c>
      <c r="Q219" s="33" t="n">
        <f>551.2</f>
        <v>551.2</v>
      </c>
      <c r="R219" s="34" t="s">
        <v>50</v>
      </c>
      <c r="S219" s="35" t="n">
        <f>557.22</f>
        <v>557.22</v>
      </c>
      <c r="T219" s="32" t="n">
        <f>59550</f>
        <v>59550.0</v>
      </c>
      <c r="U219" s="32" t="str">
        <f>"－"</f>
        <v>－</v>
      </c>
      <c r="V219" s="32" t="n">
        <f>33196199</f>
        <v>3.3196199E7</v>
      </c>
      <c r="W219" s="32" t="str">
        <f>"－"</f>
        <v>－</v>
      </c>
      <c r="X219" s="36" t="n">
        <f>21</f>
        <v>21.0</v>
      </c>
    </row>
    <row r="220">
      <c r="A220" s="27" t="s">
        <v>42</v>
      </c>
      <c r="B220" s="27" t="s">
        <v>711</v>
      </c>
      <c r="C220" s="27" t="s">
        <v>712</v>
      </c>
      <c r="D220" s="27" t="s">
        <v>713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495.2</f>
        <v>495.2</v>
      </c>
      <c r="L220" s="34" t="s">
        <v>48</v>
      </c>
      <c r="M220" s="33" t="n">
        <f>502.8</f>
        <v>502.8</v>
      </c>
      <c r="N220" s="34" t="s">
        <v>206</v>
      </c>
      <c r="O220" s="33" t="n">
        <f>475.6</f>
        <v>475.6</v>
      </c>
      <c r="P220" s="34" t="s">
        <v>90</v>
      </c>
      <c r="Q220" s="33" t="n">
        <f>481.3</f>
        <v>481.3</v>
      </c>
      <c r="R220" s="34" t="s">
        <v>50</v>
      </c>
      <c r="S220" s="35" t="n">
        <f>489.46</f>
        <v>489.46</v>
      </c>
      <c r="T220" s="32" t="n">
        <f>55140</f>
        <v>55140.0</v>
      </c>
      <c r="U220" s="32" t="str">
        <f>"－"</f>
        <v>－</v>
      </c>
      <c r="V220" s="32" t="n">
        <f>26892355</f>
        <v>2.6892355E7</v>
      </c>
      <c r="W220" s="32" t="str">
        <f>"－"</f>
        <v>－</v>
      </c>
      <c r="X220" s="36" t="n">
        <f>21</f>
        <v>21.0</v>
      </c>
    </row>
    <row r="221">
      <c r="A221" s="27" t="s">
        <v>42</v>
      </c>
      <c r="B221" s="27" t="s">
        <v>714</v>
      </c>
      <c r="C221" s="27" t="s">
        <v>715</v>
      </c>
      <c r="D221" s="27" t="s">
        <v>716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1239</f>
        <v>1239.0</v>
      </c>
      <c r="L221" s="34" t="s">
        <v>48</v>
      </c>
      <c r="M221" s="33" t="n">
        <f>1274</f>
        <v>1274.0</v>
      </c>
      <c r="N221" s="34" t="s">
        <v>72</v>
      </c>
      <c r="O221" s="33" t="n">
        <f>1134</f>
        <v>1134.0</v>
      </c>
      <c r="P221" s="34" t="s">
        <v>50</v>
      </c>
      <c r="Q221" s="33" t="n">
        <f>1139</f>
        <v>1139.0</v>
      </c>
      <c r="R221" s="34" t="s">
        <v>50</v>
      </c>
      <c r="S221" s="35" t="n">
        <f>1211.9</f>
        <v>1211.9</v>
      </c>
      <c r="T221" s="32" t="n">
        <f>1808162</f>
        <v>1808162.0</v>
      </c>
      <c r="U221" s="32" t="n">
        <f>8800</f>
        <v>8800.0</v>
      </c>
      <c r="V221" s="32" t="n">
        <f>2186961965</f>
        <v>2.186961965E9</v>
      </c>
      <c r="W221" s="32" t="n">
        <f>10056112</f>
        <v>1.0056112E7</v>
      </c>
      <c r="X221" s="36" t="n">
        <f>21</f>
        <v>21.0</v>
      </c>
    </row>
    <row r="222">
      <c r="A222" s="27" t="s">
        <v>42</v>
      </c>
      <c r="B222" s="27" t="s">
        <v>717</v>
      </c>
      <c r="C222" s="27" t="s">
        <v>718</v>
      </c>
      <c r="D222" s="27" t="s">
        <v>719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1387</f>
        <v>1387.0</v>
      </c>
      <c r="L222" s="34" t="s">
        <v>48</v>
      </c>
      <c r="M222" s="33" t="n">
        <f>1453</f>
        <v>1453.0</v>
      </c>
      <c r="N222" s="34" t="s">
        <v>64</v>
      </c>
      <c r="O222" s="33" t="n">
        <f>1326</f>
        <v>1326.0</v>
      </c>
      <c r="P222" s="34" t="s">
        <v>90</v>
      </c>
      <c r="Q222" s="33" t="n">
        <f>1335</f>
        <v>1335.0</v>
      </c>
      <c r="R222" s="34" t="s">
        <v>50</v>
      </c>
      <c r="S222" s="35" t="n">
        <f>1390.9</f>
        <v>1390.9</v>
      </c>
      <c r="T222" s="32" t="n">
        <f>1268425</f>
        <v>1268425.0</v>
      </c>
      <c r="U222" s="32" t="n">
        <f>351124</f>
        <v>351124.0</v>
      </c>
      <c r="V222" s="32" t="n">
        <f>1772525732</f>
        <v>1.772525732E9</v>
      </c>
      <c r="W222" s="32" t="n">
        <f>500019255</f>
        <v>5.00019255E8</v>
      </c>
      <c r="X222" s="36" t="n">
        <f>21</f>
        <v>21.0</v>
      </c>
    </row>
    <row r="223">
      <c r="A223" s="27" t="s">
        <v>42</v>
      </c>
      <c r="B223" s="27" t="s">
        <v>720</v>
      </c>
      <c r="C223" s="27" t="s">
        <v>721</v>
      </c>
      <c r="D223" s="27" t="s">
        <v>722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809.3</f>
        <v>809.3</v>
      </c>
      <c r="L223" s="34" t="s">
        <v>48</v>
      </c>
      <c r="M223" s="33" t="n">
        <f>809.3</f>
        <v>809.3</v>
      </c>
      <c r="N223" s="34" t="s">
        <v>48</v>
      </c>
      <c r="O223" s="33" t="n">
        <f>751.4</f>
        <v>751.4</v>
      </c>
      <c r="P223" s="34" t="s">
        <v>73</v>
      </c>
      <c r="Q223" s="33" t="n">
        <f>784.8</f>
        <v>784.8</v>
      </c>
      <c r="R223" s="34" t="s">
        <v>50</v>
      </c>
      <c r="S223" s="35" t="n">
        <f>769.43</f>
        <v>769.43</v>
      </c>
      <c r="T223" s="32" t="n">
        <f>144470</f>
        <v>144470.0</v>
      </c>
      <c r="U223" s="32" t="str">
        <f>"－"</f>
        <v>－</v>
      </c>
      <c r="V223" s="32" t="n">
        <f>110740268</f>
        <v>1.10740268E8</v>
      </c>
      <c r="W223" s="32" t="str">
        <f>"－"</f>
        <v>－</v>
      </c>
      <c r="X223" s="36" t="n">
        <f>15</f>
        <v>15.0</v>
      </c>
    </row>
    <row r="224">
      <c r="A224" s="27" t="s">
        <v>42</v>
      </c>
      <c r="B224" s="27" t="s">
        <v>723</v>
      </c>
      <c r="C224" s="27" t="s">
        <v>724</v>
      </c>
      <c r="D224" s="27" t="s">
        <v>725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768.2</f>
        <v>768.2</v>
      </c>
      <c r="L224" s="34" t="s">
        <v>48</v>
      </c>
      <c r="M224" s="33" t="n">
        <f>773.7</f>
        <v>773.7</v>
      </c>
      <c r="N224" s="34" t="s">
        <v>241</v>
      </c>
      <c r="O224" s="33" t="n">
        <f>759.3</f>
        <v>759.3</v>
      </c>
      <c r="P224" s="34" t="s">
        <v>73</v>
      </c>
      <c r="Q224" s="33" t="n">
        <f>770.6</f>
        <v>770.6</v>
      </c>
      <c r="R224" s="34" t="s">
        <v>50</v>
      </c>
      <c r="S224" s="35" t="n">
        <f>766.4</f>
        <v>766.4</v>
      </c>
      <c r="T224" s="32" t="n">
        <f>1760</f>
        <v>1760.0</v>
      </c>
      <c r="U224" s="32" t="str">
        <f>"－"</f>
        <v>－</v>
      </c>
      <c r="V224" s="32" t="n">
        <f>1349724</f>
        <v>1349724.0</v>
      </c>
      <c r="W224" s="32" t="str">
        <f>"－"</f>
        <v>－</v>
      </c>
      <c r="X224" s="36" t="n">
        <f>12</f>
        <v>12.0</v>
      </c>
    </row>
    <row r="225">
      <c r="A225" s="27" t="s">
        <v>42</v>
      </c>
      <c r="B225" s="27" t="s">
        <v>726</v>
      </c>
      <c r="C225" s="27" t="s">
        <v>727</v>
      </c>
      <c r="D225" s="27" t="s">
        <v>728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12060</f>
        <v>12060.0</v>
      </c>
      <c r="L225" s="34" t="s">
        <v>48</v>
      </c>
      <c r="M225" s="33" t="n">
        <f>12265</f>
        <v>12265.0</v>
      </c>
      <c r="N225" s="34" t="s">
        <v>64</v>
      </c>
      <c r="O225" s="33" t="n">
        <f>11565</f>
        <v>11565.0</v>
      </c>
      <c r="P225" s="34" t="s">
        <v>90</v>
      </c>
      <c r="Q225" s="33" t="n">
        <f>11665</f>
        <v>11665.0</v>
      </c>
      <c r="R225" s="34" t="s">
        <v>50</v>
      </c>
      <c r="S225" s="35" t="n">
        <f>11952.62</f>
        <v>11952.62</v>
      </c>
      <c r="T225" s="32" t="n">
        <f>77873</f>
        <v>77873.0</v>
      </c>
      <c r="U225" s="32" t="str">
        <f>"－"</f>
        <v>－</v>
      </c>
      <c r="V225" s="32" t="n">
        <f>936181555</f>
        <v>9.36181555E8</v>
      </c>
      <c r="W225" s="32" t="str">
        <f>"－"</f>
        <v>－</v>
      </c>
      <c r="X225" s="36" t="n">
        <f>21</f>
        <v>21.0</v>
      </c>
    </row>
    <row r="226">
      <c r="A226" s="27" t="s">
        <v>42</v>
      </c>
      <c r="B226" s="27" t="s">
        <v>729</v>
      </c>
      <c r="C226" s="27" t="s">
        <v>730</v>
      </c>
      <c r="D226" s="27" t="s">
        <v>731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35350</f>
        <v>35350.0</v>
      </c>
      <c r="L226" s="34" t="s">
        <v>48</v>
      </c>
      <c r="M226" s="33" t="n">
        <f>35900</f>
        <v>35900.0</v>
      </c>
      <c r="N226" s="34" t="s">
        <v>64</v>
      </c>
      <c r="O226" s="33" t="n">
        <f>33690</f>
        <v>33690.0</v>
      </c>
      <c r="P226" s="34" t="s">
        <v>90</v>
      </c>
      <c r="Q226" s="33" t="n">
        <f>33690</f>
        <v>33690.0</v>
      </c>
      <c r="R226" s="34" t="s">
        <v>90</v>
      </c>
      <c r="S226" s="35" t="n">
        <f>34930.53</f>
        <v>34930.53</v>
      </c>
      <c r="T226" s="32" t="n">
        <f>138713</f>
        <v>138713.0</v>
      </c>
      <c r="U226" s="32" t="n">
        <f>103092</f>
        <v>103092.0</v>
      </c>
      <c r="V226" s="32" t="n">
        <f>4763821504</f>
        <v>4.763821504E9</v>
      </c>
      <c r="W226" s="32" t="n">
        <f>3499622594</f>
        <v>3.499622594E9</v>
      </c>
      <c r="X226" s="36" t="n">
        <f>19</f>
        <v>19.0</v>
      </c>
    </row>
    <row r="227">
      <c r="A227" s="27" t="s">
        <v>42</v>
      </c>
      <c r="B227" s="27" t="s">
        <v>732</v>
      </c>
      <c r="C227" s="27" t="s">
        <v>733</v>
      </c>
      <c r="D227" s="27" t="s">
        <v>734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30540</f>
        <v>30540.0</v>
      </c>
      <c r="L227" s="34" t="s">
        <v>48</v>
      </c>
      <c r="M227" s="33" t="n">
        <f>33400</f>
        <v>33400.0</v>
      </c>
      <c r="N227" s="34" t="s">
        <v>90</v>
      </c>
      <c r="O227" s="33" t="n">
        <f>29490</f>
        <v>29490.0</v>
      </c>
      <c r="P227" s="34" t="s">
        <v>64</v>
      </c>
      <c r="Q227" s="33" t="n">
        <f>33050</f>
        <v>33050.0</v>
      </c>
      <c r="R227" s="34" t="s">
        <v>50</v>
      </c>
      <c r="S227" s="35" t="n">
        <f>31210</f>
        <v>31210.0</v>
      </c>
      <c r="T227" s="32" t="n">
        <f>46800</f>
        <v>46800.0</v>
      </c>
      <c r="U227" s="32" t="n">
        <f>14320</f>
        <v>14320.0</v>
      </c>
      <c r="V227" s="32" t="n">
        <f>1449067856</f>
        <v>1.449067856E9</v>
      </c>
      <c r="W227" s="32" t="n">
        <f>447967656</f>
        <v>4.47967656E8</v>
      </c>
      <c r="X227" s="36" t="n">
        <f>21</f>
        <v>21.0</v>
      </c>
    </row>
    <row r="228">
      <c r="A228" s="27" t="s">
        <v>42</v>
      </c>
      <c r="B228" s="27" t="s">
        <v>735</v>
      </c>
      <c r="C228" s="27" t="s">
        <v>736</v>
      </c>
      <c r="D228" s="27" t="s">
        <v>737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211.5</f>
        <v>211.5</v>
      </c>
      <c r="L228" s="34" t="s">
        <v>48</v>
      </c>
      <c r="M228" s="33" t="n">
        <f>211.5</f>
        <v>211.5</v>
      </c>
      <c r="N228" s="34" t="s">
        <v>48</v>
      </c>
      <c r="O228" s="33" t="n">
        <f>195.3</f>
        <v>195.3</v>
      </c>
      <c r="P228" s="34" t="s">
        <v>49</v>
      </c>
      <c r="Q228" s="33" t="n">
        <f>198.5</f>
        <v>198.5</v>
      </c>
      <c r="R228" s="34" t="s">
        <v>50</v>
      </c>
      <c r="S228" s="35" t="n">
        <f>201.46</f>
        <v>201.46</v>
      </c>
      <c r="T228" s="32" t="n">
        <f>228950</f>
        <v>228950.0</v>
      </c>
      <c r="U228" s="32" t="n">
        <f>200000</f>
        <v>200000.0</v>
      </c>
      <c r="V228" s="32" t="n">
        <f>45256174</f>
        <v>4.5256174E7</v>
      </c>
      <c r="W228" s="32" t="n">
        <f>39480000</f>
        <v>3.948E7</v>
      </c>
      <c r="X228" s="36" t="n">
        <f>21</f>
        <v>21.0</v>
      </c>
    </row>
    <row r="229">
      <c r="A229" s="27" t="s">
        <v>42</v>
      </c>
      <c r="B229" s="27" t="s">
        <v>738</v>
      </c>
      <c r="C229" s="27" t="s">
        <v>739</v>
      </c>
      <c r="D229" s="27" t="s">
        <v>740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779</f>
        <v>779.0</v>
      </c>
      <c r="L229" s="34" t="s">
        <v>48</v>
      </c>
      <c r="M229" s="33" t="n">
        <f>796.4</f>
        <v>796.4</v>
      </c>
      <c r="N229" s="34" t="s">
        <v>741</v>
      </c>
      <c r="O229" s="33" t="n">
        <f>771.2</f>
        <v>771.2</v>
      </c>
      <c r="P229" s="34" t="s">
        <v>64</v>
      </c>
      <c r="Q229" s="33" t="n">
        <f>791</f>
        <v>791.0</v>
      </c>
      <c r="R229" s="34" t="s">
        <v>50</v>
      </c>
      <c r="S229" s="35" t="n">
        <f>779.42</f>
        <v>779.42</v>
      </c>
      <c r="T229" s="32" t="n">
        <f>918330</f>
        <v>918330.0</v>
      </c>
      <c r="U229" s="32" t="n">
        <f>12020</f>
        <v>12020.0</v>
      </c>
      <c r="V229" s="32" t="n">
        <f>721167689</f>
        <v>7.21167689E8</v>
      </c>
      <c r="W229" s="32" t="n">
        <f>9487190</f>
        <v>9487190.0</v>
      </c>
      <c r="X229" s="36" t="n">
        <f>21</f>
        <v>21.0</v>
      </c>
    </row>
    <row r="230">
      <c r="A230" s="27" t="s">
        <v>42</v>
      </c>
      <c r="B230" s="27" t="s">
        <v>742</v>
      </c>
      <c r="C230" s="27" t="s">
        <v>743</v>
      </c>
      <c r="D230" s="27" t="s">
        <v>744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993</f>
        <v>993.0</v>
      </c>
      <c r="L230" s="34" t="s">
        <v>48</v>
      </c>
      <c r="M230" s="33" t="n">
        <f>999</f>
        <v>999.0</v>
      </c>
      <c r="N230" s="34" t="s">
        <v>48</v>
      </c>
      <c r="O230" s="33" t="n">
        <f>900</f>
        <v>900.0</v>
      </c>
      <c r="P230" s="34" t="s">
        <v>50</v>
      </c>
      <c r="Q230" s="33" t="n">
        <f>905</f>
        <v>905.0</v>
      </c>
      <c r="R230" s="34" t="s">
        <v>50</v>
      </c>
      <c r="S230" s="35" t="n">
        <f>954.95</f>
        <v>954.95</v>
      </c>
      <c r="T230" s="32" t="n">
        <f>441373</f>
        <v>441373.0</v>
      </c>
      <c r="U230" s="32" t="str">
        <f>"－"</f>
        <v>－</v>
      </c>
      <c r="V230" s="32" t="n">
        <f>422774725</f>
        <v>4.22774725E8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745</v>
      </c>
      <c r="C231" s="27" t="s">
        <v>746</v>
      </c>
      <c r="D231" s="27" t="s">
        <v>747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1034</f>
        <v>1034.0</v>
      </c>
      <c r="L231" s="34" t="s">
        <v>48</v>
      </c>
      <c r="M231" s="33" t="n">
        <f>1038</f>
        <v>1038.0</v>
      </c>
      <c r="N231" s="34" t="s">
        <v>48</v>
      </c>
      <c r="O231" s="33" t="n">
        <f>982</f>
        <v>982.0</v>
      </c>
      <c r="P231" s="34" t="s">
        <v>86</v>
      </c>
      <c r="Q231" s="33" t="n">
        <f>997</f>
        <v>997.0</v>
      </c>
      <c r="R231" s="34" t="s">
        <v>50</v>
      </c>
      <c r="S231" s="35" t="n">
        <f>1010</f>
        <v>1010.0</v>
      </c>
      <c r="T231" s="32" t="n">
        <f>89461</f>
        <v>89461.0</v>
      </c>
      <c r="U231" s="32" t="str">
        <f>"－"</f>
        <v>－</v>
      </c>
      <c r="V231" s="32" t="n">
        <f>89885925</f>
        <v>8.9885925E7</v>
      </c>
      <c r="W231" s="32" t="str">
        <f>"－"</f>
        <v>－</v>
      </c>
      <c r="X231" s="36" t="n">
        <f>21</f>
        <v>21.0</v>
      </c>
    </row>
    <row r="232">
      <c r="A232" s="27" t="s">
        <v>42</v>
      </c>
      <c r="B232" s="27" t="s">
        <v>748</v>
      </c>
      <c r="C232" s="27" t="s">
        <v>749</v>
      </c>
      <c r="D232" s="27" t="s">
        <v>750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888</f>
        <v>888.0</v>
      </c>
      <c r="L232" s="34" t="s">
        <v>48</v>
      </c>
      <c r="M232" s="33" t="n">
        <f>893</f>
        <v>893.0</v>
      </c>
      <c r="N232" s="34" t="s">
        <v>48</v>
      </c>
      <c r="O232" s="33" t="n">
        <f>809</f>
        <v>809.0</v>
      </c>
      <c r="P232" s="34" t="s">
        <v>175</v>
      </c>
      <c r="Q232" s="33" t="n">
        <f>853</f>
        <v>853.0</v>
      </c>
      <c r="R232" s="34" t="s">
        <v>50</v>
      </c>
      <c r="S232" s="35" t="n">
        <f>854.38</f>
        <v>854.38</v>
      </c>
      <c r="T232" s="32" t="n">
        <f>524232</f>
        <v>524232.0</v>
      </c>
      <c r="U232" s="32" t="str">
        <f>"－"</f>
        <v>－</v>
      </c>
      <c r="V232" s="32" t="n">
        <f>447130689</f>
        <v>4.47130689E8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751</v>
      </c>
      <c r="C233" s="27" t="s">
        <v>752</v>
      </c>
      <c r="D233" s="27" t="s">
        <v>753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924</f>
        <v>924.0</v>
      </c>
      <c r="L233" s="34" t="s">
        <v>48</v>
      </c>
      <c r="M233" s="33" t="n">
        <f>926</f>
        <v>926.0</v>
      </c>
      <c r="N233" s="34" t="s">
        <v>72</v>
      </c>
      <c r="O233" s="33" t="n">
        <f>910.2</f>
        <v>910.2</v>
      </c>
      <c r="P233" s="34" t="s">
        <v>50</v>
      </c>
      <c r="Q233" s="33" t="n">
        <f>912.9</f>
        <v>912.9</v>
      </c>
      <c r="R233" s="34" t="s">
        <v>50</v>
      </c>
      <c r="S233" s="35" t="n">
        <f>919.82</f>
        <v>919.82</v>
      </c>
      <c r="T233" s="32" t="n">
        <f>2603370</f>
        <v>2603370.0</v>
      </c>
      <c r="U233" s="32" t="n">
        <f>925960</f>
        <v>925960.0</v>
      </c>
      <c r="V233" s="32" t="n">
        <f>2391227262</f>
        <v>2.391227262E9</v>
      </c>
      <c r="W233" s="32" t="n">
        <f>849282743</f>
        <v>8.49282743E8</v>
      </c>
      <c r="X233" s="36" t="n">
        <f>21</f>
        <v>21.0</v>
      </c>
    </row>
    <row r="234">
      <c r="A234" s="27" t="s">
        <v>42</v>
      </c>
      <c r="B234" s="27" t="s">
        <v>754</v>
      </c>
      <c r="C234" s="27" t="s">
        <v>755</v>
      </c>
      <c r="D234" s="27" t="s">
        <v>756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1025</f>
        <v>1025.0</v>
      </c>
      <c r="L234" s="34" t="s">
        <v>48</v>
      </c>
      <c r="M234" s="33" t="n">
        <f>1025</f>
        <v>1025.0</v>
      </c>
      <c r="N234" s="34" t="s">
        <v>48</v>
      </c>
      <c r="O234" s="33" t="n">
        <f>1002.5</f>
        <v>1002.5</v>
      </c>
      <c r="P234" s="34" t="s">
        <v>73</v>
      </c>
      <c r="Q234" s="33" t="n">
        <f>1020</f>
        <v>1020.0</v>
      </c>
      <c r="R234" s="34" t="s">
        <v>50</v>
      </c>
      <c r="S234" s="35" t="n">
        <f>1016.02</f>
        <v>1016.02</v>
      </c>
      <c r="T234" s="32" t="n">
        <f>2052810</f>
        <v>2052810.0</v>
      </c>
      <c r="U234" s="32" t="n">
        <f>1535010</f>
        <v>1535010.0</v>
      </c>
      <c r="V234" s="32" t="n">
        <f>2081790452</f>
        <v>2.081790452E9</v>
      </c>
      <c r="W234" s="32" t="n">
        <f>1556199172</f>
        <v>1.556199172E9</v>
      </c>
      <c r="X234" s="36" t="n">
        <f>21</f>
        <v>21.0</v>
      </c>
    </row>
    <row r="235">
      <c r="A235" s="27" t="s">
        <v>42</v>
      </c>
      <c r="B235" s="27" t="s">
        <v>757</v>
      </c>
      <c r="C235" s="27" t="s">
        <v>758</v>
      </c>
      <c r="D235" s="27" t="s">
        <v>759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776</f>
        <v>776.0</v>
      </c>
      <c r="L235" s="34" t="s">
        <v>48</v>
      </c>
      <c r="M235" s="33" t="n">
        <f>784</f>
        <v>784.0</v>
      </c>
      <c r="N235" s="34" t="s">
        <v>276</v>
      </c>
      <c r="O235" s="33" t="n">
        <f>765.4</f>
        <v>765.4</v>
      </c>
      <c r="P235" s="34" t="s">
        <v>60</v>
      </c>
      <c r="Q235" s="33" t="n">
        <f>771.4</f>
        <v>771.4</v>
      </c>
      <c r="R235" s="34" t="s">
        <v>50</v>
      </c>
      <c r="S235" s="35" t="n">
        <f>773.24</f>
        <v>773.24</v>
      </c>
      <c r="T235" s="32" t="n">
        <f>821460</f>
        <v>821460.0</v>
      </c>
      <c r="U235" s="32" t="n">
        <f>282790</f>
        <v>282790.0</v>
      </c>
      <c r="V235" s="32" t="n">
        <f>634650468</f>
        <v>6.34650468E8</v>
      </c>
      <c r="W235" s="32" t="n">
        <f>218055090</f>
        <v>2.1805509E8</v>
      </c>
      <c r="X235" s="36" t="n">
        <f>21</f>
        <v>21.0</v>
      </c>
    </row>
    <row r="236">
      <c r="A236" s="27" t="s">
        <v>42</v>
      </c>
      <c r="B236" s="27" t="s">
        <v>760</v>
      </c>
      <c r="C236" s="27" t="s">
        <v>761</v>
      </c>
      <c r="D236" s="27" t="s">
        <v>762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1949.5</f>
        <v>1949.5</v>
      </c>
      <c r="L236" s="34" t="s">
        <v>48</v>
      </c>
      <c r="M236" s="33" t="n">
        <f>1995</f>
        <v>1995.0</v>
      </c>
      <c r="N236" s="34" t="s">
        <v>206</v>
      </c>
      <c r="O236" s="33" t="n">
        <f>1863.5</f>
        <v>1863.5</v>
      </c>
      <c r="P236" s="34" t="s">
        <v>90</v>
      </c>
      <c r="Q236" s="33" t="n">
        <f>1880.5</f>
        <v>1880.5</v>
      </c>
      <c r="R236" s="34" t="s">
        <v>50</v>
      </c>
      <c r="S236" s="35" t="n">
        <f>1926.29</f>
        <v>1926.29</v>
      </c>
      <c r="T236" s="32" t="n">
        <f>1363960</f>
        <v>1363960.0</v>
      </c>
      <c r="U236" s="32" t="n">
        <f>975450</f>
        <v>975450.0</v>
      </c>
      <c r="V236" s="32" t="n">
        <f>2626436939</f>
        <v>2.626436939E9</v>
      </c>
      <c r="W236" s="32" t="n">
        <f>1881092019</f>
        <v>1.881092019E9</v>
      </c>
      <c r="X236" s="36" t="n">
        <f>21</f>
        <v>21.0</v>
      </c>
    </row>
    <row r="237">
      <c r="A237" s="27" t="s">
        <v>42</v>
      </c>
      <c r="B237" s="27" t="s">
        <v>763</v>
      </c>
      <c r="C237" s="27" t="s">
        <v>764</v>
      </c>
      <c r="D237" s="27" t="s">
        <v>765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1348.5</f>
        <v>1348.5</v>
      </c>
      <c r="L237" s="34" t="s">
        <v>48</v>
      </c>
      <c r="M237" s="33" t="n">
        <f>1372.5</f>
        <v>1372.5</v>
      </c>
      <c r="N237" s="34" t="s">
        <v>64</v>
      </c>
      <c r="O237" s="33" t="n">
        <f>1285.5</f>
        <v>1285.5</v>
      </c>
      <c r="P237" s="34" t="s">
        <v>90</v>
      </c>
      <c r="Q237" s="33" t="n">
        <f>1291</f>
        <v>1291.0</v>
      </c>
      <c r="R237" s="34" t="s">
        <v>50</v>
      </c>
      <c r="S237" s="35" t="n">
        <f>1330.52</f>
        <v>1330.52</v>
      </c>
      <c r="T237" s="32" t="n">
        <f>693010</f>
        <v>693010.0</v>
      </c>
      <c r="U237" s="32" t="n">
        <f>544310</f>
        <v>544310.0</v>
      </c>
      <c r="V237" s="32" t="n">
        <f>924464710</f>
        <v>9.2446471E8</v>
      </c>
      <c r="W237" s="32" t="n">
        <f>725676860</f>
        <v>7.2567686E8</v>
      </c>
      <c r="X237" s="36" t="n">
        <f>21</f>
        <v>21.0</v>
      </c>
    </row>
    <row r="238">
      <c r="A238" s="27" t="s">
        <v>42</v>
      </c>
      <c r="B238" s="27" t="s">
        <v>766</v>
      </c>
      <c r="C238" s="27" t="s">
        <v>767</v>
      </c>
      <c r="D238" s="27" t="s">
        <v>768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1187.5</f>
        <v>1187.5</v>
      </c>
      <c r="L238" s="34" t="s">
        <v>48</v>
      </c>
      <c r="M238" s="33" t="n">
        <f>1199.5</f>
        <v>1199.5</v>
      </c>
      <c r="N238" s="34" t="s">
        <v>64</v>
      </c>
      <c r="O238" s="33" t="n">
        <f>1100</f>
        <v>1100.0</v>
      </c>
      <c r="P238" s="34" t="s">
        <v>50</v>
      </c>
      <c r="Q238" s="33" t="n">
        <f>1111.5</f>
        <v>1111.5</v>
      </c>
      <c r="R238" s="34" t="s">
        <v>50</v>
      </c>
      <c r="S238" s="35" t="n">
        <f>1149.67</f>
        <v>1149.67</v>
      </c>
      <c r="T238" s="32" t="n">
        <f>614060</f>
        <v>614060.0</v>
      </c>
      <c r="U238" s="32" t="n">
        <f>28370</f>
        <v>28370.0</v>
      </c>
      <c r="V238" s="32" t="n">
        <f>697980952</f>
        <v>6.97980952E8</v>
      </c>
      <c r="W238" s="32" t="n">
        <f>31353162</f>
        <v>3.1353162E7</v>
      </c>
      <c r="X238" s="36" t="n">
        <f>21</f>
        <v>21.0</v>
      </c>
    </row>
    <row r="239">
      <c r="A239" s="27" t="s">
        <v>42</v>
      </c>
      <c r="B239" s="27" t="s">
        <v>769</v>
      </c>
      <c r="C239" s="27" t="s">
        <v>770</v>
      </c>
      <c r="D239" s="27" t="s">
        <v>771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572.5</f>
        <v>572.5</v>
      </c>
      <c r="L239" s="34" t="s">
        <v>48</v>
      </c>
      <c r="M239" s="33" t="n">
        <f>574</f>
        <v>574.0</v>
      </c>
      <c r="N239" s="34" t="s">
        <v>48</v>
      </c>
      <c r="O239" s="33" t="n">
        <f>481</f>
        <v>481.0</v>
      </c>
      <c r="P239" s="34" t="s">
        <v>49</v>
      </c>
      <c r="Q239" s="33" t="n">
        <f>504.2</f>
        <v>504.2</v>
      </c>
      <c r="R239" s="34" t="s">
        <v>50</v>
      </c>
      <c r="S239" s="35" t="n">
        <f>522.46</f>
        <v>522.46</v>
      </c>
      <c r="T239" s="32" t="n">
        <f>43887680</f>
        <v>4.388768E7</v>
      </c>
      <c r="U239" s="32" t="n">
        <f>1582440</f>
        <v>1582440.0</v>
      </c>
      <c r="V239" s="32" t="n">
        <f>22574589118</f>
        <v>2.2574589118E10</v>
      </c>
      <c r="W239" s="32" t="n">
        <f>821590424</f>
        <v>8.21590424E8</v>
      </c>
      <c r="X239" s="36" t="n">
        <f>21</f>
        <v>21.0</v>
      </c>
    </row>
    <row r="240">
      <c r="A240" s="27" t="s">
        <v>42</v>
      </c>
      <c r="B240" s="27" t="s">
        <v>772</v>
      </c>
      <c r="C240" s="27" t="s">
        <v>773</v>
      </c>
      <c r="D240" s="27" t="s">
        <v>774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1123</f>
        <v>1123.0</v>
      </c>
      <c r="L240" s="34" t="s">
        <v>48</v>
      </c>
      <c r="M240" s="33" t="n">
        <f>1126</f>
        <v>1126.0</v>
      </c>
      <c r="N240" s="34" t="s">
        <v>48</v>
      </c>
      <c r="O240" s="33" t="n">
        <f>1084.5</f>
        <v>1084.5</v>
      </c>
      <c r="P240" s="34" t="s">
        <v>49</v>
      </c>
      <c r="Q240" s="33" t="n">
        <f>1097.5</f>
        <v>1097.5</v>
      </c>
      <c r="R240" s="34" t="s">
        <v>50</v>
      </c>
      <c r="S240" s="35" t="n">
        <f>1105.26</f>
        <v>1105.26</v>
      </c>
      <c r="T240" s="32" t="n">
        <f>939800</f>
        <v>939800.0</v>
      </c>
      <c r="U240" s="32" t="n">
        <f>500020</f>
        <v>500020.0</v>
      </c>
      <c r="V240" s="32" t="n">
        <f>1034824615</f>
        <v>1.034824615E9</v>
      </c>
      <c r="W240" s="32" t="n">
        <f>550198665</f>
        <v>5.50198665E8</v>
      </c>
      <c r="X240" s="36" t="n">
        <f>21</f>
        <v>21.0</v>
      </c>
    </row>
    <row r="241">
      <c r="A241" s="27" t="s">
        <v>42</v>
      </c>
      <c r="B241" s="27" t="s">
        <v>775</v>
      </c>
      <c r="C241" s="27" t="s">
        <v>776</v>
      </c>
      <c r="D241" s="27" t="s">
        <v>777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1278</f>
        <v>1278.0</v>
      </c>
      <c r="L241" s="34" t="s">
        <v>48</v>
      </c>
      <c r="M241" s="33" t="n">
        <f>1286</f>
        <v>1286.0</v>
      </c>
      <c r="N241" s="34" t="s">
        <v>48</v>
      </c>
      <c r="O241" s="33" t="n">
        <f>1195</f>
        <v>1195.0</v>
      </c>
      <c r="P241" s="34" t="s">
        <v>49</v>
      </c>
      <c r="Q241" s="33" t="n">
        <f>1220</f>
        <v>1220.0</v>
      </c>
      <c r="R241" s="34" t="s">
        <v>50</v>
      </c>
      <c r="S241" s="35" t="n">
        <f>1238.9</f>
        <v>1238.9</v>
      </c>
      <c r="T241" s="32" t="n">
        <f>32446</f>
        <v>32446.0</v>
      </c>
      <c r="U241" s="32" t="str">
        <f>"－"</f>
        <v>－</v>
      </c>
      <c r="V241" s="32" t="n">
        <f>39957943</f>
        <v>3.9957943E7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778</v>
      </c>
      <c r="C242" s="27" t="s">
        <v>779</v>
      </c>
      <c r="D242" s="27" t="s">
        <v>780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945.4</f>
        <v>945.4</v>
      </c>
      <c r="L242" s="34" t="s">
        <v>48</v>
      </c>
      <c r="M242" s="33" t="n">
        <f>946.1</f>
        <v>946.1</v>
      </c>
      <c r="N242" s="34" t="s">
        <v>48</v>
      </c>
      <c r="O242" s="33" t="n">
        <f>911</f>
        <v>911.0</v>
      </c>
      <c r="P242" s="34" t="s">
        <v>213</v>
      </c>
      <c r="Q242" s="33" t="n">
        <f>931.3</f>
        <v>931.3</v>
      </c>
      <c r="R242" s="34" t="s">
        <v>50</v>
      </c>
      <c r="S242" s="35" t="n">
        <f>928.93</f>
        <v>928.93</v>
      </c>
      <c r="T242" s="32" t="n">
        <f>68400</f>
        <v>68400.0</v>
      </c>
      <c r="U242" s="32" t="n">
        <f>10</f>
        <v>10.0</v>
      </c>
      <c r="V242" s="32" t="n">
        <f>63280025</f>
        <v>6.3280025E7</v>
      </c>
      <c r="W242" s="32" t="n">
        <f>9280</f>
        <v>9280.0</v>
      </c>
      <c r="X242" s="36" t="n">
        <f>21</f>
        <v>21.0</v>
      </c>
    </row>
    <row r="243">
      <c r="A243" s="27" t="s">
        <v>42</v>
      </c>
      <c r="B243" s="27" t="s">
        <v>781</v>
      </c>
      <c r="C243" s="27" t="s">
        <v>782</v>
      </c>
      <c r="D243" s="27" t="s">
        <v>783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1247</f>
        <v>1247.0</v>
      </c>
      <c r="L243" s="34" t="s">
        <v>48</v>
      </c>
      <c r="M243" s="33" t="n">
        <f>1254.5</f>
        <v>1254.5</v>
      </c>
      <c r="N243" s="34" t="s">
        <v>64</v>
      </c>
      <c r="O243" s="33" t="n">
        <f>1175</f>
        <v>1175.0</v>
      </c>
      <c r="P243" s="34" t="s">
        <v>49</v>
      </c>
      <c r="Q243" s="33" t="n">
        <f>1194</f>
        <v>1194.0</v>
      </c>
      <c r="R243" s="34" t="s">
        <v>50</v>
      </c>
      <c r="S243" s="35" t="n">
        <f>1215.19</f>
        <v>1215.19</v>
      </c>
      <c r="T243" s="32" t="n">
        <f>60800</f>
        <v>60800.0</v>
      </c>
      <c r="U243" s="32" t="n">
        <f>80</f>
        <v>80.0</v>
      </c>
      <c r="V243" s="32" t="n">
        <f>73522875</f>
        <v>7.3522875E7</v>
      </c>
      <c r="W243" s="32" t="n">
        <f>95120</f>
        <v>95120.0</v>
      </c>
      <c r="X243" s="36" t="n">
        <f>21</f>
        <v>21.0</v>
      </c>
    </row>
    <row r="244">
      <c r="A244" s="27" t="s">
        <v>42</v>
      </c>
      <c r="B244" s="27" t="s">
        <v>784</v>
      </c>
      <c r="C244" s="27" t="s">
        <v>785</v>
      </c>
      <c r="D244" s="27" t="s">
        <v>786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1398.5</f>
        <v>1398.5</v>
      </c>
      <c r="L244" s="34" t="s">
        <v>48</v>
      </c>
      <c r="M244" s="33" t="n">
        <f>1423.5</f>
        <v>1423.5</v>
      </c>
      <c r="N244" s="34" t="s">
        <v>64</v>
      </c>
      <c r="O244" s="33" t="n">
        <f>1335</f>
        <v>1335.0</v>
      </c>
      <c r="P244" s="34" t="s">
        <v>90</v>
      </c>
      <c r="Q244" s="33" t="n">
        <f>1340.5</f>
        <v>1340.5</v>
      </c>
      <c r="R244" s="34" t="s">
        <v>50</v>
      </c>
      <c r="S244" s="35" t="n">
        <f>1383.6</f>
        <v>1383.6</v>
      </c>
      <c r="T244" s="32" t="n">
        <f>7657730</f>
        <v>7657730.0</v>
      </c>
      <c r="U244" s="32" t="n">
        <f>5079500</f>
        <v>5079500.0</v>
      </c>
      <c r="V244" s="32" t="n">
        <f>10598940702</f>
        <v>1.0598940702E10</v>
      </c>
      <c r="W244" s="32" t="n">
        <f>7044966607</f>
        <v>7.044966607E9</v>
      </c>
      <c r="X244" s="36" t="n">
        <f>21</f>
        <v>21.0</v>
      </c>
    </row>
    <row r="245">
      <c r="A245" s="27" t="s">
        <v>42</v>
      </c>
      <c r="B245" s="27" t="s">
        <v>787</v>
      </c>
      <c r="C245" s="27" t="s">
        <v>788</v>
      </c>
      <c r="D245" s="27" t="s">
        <v>789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4375</f>
        <v>4375.0</v>
      </c>
      <c r="L245" s="34" t="s">
        <v>48</v>
      </c>
      <c r="M245" s="33" t="n">
        <f>4430</f>
        <v>4430.0</v>
      </c>
      <c r="N245" s="34" t="s">
        <v>64</v>
      </c>
      <c r="O245" s="33" t="n">
        <f>4015</f>
        <v>4015.0</v>
      </c>
      <c r="P245" s="34" t="s">
        <v>175</v>
      </c>
      <c r="Q245" s="33" t="n">
        <f>4025</f>
        <v>4025.0</v>
      </c>
      <c r="R245" s="34" t="s">
        <v>50</v>
      </c>
      <c r="S245" s="35" t="n">
        <f>4233.33</f>
        <v>4233.33</v>
      </c>
      <c r="T245" s="32" t="n">
        <f>245693</f>
        <v>245693.0</v>
      </c>
      <c r="U245" s="32" t="n">
        <f>180000</f>
        <v>180000.0</v>
      </c>
      <c r="V245" s="32" t="n">
        <f>994691010</f>
        <v>9.9469101E8</v>
      </c>
      <c r="W245" s="32" t="n">
        <f>725010750</f>
        <v>7.2501075E8</v>
      </c>
      <c r="X245" s="36" t="n">
        <f>21</f>
        <v>21.0</v>
      </c>
    </row>
    <row r="246">
      <c r="A246" s="27" t="s">
        <v>42</v>
      </c>
      <c r="B246" s="27" t="s">
        <v>790</v>
      </c>
      <c r="C246" s="27" t="s">
        <v>791</v>
      </c>
      <c r="D246" s="27" t="s">
        <v>792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1840</f>
        <v>1840.0</v>
      </c>
      <c r="L246" s="34" t="s">
        <v>174</v>
      </c>
      <c r="M246" s="33" t="n">
        <f>1898</f>
        <v>1898.0</v>
      </c>
      <c r="N246" s="34" t="s">
        <v>266</v>
      </c>
      <c r="O246" s="33" t="n">
        <f>1805</f>
        <v>1805.0</v>
      </c>
      <c r="P246" s="34" t="s">
        <v>90</v>
      </c>
      <c r="Q246" s="33" t="n">
        <f>1805</f>
        <v>1805.0</v>
      </c>
      <c r="R246" s="34" t="s">
        <v>90</v>
      </c>
      <c r="S246" s="35" t="n">
        <f>1839.88</f>
        <v>1839.88</v>
      </c>
      <c r="T246" s="32" t="n">
        <f>360</f>
        <v>360.0</v>
      </c>
      <c r="U246" s="32" t="str">
        <f>"－"</f>
        <v>－</v>
      </c>
      <c r="V246" s="32" t="n">
        <f>670870</f>
        <v>670870.0</v>
      </c>
      <c r="W246" s="32" t="str">
        <f>"－"</f>
        <v>－</v>
      </c>
      <c r="X246" s="36" t="n">
        <f>8</f>
        <v>8.0</v>
      </c>
    </row>
    <row r="247">
      <c r="A247" s="27" t="s">
        <v>42</v>
      </c>
      <c r="B247" s="27" t="s">
        <v>793</v>
      </c>
      <c r="C247" s="27" t="s">
        <v>794</v>
      </c>
      <c r="D247" s="27" t="s">
        <v>795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2399</f>
        <v>2399.0</v>
      </c>
      <c r="L247" s="34" t="s">
        <v>48</v>
      </c>
      <c r="M247" s="33" t="n">
        <f>2418.5</f>
        <v>2418.5</v>
      </c>
      <c r="N247" s="34" t="s">
        <v>48</v>
      </c>
      <c r="O247" s="33" t="n">
        <f>2265</f>
        <v>2265.0</v>
      </c>
      <c r="P247" s="34" t="s">
        <v>49</v>
      </c>
      <c r="Q247" s="33" t="n">
        <f>2304</f>
        <v>2304.0</v>
      </c>
      <c r="R247" s="34" t="s">
        <v>50</v>
      </c>
      <c r="S247" s="35" t="n">
        <f>2336.08</f>
        <v>2336.08</v>
      </c>
      <c r="T247" s="32" t="n">
        <f>874740</f>
        <v>874740.0</v>
      </c>
      <c r="U247" s="32" t="str">
        <f>"－"</f>
        <v>－</v>
      </c>
      <c r="V247" s="32" t="n">
        <f>2055215260</f>
        <v>2.05521526E9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796</v>
      </c>
      <c r="C248" s="27" t="s">
        <v>797</v>
      </c>
      <c r="D248" s="27" t="s">
        <v>798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32660</f>
        <v>32660.0</v>
      </c>
      <c r="L248" s="34" t="s">
        <v>48</v>
      </c>
      <c r="M248" s="33" t="n">
        <f>33060</f>
        <v>33060.0</v>
      </c>
      <c r="N248" s="34" t="s">
        <v>72</v>
      </c>
      <c r="O248" s="33" t="n">
        <f>31020</f>
        <v>31020.0</v>
      </c>
      <c r="P248" s="34" t="s">
        <v>73</v>
      </c>
      <c r="Q248" s="33" t="n">
        <f>32550</f>
        <v>32550.0</v>
      </c>
      <c r="R248" s="34" t="s">
        <v>50</v>
      </c>
      <c r="S248" s="35" t="n">
        <f>31980.48</f>
        <v>31980.48</v>
      </c>
      <c r="T248" s="32" t="n">
        <f>327637</f>
        <v>327637.0</v>
      </c>
      <c r="U248" s="32" t="n">
        <f>181222</f>
        <v>181222.0</v>
      </c>
      <c r="V248" s="32" t="n">
        <f>10374438607</f>
        <v>1.0374438607E10</v>
      </c>
      <c r="W248" s="32" t="n">
        <f>5712191857</f>
        <v>5.712191857E9</v>
      </c>
      <c r="X248" s="36" t="n">
        <f>21</f>
        <v>21.0</v>
      </c>
    </row>
    <row r="249">
      <c r="A249" s="27" t="s">
        <v>42</v>
      </c>
      <c r="B249" s="27" t="s">
        <v>799</v>
      </c>
      <c r="C249" s="27" t="s">
        <v>800</v>
      </c>
      <c r="D249" s="27" t="s">
        <v>801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21520</f>
        <v>21520.0</v>
      </c>
      <c r="L249" s="34" t="s">
        <v>48</v>
      </c>
      <c r="M249" s="33" t="n">
        <f>21575</f>
        <v>21575.0</v>
      </c>
      <c r="N249" s="34" t="s">
        <v>64</v>
      </c>
      <c r="O249" s="33" t="n">
        <f>20485</f>
        <v>20485.0</v>
      </c>
      <c r="P249" s="34" t="s">
        <v>90</v>
      </c>
      <c r="Q249" s="33" t="n">
        <f>20635</f>
        <v>20635.0</v>
      </c>
      <c r="R249" s="34" t="s">
        <v>50</v>
      </c>
      <c r="S249" s="35" t="n">
        <f>20996.82</f>
        <v>20996.82</v>
      </c>
      <c r="T249" s="32" t="n">
        <f>4911</f>
        <v>4911.0</v>
      </c>
      <c r="U249" s="32" t="str">
        <f>"－"</f>
        <v>－</v>
      </c>
      <c r="V249" s="32" t="n">
        <f>100687385</f>
        <v>1.00687385E8</v>
      </c>
      <c r="W249" s="32" t="str">
        <f>"－"</f>
        <v>－</v>
      </c>
      <c r="X249" s="36" t="n">
        <f>11</f>
        <v>11.0</v>
      </c>
    </row>
    <row r="250">
      <c r="A250" s="27" t="s">
        <v>42</v>
      </c>
      <c r="B250" s="27" t="s">
        <v>802</v>
      </c>
      <c r="C250" s="27" t="s">
        <v>803</v>
      </c>
      <c r="D250" s="27" t="s">
        <v>804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1126</f>
        <v>1126.0</v>
      </c>
      <c r="L250" s="34" t="s">
        <v>48</v>
      </c>
      <c r="M250" s="33" t="n">
        <f>1131.5</f>
        <v>1131.5</v>
      </c>
      <c r="N250" s="34" t="s">
        <v>64</v>
      </c>
      <c r="O250" s="33" t="n">
        <f>1099</f>
        <v>1099.0</v>
      </c>
      <c r="P250" s="34" t="s">
        <v>73</v>
      </c>
      <c r="Q250" s="33" t="n">
        <f>1105</f>
        <v>1105.0</v>
      </c>
      <c r="R250" s="34" t="s">
        <v>50</v>
      </c>
      <c r="S250" s="35" t="n">
        <f>1112.42</f>
        <v>1112.42</v>
      </c>
      <c r="T250" s="32" t="n">
        <f>565810</f>
        <v>565810.0</v>
      </c>
      <c r="U250" s="32" t="n">
        <f>278000</f>
        <v>278000.0</v>
      </c>
      <c r="V250" s="32" t="n">
        <f>629938185</f>
        <v>6.29938185E8</v>
      </c>
      <c r="W250" s="32" t="n">
        <f>308097200</f>
        <v>3.080972E8</v>
      </c>
      <c r="X250" s="36" t="n">
        <f>18</f>
        <v>18.0</v>
      </c>
    </row>
    <row r="251">
      <c r="A251" s="27" t="s">
        <v>42</v>
      </c>
      <c r="B251" s="27" t="s">
        <v>805</v>
      </c>
      <c r="C251" s="27" t="s">
        <v>806</v>
      </c>
      <c r="D251" s="27" t="s">
        <v>807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1119</f>
        <v>1119.0</v>
      </c>
      <c r="L251" s="34" t="s">
        <v>48</v>
      </c>
      <c r="M251" s="33" t="n">
        <f>1119</f>
        <v>1119.0</v>
      </c>
      <c r="N251" s="34" t="s">
        <v>48</v>
      </c>
      <c r="O251" s="33" t="n">
        <f>1078</f>
        <v>1078.0</v>
      </c>
      <c r="P251" s="34" t="s">
        <v>49</v>
      </c>
      <c r="Q251" s="33" t="n">
        <f>1090.5</f>
        <v>1090.5</v>
      </c>
      <c r="R251" s="34" t="s">
        <v>50</v>
      </c>
      <c r="S251" s="35" t="n">
        <f>1098.76</f>
        <v>1098.76</v>
      </c>
      <c r="T251" s="32" t="n">
        <f>215960</f>
        <v>215960.0</v>
      </c>
      <c r="U251" s="32" t="n">
        <f>10</f>
        <v>10.0</v>
      </c>
      <c r="V251" s="32" t="n">
        <f>237415140</f>
        <v>2.3741514E8</v>
      </c>
      <c r="W251" s="32" t="n">
        <f>10850</f>
        <v>10850.0</v>
      </c>
      <c r="X251" s="36" t="n">
        <f>19</f>
        <v>19.0</v>
      </c>
    </row>
    <row r="252">
      <c r="A252" s="27" t="s">
        <v>42</v>
      </c>
      <c r="B252" s="27" t="s">
        <v>808</v>
      </c>
      <c r="C252" s="27" t="s">
        <v>809</v>
      </c>
      <c r="D252" s="27" t="s">
        <v>810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1533</f>
        <v>1533.0</v>
      </c>
      <c r="L252" s="34" t="s">
        <v>48</v>
      </c>
      <c r="M252" s="33" t="n">
        <f>1540</f>
        <v>1540.0</v>
      </c>
      <c r="N252" s="34" t="s">
        <v>48</v>
      </c>
      <c r="O252" s="33" t="n">
        <f>1423</f>
        <v>1423.0</v>
      </c>
      <c r="P252" s="34" t="s">
        <v>49</v>
      </c>
      <c r="Q252" s="33" t="n">
        <f>1458</f>
        <v>1458.0</v>
      </c>
      <c r="R252" s="34" t="s">
        <v>50</v>
      </c>
      <c r="S252" s="35" t="n">
        <f>1470.71</f>
        <v>1470.71</v>
      </c>
      <c r="T252" s="32" t="n">
        <f>474804</f>
        <v>474804.0</v>
      </c>
      <c r="U252" s="32" t="n">
        <f>109683</f>
        <v>109683.0</v>
      </c>
      <c r="V252" s="32" t="n">
        <f>699261886</f>
        <v>6.99261886E8</v>
      </c>
      <c r="W252" s="32" t="n">
        <f>163616662</f>
        <v>1.63616662E8</v>
      </c>
      <c r="X252" s="36" t="n">
        <f>21</f>
        <v>21.0</v>
      </c>
    </row>
    <row r="253">
      <c r="A253" s="27" t="s">
        <v>42</v>
      </c>
      <c r="B253" s="27" t="s">
        <v>811</v>
      </c>
      <c r="C253" s="27" t="s">
        <v>812</v>
      </c>
      <c r="D253" s="27" t="s">
        <v>813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13490</f>
        <v>13490.0</v>
      </c>
      <c r="L253" s="34" t="s">
        <v>48</v>
      </c>
      <c r="M253" s="33" t="n">
        <f>13600</f>
        <v>13600.0</v>
      </c>
      <c r="N253" s="34" t="s">
        <v>174</v>
      </c>
      <c r="O253" s="33" t="n">
        <f>12695</f>
        <v>12695.0</v>
      </c>
      <c r="P253" s="34" t="s">
        <v>741</v>
      </c>
      <c r="Q253" s="33" t="n">
        <f>12905</f>
        <v>12905.0</v>
      </c>
      <c r="R253" s="34" t="s">
        <v>50</v>
      </c>
      <c r="S253" s="35" t="n">
        <f>13052.62</f>
        <v>13052.62</v>
      </c>
      <c r="T253" s="32" t="n">
        <f>955</f>
        <v>955.0</v>
      </c>
      <c r="U253" s="32" t="str">
        <f>"－"</f>
        <v>－</v>
      </c>
      <c r="V253" s="32" t="n">
        <f>12368930</f>
        <v>1.236893E7</v>
      </c>
      <c r="W253" s="32" t="str">
        <f>"－"</f>
        <v>－</v>
      </c>
      <c r="X253" s="36" t="n">
        <f>21</f>
        <v>21.0</v>
      </c>
    </row>
    <row r="254">
      <c r="A254" s="27" t="s">
        <v>42</v>
      </c>
      <c r="B254" s="27" t="s">
        <v>814</v>
      </c>
      <c r="C254" s="27" t="s">
        <v>815</v>
      </c>
      <c r="D254" s="27" t="s">
        <v>816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2007</f>
        <v>2007.0</v>
      </c>
      <c r="L254" s="34" t="s">
        <v>48</v>
      </c>
      <c r="M254" s="33" t="n">
        <f>2010</f>
        <v>2010.0</v>
      </c>
      <c r="N254" s="34" t="s">
        <v>48</v>
      </c>
      <c r="O254" s="33" t="n">
        <f>1928</f>
        <v>1928.0</v>
      </c>
      <c r="P254" s="34" t="s">
        <v>49</v>
      </c>
      <c r="Q254" s="33" t="n">
        <f>1949</f>
        <v>1949.0</v>
      </c>
      <c r="R254" s="34" t="s">
        <v>50</v>
      </c>
      <c r="S254" s="35" t="n">
        <f>1962.29</f>
        <v>1962.29</v>
      </c>
      <c r="T254" s="32" t="n">
        <f>120301</f>
        <v>120301.0</v>
      </c>
      <c r="U254" s="32" t="n">
        <f>76</f>
        <v>76.0</v>
      </c>
      <c r="V254" s="32" t="n">
        <f>234737961</f>
        <v>2.34737961E8</v>
      </c>
      <c r="W254" s="32" t="n">
        <f>137346</f>
        <v>137346.0</v>
      </c>
      <c r="X254" s="36" t="n">
        <f>21</f>
        <v>21.0</v>
      </c>
    </row>
    <row r="255">
      <c r="A255" s="27" t="s">
        <v>42</v>
      </c>
      <c r="B255" s="27" t="s">
        <v>817</v>
      </c>
      <c r="C255" s="27" t="s">
        <v>818</v>
      </c>
      <c r="D255" s="27" t="s">
        <v>819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1500</f>
        <v>1500.0</v>
      </c>
      <c r="L255" s="34" t="s">
        <v>174</v>
      </c>
      <c r="M255" s="33" t="n">
        <f>1581.5</f>
        <v>1581.5</v>
      </c>
      <c r="N255" s="34" t="s">
        <v>206</v>
      </c>
      <c r="O255" s="33" t="n">
        <f>1462</f>
        <v>1462.0</v>
      </c>
      <c r="P255" s="34" t="s">
        <v>49</v>
      </c>
      <c r="Q255" s="33" t="n">
        <f>1511</f>
        <v>1511.0</v>
      </c>
      <c r="R255" s="34" t="s">
        <v>90</v>
      </c>
      <c r="S255" s="35" t="n">
        <f>1508.11</f>
        <v>1508.11</v>
      </c>
      <c r="T255" s="32" t="n">
        <f>720</f>
        <v>720.0</v>
      </c>
      <c r="U255" s="32" t="str">
        <f>"－"</f>
        <v>－</v>
      </c>
      <c r="V255" s="32" t="n">
        <f>1086350</f>
        <v>1086350.0</v>
      </c>
      <c r="W255" s="32" t="str">
        <f>"－"</f>
        <v>－</v>
      </c>
      <c r="X255" s="36" t="n">
        <f>9</f>
        <v>9.0</v>
      </c>
    </row>
    <row r="256">
      <c r="A256" s="27" t="s">
        <v>42</v>
      </c>
      <c r="B256" s="27" t="s">
        <v>820</v>
      </c>
      <c r="C256" s="27" t="s">
        <v>821</v>
      </c>
      <c r="D256" s="27" t="s">
        <v>822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800.8</f>
        <v>800.8</v>
      </c>
      <c r="L256" s="34" t="s">
        <v>48</v>
      </c>
      <c r="M256" s="33" t="n">
        <f>802.4</f>
        <v>802.4</v>
      </c>
      <c r="N256" s="34" t="s">
        <v>64</v>
      </c>
      <c r="O256" s="33" t="n">
        <f>785</f>
        <v>785.0</v>
      </c>
      <c r="P256" s="34" t="s">
        <v>60</v>
      </c>
      <c r="Q256" s="33" t="n">
        <f>791.7</f>
        <v>791.7</v>
      </c>
      <c r="R256" s="34" t="s">
        <v>50</v>
      </c>
      <c r="S256" s="35" t="n">
        <f>793.61</f>
        <v>793.61</v>
      </c>
      <c r="T256" s="32" t="n">
        <f>296800</f>
        <v>296800.0</v>
      </c>
      <c r="U256" s="32" t="str">
        <f>"－"</f>
        <v>－</v>
      </c>
      <c r="V256" s="32" t="n">
        <f>235635413</f>
        <v>2.35635413E8</v>
      </c>
      <c r="W256" s="32" t="str">
        <f>"－"</f>
        <v>－</v>
      </c>
      <c r="X256" s="36" t="n">
        <f>21</f>
        <v>21.0</v>
      </c>
    </row>
    <row r="257">
      <c r="A257" s="27" t="s">
        <v>42</v>
      </c>
      <c r="B257" s="27" t="s">
        <v>823</v>
      </c>
      <c r="C257" s="27" t="s">
        <v>824</v>
      </c>
      <c r="D257" s="27" t="s">
        <v>825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1921</f>
        <v>1921.0</v>
      </c>
      <c r="L257" s="34" t="s">
        <v>48</v>
      </c>
      <c r="M257" s="33" t="n">
        <f>1921.5</f>
        <v>1921.5</v>
      </c>
      <c r="N257" s="34" t="s">
        <v>48</v>
      </c>
      <c r="O257" s="33" t="n">
        <f>1844.5</f>
        <v>1844.5</v>
      </c>
      <c r="P257" s="34" t="s">
        <v>49</v>
      </c>
      <c r="Q257" s="33" t="n">
        <f>1862</f>
        <v>1862.0</v>
      </c>
      <c r="R257" s="34" t="s">
        <v>50</v>
      </c>
      <c r="S257" s="35" t="n">
        <f>1876.93</f>
        <v>1876.93</v>
      </c>
      <c r="T257" s="32" t="n">
        <f>1756020</f>
        <v>1756020.0</v>
      </c>
      <c r="U257" s="32" t="n">
        <f>846640</f>
        <v>846640.0</v>
      </c>
      <c r="V257" s="32" t="n">
        <f>3295006837</f>
        <v>3.295006837E9</v>
      </c>
      <c r="W257" s="32" t="n">
        <f>1588995002</f>
        <v>1.588995002E9</v>
      </c>
      <c r="X257" s="36" t="n">
        <f>21</f>
        <v>21.0</v>
      </c>
    </row>
    <row r="258">
      <c r="A258" s="27" t="s">
        <v>42</v>
      </c>
      <c r="B258" s="27" t="s">
        <v>826</v>
      </c>
      <c r="C258" s="27" t="s">
        <v>827</v>
      </c>
      <c r="D258" s="27" t="s">
        <v>828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1920</f>
        <v>1920.0</v>
      </c>
      <c r="L258" s="34" t="s">
        <v>48</v>
      </c>
      <c r="M258" s="33" t="n">
        <f>1924</f>
        <v>1924.0</v>
      </c>
      <c r="N258" s="34" t="s">
        <v>48</v>
      </c>
      <c r="O258" s="33" t="n">
        <f>1835.5</f>
        <v>1835.5</v>
      </c>
      <c r="P258" s="34" t="s">
        <v>49</v>
      </c>
      <c r="Q258" s="33" t="n">
        <f>1855</f>
        <v>1855.0</v>
      </c>
      <c r="R258" s="34" t="s">
        <v>50</v>
      </c>
      <c r="S258" s="35" t="n">
        <f>1870.17</f>
        <v>1870.17</v>
      </c>
      <c r="T258" s="32" t="n">
        <f>1474070</f>
        <v>1474070.0</v>
      </c>
      <c r="U258" s="32" t="n">
        <f>757200</f>
        <v>757200.0</v>
      </c>
      <c r="V258" s="32" t="n">
        <f>2759237135</f>
        <v>2.759237135E9</v>
      </c>
      <c r="W258" s="32" t="n">
        <f>1422547640</f>
        <v>1.42254764E9</v>
      </c>
      <c r="X258" s="36" t="n">
        <f>21</f>
        <v>21.0</v>
      </c>
    </row>
    <row r="259">
      <c r="A259" s="27" t="s">
        <v>42</v>
      </c>
      <c r="B259" s="27" t="s">
        <v>829</v>
      </c>
      <c r="C259" s="27" t="s">
        <v>830</v>
      </c>
      <c r="D259" s="27" t="s">
        <v>831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2377</f>
        <v>2377.0</v>
      </c>
      <c r="L259" s="34" t="s">
        <v>48</v>
      </c>
      <c r="M259" s="33" t="n">
        <f>2395</f>
        <v>2395.0</v>
      </c>
      <c r="N259" s="34" t="s">
        <v>48</v>
      </c>
      <c r="O259" s="33" t="n">
        <f>2220</f>
        <v>2220.0</v>
      </c>
      <c r="P259" s="34" t="s">
        <v>49</v>
      </c>
      <c r="Q259" s="33" t="n">
        <f>2272</f>
        <v>2272.0</v>
      </c>
      <c r="R259" s="34" t="s">
        <v>50</v>
      </c>
      <c r="S259" s="35" t="n">
        <f>2293.62</f>
        <v>2293.62</v>
      </c>
      <c r="T259" s="32" t="n">
        <f>3900080</f>
        <v>3900080.0</v>
      </c>
      <c r="U259" s="32" t="n">
        <f>1320850</f>
        <v>1320850.0</v>
      </c>
      <c r="V259" s="32" t="n">
        <f>8903732030</f>
        <v>8.90373203E9</v>
      </c>
      <c r="W259" s="32" t="n">
        <f>3016625980</f>
        <v>3.01662598E9</v>
      </c>
      <c r="X259" s="36" t="n">
        <f>21</f>
        <v>21.0</v>
      </c>
    </row>
    <row r="260">
      <c r="A260" s="27" t="s">
        <v>42</v>
      </c>
      <c r="B260" s="27" t="s">
        <v>832</v>
      </c>
      <c r="C260" s="27" t="s">
        <v>833</v>
      </c>
      <c r="D260" s="27" t="s">
        <v>834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18540</f>
        <v>18540.0</v>
      </c>
      <c r="L260" s="34" t="s">
        <v>48</v>
      </c>
      <c r="M260" s="33" t="n">
        <f>18870</f>
        <v>18870.0</v>
      </c>
      <c r="N260" s="34" t="s">
        <v>64</v>
      </c>
      <c r="O260" s="33" t="n">
        <f>17795</f>
        <v>17795.0</v>
      </c>
      <c r="P260" s="34" t="s">
        <v>90</v>
      </c>
      <c r="Q260" s="33" t="n">
        <f>17970</f>
        <v>17970.0</v>
      </c>
      <c r="R260" s="34" t="s">
        <v>50</v>
      </c>
      <c r="S260" s="35" t="n">
        <f>18404.05</f>
        <v>18404.05</v>
      </c>
      <c r="T260" s="32" t="n">
        <f>751417</f>
        <v>751417.0</v>
      </c>
      <c r="U260" s="32" t="n">
        <f>47397</f>
        <v>47397.0</v>
      </c>
      <c r="V260" s="32" t="n">
        <f>13754095401</f>
        <v>1.3754095401E10</v>
      </c>
      <c r="W260" s="32" t="n">
        <f>865613106</f>
        <v>8.65613106E8</v>
      </c>
      <c r="X260" s="36" t="n">
        <f>21</f>
        <v>21.0</v>
      </c>
    </row>
    <row r="261">
      <c r="A261" s="27" t="s">
        <v>42</v>
      </c>
      <c r="B261" s="27" t="s">
        <v>835</v>
      </c>
      <c r="C261" s="27" t="s">
        <v>836</v>
      </c>
      <c r="D261" s="27" t="s">
        <v>837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16390</f>
        <v>16390.0</v>
      </c>
      <c r="L261" s="34" t="s">
        <v>48</v>
      </c>
      <c r="M261" s="33" t="n">
        <f>16590</f>
        <v>16590.0</v>
      </c>
      <c r="N261" s="34" t="s">
        <v>64</v>
      </c>
      <c r="O261" s="33" t="n">
        <f>15625</f>
        <v>15625.0</v>
      </c>
      <c r="P261" s="34" t="s">
        <v>90</v>
      </c>
      <c r="Q261" s="33" t="n">
        <f>15735</f>
        <v>15735.0</v>
      </c>
      <c r="R261" s="34" t="s">
        <v>50</v>
      </c>
      <c r="S261" s="35" t="n">
        <f>16144.52</f>
        <v>16144.52</v>
      </c>
      <c r="T261" s="32" t="n">
        <f>278241</f>
        <v>278241.0</v>
      </c>
      <c r="U261" s="32" t="str">
        <f>"－"</f>
        <v>－</v>
      </c>
      <c r="V261" s="32" t="n">
        <f>4486008295</f>
        <v>4.486008295E9</v>
      </c>
      <c r="W261" s="32" t="str">
        <f>"－"</f>
        <v>－</v>
      </c>
      <c r="X261" s="36" t="n">
        <f>21</f>
        <v>21.0</v>
      </c>
    </row>
    <row r="262">
      <c r="A262" s="27" t="s">
        <v>42</v>
      </c>
      <c r="B262" s="27" t="s">
        <v>838</v>
      </c>
      <c r="C262" s="27" t="s">
        <v>839</v>
      </c>
      <c r="D262" s="27" t="s">
        <v>840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31000</f>
        <v>31000.0</v>
      </c>
      <c r="L262" s="34" t="s">
        <v>174</v>
      </c>
      <c r="M262" s="33" t="n">
        <f>31000</f>
        <v>31000.0</v>
      </c>
      <c r="N262" s="34" t="s">
        <v>174</v>
      </c>
      <c r="O262" s="33" t="n">
        <f>29885</f>
        <v>29885.0</v>
      </c>
      <c r="P262" s="34" t="s">
        <v>90</v>
      </c>
      <c r="Q262" s="33" t="n">
        <f>29885</f>
        <v>29885.0</v>
      </c>
      <c r="R262" s="34" t="s">
        <v>90</v>
      </c>
      <c r="S262" s="35" t="n">
        <f>30371.43</f>
        <v>30371.43</v>
      </c>
      <c r="T262" s="32" t="n">
        <f>60</f>
        <v>60.0</v>
      </c>
      <c r="U262" s="32" t="str">
        <f>"－"</f>
        <v>－</v>
      </c>
      <c r="V262" s="32" t="n">
        <f>1815115</f>
        <v>1815115.0</v>
      </c>
      <c r="W262" s="32" t="str">
        <f>"－"</f>
        <v>－</v>
      </c>
      <c r="X262" s="36" t="n">
        <f>7</f>
        <v>7.0</v>
      </c>
    </row>
    <row r="263">
      <c r="A263" s="27" t="s">
        <v>42</v>
      </c>
      <c r="B263" s="27" t="s">
        <v>841</v>
      </c>
      <c r="C263" s="27" t="s">
        <v>842</v>
      </c>
      <c r="D263" s="27" t="s">
        <v>843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2451</f>
        <v>2451.0</v>
      </c>
      <c r="L263" s="34" t="s">
        <v>48</v>
      </c>
      <c r="M263" s="33" t="n">
        <f>2458</f>
        <v>2458.0</v>
      </c>
      <c r="N263" s="34" t="s">
        <v>91</v>
      </c>
      <c r="O263" s="33" t="n">
        <f>2380</f>
        <v>2380.0</v>
      </c>
      <c r="P263" s="34" t="s">
        <v>50</v>
      </c>
      <c r="Q263" s="33" t="n">
        <f>2384</f>
        <v>2384.0</v>
      </c>
      <c r="R263" s="34" t="s">
        <v>50</v>
      </c>
      <c r="S263" s="35" t="n">
        <f>2418.52</f>
        <v>2418.52</v>
      </c>
      <c r="T263" s="32" t="n">
        <f>638692</f>
        <v>638692.0</v>
      </c>
      <c r="U263" s="32" t="n">
        <f>558257</f>
        <v>558257.0</v>
      </c>
      <c r="V263" s="32" t="n">
        <f>1548784487</f>
        <v>1.548784487E9</v>
      </c>
      <c r="W263" s="32" t="n">
        <f>1353731316</f>
        <v>1.353731316E9</v>
      </c>
      <c r="X263" s="36" t="n">
        <f>21</f>
        <v>21.0</v>
      </c>
    </row>
    <row r="264">
      <c r="A264" s="27" t="s">
        <v>42</v>
      </c>
      <c r="B264" s="27" t="s">
        <v>844</v>
      </c>
      <c r="C264" s="27" t="s">
        <v>845</v>
      </c>
      <c r="D264" s="27" t="s">
        <v>846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2702.5</f>
        <v>2702.5</v>
      </c>
      <c r="L264" s="34" t="s">
        <v>48</v>
      </c>
      <c r="M264" s="33" t="n">
        <f>2775</f>
        <v>2775.0</v>
      </c>
      <c r="N264" s="34" t="s">
        <v>72</v>
      </c>
      <c r="O264" s="33" t="n">
        <f>2595.5</f>
        <v>2595.5</v>
      </c>
      <c r="P264" s="34" t="s">
        <v>90</v>
      </c>
      <c r="Q264" s="33" t="n">
        <f>2622.5</f>
        <v>2622.5</v>
      </c>
      <c r="R264" s="34" t="s">
        <v>50</v>
      </c>
      <c r="S264" s="35" t="n">
        <f>2675.02</f>
        <v>2675.02</v>
      </c>
      <c r="T264" s="32" t="n">
        <f>1569270</f>
        <v>1569270.0</v>
      </c>
      <c r="U264" s="32" t="n">
        <f>1344970</f>
        <v>1344970.0</v>
      </c>
      <c r="V264" s="32" t="n">
        <f>4201281376</f>
        <v>4.201281376E9</v>
      </c>
      <c r="W264" s="32" t="n">
        <f>3601653436</f>
        <v>3.601653436E9</v>
      </c>
      <c r="X264" s="36" t="n">
        <f>21</f>
        <v>21.0</v>
      </c>
    </row>
    <row r="265">
      <c r="A265" s="27" t="s">
        <v>42</v>
      </c>
      <c r="B265" s="27" t="s">
        <v>847</v>
      </c>
      <c r="C265" s="27" t="s">
        <v>848</v>
      </c>
      <c r="D265" s="27" t="s">
        <v>849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259.9</f>
        <v>259.9</v>
      </c>
      <c r="L265" s="34" t="s">
        <v>48</v>
      </c>
      <c r="M265" s="33" t="n">
        <f>264.8</f>
        <v>264.8</v>
      </c>
      <c r="N265" s="34" t="s">
        <v>64</v>
      </c>
      <c r="O265" s="33" t="n">
        <f>248.2</f>
        <v>248.2</v>
      </c>
      <c r="P265" s="34" t="s">
        <v>90</v>
      </c>
      <c r="Q265" s="33" t="n">
        <f>249.5</f>
        <v>249.5</v>
      </c>
      <c r="R265" s="34" t="s">
        <v>50</v>
      </c>
      <c r="S265" s="35" t="n">
        <f>257.33</f>
        <v>257.33</v>
      </c>
      <c r="T265" s="32" t="n">
        <f>59603530</f>
        <v>5.960353E7</v>
      </c>
      <c r="U265" s="32" t="n">
        <f>12216190</f>
        <v>1.221619E7</v>
      </c>
      <c r="V265" s="32" t="n">
        <f>15290217593</f>
        <v>1.5290217593E10</v>
      </c>
      <c r="W265" s="32" t="n">
        <f>3140244006</f>
        <v>3.140244006E9</v>
      </c>
      <c r="X265" s="36" t="n">
        <f>21</f>
        <v>21.0</v>
      </c>
    </row>
    <row r="266">
      <c r="A266" s="27" t="s">
        <v>42</v>
      </c>
      <c r="B266" s="27" t="s">
        <v>850</v>
      </c>
      <c r="C266" s="27" t="s">
        <v>851</v>
      </c>
      <c r="D266" s="27" t="s">
        <v>852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2573</f>
        <v>2573.0</v>
      </c>
      <c r="L266" s="34" t="s">
        <v>48</v>
      </c>
      <c r="M266" s="33" t="n">
        <f>2573</f>
        <v>2573.0</v>
      </c>
      <c r="N266" s="34" t="s">
        <v>48</v>
      </c>
      <c r="O266" s="33" t="n">
        <f>2374</f>
        <v>2374.0</v>
      </c>
      <c r="P266" s="34" t="s">
        <v>49</v>
      </c>
      <c r="Q266" s="33" t="n">
        <f>2463</f>
        <v>2463.0</v>
      </c>
      <c r="R266" s="34" t="s">
        <v>50</v>
      </c>
      <c r="S266" s="35" t="n">
        <f>2480.9</f>
        <v>2480.9</v>
      </c>
      <c r="T266" s="32" t="n">
        <f>1908371</f>
        <v>1908371.0</v>
      </c>
      <c r="U266" s="32" t="n">
        <f>104408</f>
        <v>104408.0</v>
      </c>
      <c r="V266" s="32" t="n">
        <f>4745373336</f>
        <v>4.745373336E9</v>
      </c>
      <c r="W266" s="32" t="n">
        <f>255405516</f>
        <v>2.55405516E8</v>
      </c>
      <c r="X266" s="36" t="n">
        <f>21</f>
        <v>21.0</v>
      </c>
    </row>
    <row r="267">
      <c r="A267" s="27" t="s">
        <v>42</v>
      </c>
      <c r="B267" s="27" t="s">
        <v>853</v>
      </c>
      <c r="C267" s="27" t="s">
        <v>854</v>
      </c>
      <c r="D267" s="27" t="s">
        <v>855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939</f>
        <v>939.0</v>
      </c>
      <c r="L267" s="34" t="s">
        <v>48</v>
      </c>
      <c r="M267" s="33" t="n">
        <f>953</f>
        <v>953.0</v>
      </c>
      <c r="N267" s="34" t="s">
        <v>64</v>
      </c>
      <c r="O267" s="33" t="n">
        <f>907</f>
        <v>907.0</v>
      </c>
      <c r="P267" s="34" t="s">
        <v>73</v>
      </c>
      <c r="Q267" s="33" t="n">
        <f>920</f>
        <v>920.0</v>
      </c>
      <c r="R267" s="34" t="s">
        <v>50</v>
      </c>
      <c r="S267" s="35" t="n">
        <f>930.33</f>
        <v>930.33</v>
      </c>
      <c r="T267" s="32" t="n">
        <f>1360057</f>
        <v>1360057.0</v>
      </c>
      <c r="U267" s="32" t="n">
        <f>210004</f>
        <v>210004.0</v>
      </c>
      <c r="V267" s="32" t="n">
        <f>1262471621</f>
        <v>1.262471621E9</v>
      </c>
      <c r="W267" s="32" t="n">
        <f>198306789</f>
        <v>1.98306789E8</v>
      </c>
      <c r="X267" s="36" t="n">
        <f>21</f>
        <v>21.0</v>
      </c>
    </row>
    <row r="268">
      <c r="A268" s="27" t="s">
        <v>42</v>
      </c>
      <c r="B268" s="27" t="s">
        <v>856</v>
      </c>
      <c r="C268" s="27" t="s">
        <v>857</v>
      </c>
      <c r="D268" s="27" t="s">
        <v>858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1054.5</f>
        <v>1054.5</v>
      </c>
      <c r="L268" s="34" t="s">
        <v>48</v>
      </c>
      <c r="M268" s="33" t="n">
        <f>1057</f>
        <v>1057.0</v>
      </c>
      <c r="N268" s="34" t="s">
        <v>48</v>
      </c>
      <c r="O268" s="33" t="n">
        <f>1011</f>
        <v>1011.0</v>
      </c>
      <c r="P268" s="34" t="s">
        <v>49</v>
      </c>
      <c r="Q268" s="33" t="n">
        <f>1016</f>
        <v>1016.0</v>
      </c>
      <c r="R268" s="34" t="s">
        <v>50</v>
      </c>
      <c r="S268" s="35" t="n">
        <f>1028.6</f>
        <v>1028.6</v>
      </c>
      <c r="T268" s="32" t="n">
        <f>393560</f>
        <v>393560.0</v>
      </c>
      <c r="U268" s="32" t="n">
        <f>300020</f>
        <v>300020.0</v>
      </c>
      <c r="V268" s="32" t="n">
        <f>404192935</f>
        <v>4.04192935E8</v>
      </c>
      <c r="W268" s="32" t="n">
        <f>307840320</f>
        <v>3.0784032E8</v>
      </c>
      <c r="X268" s="36" t="n">
        <f>21</f>
        <v>21.0</v>
      </c>
    </row>
    <row r="269">
      <c r="A269" s="27" t="s">
        <v>42</v>
      </c>
      <c r="B269" s="27" t="s">
        <v>859</v>
      </c>
      <c r="C269" s="27" t="s">
        <v>860</v>
      </c>
      <c r="D269" s="27" t="s">
        <v>861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319</f>
        <v>319.0</v>
      </c>
      <c r="L269" s="34" t="s">
        <v>48</v>
      </c>
      <c r="M269" s="33" t="n">
        <f>326.7</f>
        <v>326.7</v>
      </c>
      <c r="N269" s="34" t="s">
        <v>175</v>
      </c>
      <c r="O269" s="33" t="n">
        <f>295.6</f>
        <v>295.6</v>
      </c>
      <c r="P269" s="34" t="s">
        <v>49</v>
      </c>
      <c r="Q269" s="33" t="n">
        <f>307.8</f>
        <v>307.8</v>
      </c>
      <c r="R269" s="34" t="s">
        <v>90</v>
      </c>
      <c r="S269" s="35" t="n">
        <f>309.59</f>
        <v>309.59</v>
      </c>
      <c r="T269" s="32" t="n">
        <f>63950</f>
        <v>63950.0</v>
      </c>
      <c r="U269" s="32" t="n">
        <f>50000</f>
        <v>50000.0</v>
      </c>
      <c r="V269" s="32" t="n">
        <f>19494394</f>
        <v>1.9494394E7</v>
      </c>
      <c r="W269" s="32" t="n">
        <f>15182500</f>
        <v>1.51825E7</v>
      </c>
      <c r="X269" s="36" t="n">
        <f>17</f>
        <v>17.0</v>
      </c>
    </row>
    <row r="270">
      <c r="A270" s="27" t="s">
        <v>42</v>
      </c>
      <c r="B270" s="27" t="s">
        <v>862</v>
      </c>
      <c r="C270" s="27" t="s">
        <v>863</v>
      </c>
      <c r="D270" s="27" t="s">
        <v>864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3804</f>
        <v>3804.0</v>
      </c>
      <c r="L270" s="34" t="s">
        <v>48</v>
      </c>
      <c r="M270" s="33" t="n">
        <f>3924</f>
        <v>3924.0</v>
      </c>
      <c r="N270" s="34" t="s">
        <v>64</v>
      </c>
      <c r="O270" s="33" t="n">
        <f>3664</f>
        <v>3664.0</v>
      </c>
      <c r="P270" s="34" t="s">
        <v>90</v>
      </c>
      <c r="Q270" s="33" t="n">
        <f>3680</f>
        <v>3680.0</v>
      </c>
      <c r="R270" s="34" t="s">
        <v>50</v>
      </c>
      <c r="S270" s="35" t="n">
        <f>3797.86</f>
        <v>3797.86</v>
      </c>
      <c r="T270" s="32" t="n">
        <f>2359460</f>
        <v>2359460.0</v>
      </c>
      <c r="U270" s="32" t="n">
        <f>259500</f>
        <v>259500.0</v>
      </c>
      <c r="V270" s="32" t="n">
        <f>8980076925</f>
        <v>8.980076925E9</v>
      </c>
      <c r="W270" s="32" t="n">
        <f>998379895</f>
        <v>9.98379895E8</v>
      </c>
      <c r="X270" s="36" t="n">
        <f>21</f>
        <v>21.0</v>
      </c>
    </row>
    <row r="271">
      <c r="A271" s="27" t="s">
        <v>42</v>
      </c>
      <c r="B271" s="27" t="s">
        <v>865</v>
      </c>
      <c r="C271" s="27" t="s">
        <v>866</v>
      </c>
      <c r="D271" s="27" t="s">
        <v>867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2454</f>
        <v>2454.0</v>
      </c>
      <c r="L271" s="34" t="s">
        <v>48</v>
      </c>
      <c r="M271" s="33" t="n">
        <f>2531</f>
        <v>2531.0</v>
      </c>
      <c r="N271" s="34" t="s">
        <v>64</v>
      </c>
      <c r="O271" s="33" t="n">
        <f>2341</f>
        <v>2341.0</v>
      </c>
      <c r="P271" s="34" t="s">
        <v>68</v>
      </c>
      <c r="Q271" s="33" t="n">
        <f>2360</f>
        <v>2360.0</v>
      </c>
      <c r="R271" s="34" t="s">
        <v>50</v>
      </c>
      <c r="S271" s="35" t="n">
        <f>2442.71</f>
        <v>2442.71</v>
      </c>
      <c r="T271" s="32" t="n">
        <f>4710320</f>
        <v>4710320.0</v>
      </c>
      <c r="U271" s="32" t="n">
        <f>1420000</f>
        <v>1420000.0</v>
      </c>
      <c r="V271" s="32" t="n">
        <f>11488647904</f>
        <v>1.1488647904E10</v>
      </c>
      <c r="W271" s="32" t="n">
        <f>3485399564</f>
        <v>3.485399564E9</v>
      </c>
      <c r="X271" s="36" t="n">
        <f>21</f>
        <v>21.0</v>
      </c>
    </row>
    <row r="272">
      <c r="A272" s="27" t="s">
        <v>42</v>
      </c>
      <c r="B272" s="27" t="s">
        <v>868</v>
      </c>
      <c r="C272" s="27" t="s">
        <v>869</v>
      </c>
      <c r="D272" s="27" t="s">
        <v>870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333.1</f>
        <v>333.1</v>
      </c>
      <c r="L272" s="34" t="s">
        <v>48</v>
      </c>
      <c r="M272" s="33" t="n">
        <f>334.7</f>
        <v>334.7</v>
      </c>
      <c r="N272" s="34" t="s">
        <v>68</v>
      </c>
      <c r="O272" s="33" t="n">
        <f>328.8</f>
        <v>328.8</v>
      </c>
      <c r="P272" s="34" t="s">
        <v>213</v>
      </c>
      <c r="Q272" s="33" t="n">
        <f>334.4</f>
        <v>334.4</v>
      </c>
      <c r="R272" s="34" t="s">
        <v>50</v>
      </c>
      <c r="S272" s="35" t="n">
        <f>332.45</f>
        <v>332.45</v>
      </c>
      <c r="T272" s="32" t="n">
        <f>44866860</f>
        <v>4.486686E7</v>
      </c>
      <c r="U272" s="32" t="n">
        <f>35303470</f>
        <v>3.530347E7</v>
      </c>
      <c r="V272" s="32" t="n">
        <f>14881084680</f>
        <v>1.488108468E10</v>
      </c>
      <c r="W272" s="32" t="n">
        <f>11705343900</f>
        <v>1.17053439E10</v>
      </c>
      <c r="X272" s="36" t="n">
        <f>21</f>
        <v>21.0</v>
      </c>
    </row>
    <row r="273">
      <c r="A273" s="27" t="s">
        <v>42</v>
      </c>
      <c r="B273" s="27" t="s">
        <v>871</v>
      </c>
      <c r="C273" s="27" t="s">
        <v>872</v>
      </c>
      <c r="D273" s="27" t="s">
        <v>873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1232</f>
        <v>1232.0</v>
      </c>
      <c r="L273" s="34" t="s">
        <v>48</v>
      </c>
      <c r="M273" s="33" t="n">
        <f>1235</f>
        <v>1235.0</v>
      </c>
      <c r="N273" s="34" t="s">
        <v>48</v>
      </c>
      <c r="O273" s="33" t="n">
        <f>1138</f>
        <v>1138.0</v>
      </c>
      <c r="P273" s="34" t="s">
        <v>276</v>
      </c>
      <c r="Q273" s="33" t="n">
        <f>1161</f>
        <v>1161.0</v>
      </c>
      <c r="R273" s="34" t="s">
        <v>50</v>
      </c>
      <c r="S273" s="35" t="n">
        <f>1184.81</f>
        <v>1184.81</v>
      </c>
      <c r="T273" s="32" t="n">
        <f>20276969</f>
        <v>2.0276969E7</v>
      </c>
      <c r="U273" s="32" t="n">
        <f>588863</f>
        <v>588863.0</v>
      </c>
      <c r="V273" s="32" t="n">
        <f>23957876222</f>
        <v>2.3957876222E10</v>
      </c>
      <c r="W273" s="32" t="n">
        <f>698546519</f>
        <v>6.98546519E8</v>
      </c>
      <c r="X273" s="36" t="n">
        <f>21</f>
        <v>21.0</v>
      </c>
    </row>
    <row r="274">
      <c r="A274" s="27" t="s">
        <v>42</v>
      </c>
      <c r="B274" s="27" t="s">
        <v>874</v>
      </c>
      <c r="C274" s="27" t="s">
        <v>875</v>
      </c>
      <c r="D274" s="27" t="s">
        <v>876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1722</f>
        <v>1722.0</v>
      </c>
      <c r="L274" s="34" t="s">
        <v>48</v>
      </c>
      <c r="M274" s="33" t="n">
        <f>1730</f>
        <v>1730.0</v>
      </c>
      <c r="N274" s="34" t="s">
        <v>213</v>
      </c>
      <c r="O274" s="33" t="n">
        <f>1635</f>
        <v>1635.0</v>
      </c>
      <c r="P274" s="34" t="s">
        <v>60</v>
      </c>
      <c r="Q274" s="33" t="n">
        <f>1661</f>
        <v>1661.0</v>
      </c>
      <c r="R274" s="34" t="s">
        <v>50</v>
      </c>
      <c r="S274" s="35" t="n">
        <f>1667.05</f>
        <v>1667.05</v>
      </c>
      <c r="T274" s="32" t="n">
        <f>106907</f>
        <v>106907.0</v>
      </c>
      <c r="U274" s="32" t="n">
        <f>4</f>
        <v>4.0</v>
      </c>
      <c r="V274" s="32" t="n">
        <f>178227629</f>
        <v>1.78227629E8</v>
      </c>
      <c r="W274" s="32" t="n">
        <f>6662</f>
        <v>6662.0</v>
      </c>
      <c r="X274" s="36" t="n">
        <f>21</f>
        <v>21.0</v>
      </c>
    </row>
    <row r="275">
      <c r="A275" s="27" t="s">
        <v>42</v>
      </c>
      <c r="B275" s="27" t="s">
        <v>877</v>
      </c>
      <c r="C275" s="27" t="s">
        <v>878</v>
      </c>
      <c r="D275" s="27" t="s">
        <v>879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2071</f>
        <v>2071.0</v>
      </c>
      <c r="L275" s="34" t="s">
        <v>48</v>
      </c>
      <c r="M275" s="33" t="n">
        <f>2073</f>
        <v>2073.0</v>
      </c>
      <c r="N275" s="34" t="s">
        <v>86</v>
      </c>
      <c r="O275" s="33" t="n">
        <f>2028</f>
        <v>2028.0</v>
      </c>
      <c r="P275" s="34" t="s">
        <v>116</v>
      </c>
      <c r="Q275" s="33" t="n">
        <f>2046</f>
        <v>2046.0</v>
      </c>
      <c r="R275" s="34" t="s">
        <v>50</v>
      </c>
      <c r="S275" s="35" t="n">
        <f>2047.48</f>
        <v>2047.48</v>
      </c>
      <c r="T275" s="32" t="n">
        <f>626753</f>
        <v>626753.0</v>
      </c>
      <c r="U275" s="32" t="n">
        <f>626000</f>
        <v>626000.0</v>
      </c>
      <c r="V275" s="32" t="n">
        <f>1283354227</f>
        <v>1.283354227E9</v>
      </c>
      <c r="W275" s="32" t="n">
        <f>1281813600</f>
        <v>1.2818136E9</v>
      </c>
      <c r="X275" s="36" t="n">
        <f>21</f>
        <v>21.0</v>
      </c>
    </row>
    <row r="276">
      <c r="A276" s="27" t="s">
        <v>42</v>
      </c>
      <c r="B276" s="27" t="s">
        <v>880</v>
      </c>
      <c r="C276" s="27" t="s">
        <v>881</v>
      </c>
      <c r="D276" s="27" t="s">
        <v>882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3240</f>
        <v>3240.0</v>
      </c>
      <c r="L276" s="34" t="s">
        <v>48</v>
      </c>
      <c r="M276" s="33" t="n">
        <f>3275</f>
        <v>3275.0</v>
      </c>
      <c r="N276" s="34" t="s">
        <v>48</v>
      </c>
      <c r="O276" s="33" t="n">
        <f>3065</f>
        <v>3065.0</v>
      </c>
      <c r="P276" s="34" t="s">
        <v>49</v>
      </c>
      <c r="Q276" s="33" t="n">
        <f>3105</f>
        <v>3105.0</v>
      </c>
      <c r="R276" s="34" t="s">
        <v>50</v>
      </c>
      <c r="S276" s="35" t="n">
        <f>3152.38</f>
        <v>3152.38</v>
      </c>
      <c r="T276" s="32" t="n">
        <f>687504</f>
        <v>687504.0</v>
      </c>
      <c r="U276" s="32" t="n">
        <f>440165</f>
        <v>440165.0</v>
      </c>
      <c r="V276" s="32" t="n">
        <f>2137657349</f>
        <v>2.137657349E9</v>
      </c>
      <c r="W276" s="32" t="n">
        <f>1363743324</f>
        <v>1.363743324E9</v>
      </c>
      <c r="X276" s="36" t="n">
        <f>21</f>
        <v>21.0</v>
      </c>
    </row>
    <row r="277">
      <c r="A277" s="27" t="s">
        <v>42</v>
      </c>
      <c r="B277" s="27" t="s">
        <v>883</v>
      </c>
      <c r="C277" s="27" t="s">
        <v>884</v>
      </c>
      <c r="D277" s="27" t="s">
        <v>885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2359</f>
        <v>2359.0</v>
      </c>
      <c r="L277" s="34" t="s">
        <v>48</v>
      </c>
      <c r="M277" s="33" t="n">
        <f>2379</f>
        <v>2379.0</v>
      </c>
      <c r="N277" s="34" t="s">
        <v>48</v>
      </c>
      <c r="O277" s="33" t="n">
        <f>2200</f>
        <v>2200.0</v>
      </c>
      <c r="P277" s="34" t="s">
        <v>49</v>
      </c>
      <c r="Q277" s="33" t="n">
        <f>2257</f>
        <v>2257.0</v>
      </c>
      <c r="R277" s="34" t="s">
        <v>50</v>
      </c>
      <c r="S277" s="35" t="n">
        <f>2277.52</f>
        <v>2277.52</v>
      </c>
      <c r="T277" s="32" t="n">
        <f>1792456</f>
        <v>1792456.0</v>
      </c>
      <c r="U277" s="32" t="n">
        <f>136648</f>
        <v>136648.0</v>
      </c>
      <c r="V277" s="32" t="n">
        <f>4081269806</f>
        <v>4.081269806E9</v>
      </c>
      <c r="W277" s="32" t="n">
        <f>313510430</f>
        <v>3.1351043E8</v>
      </c>
      <c r="X277" s="36" t="n">
        <f>21</f>
        <v>21.0</v>
      </c>
    </row>
    <row r="278">
      <c r="A278" s="27" t="s">
        <v>42</v>
      </c>
      <c r="B278" s="27" t="s">
        <v>886</v>
      </c>
      <c r="C278" s="27" t="s">
        <v>887</v>
      </c>
      <c r="D278" s="27" t="s">
        <v>888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2018</f>
        <v>2018.0</v>
      </c>
      <c r="L278" s="34" t="s">
        <v>48</v>
      </c>
      <c r="M278" s="33" t="n">
        <f>2023</f>
        <v>2023.0</v>
      </c>
      <c r="N278" s="34" t="s">
        <v>48</v>
      </c>
      <c r="O278" s="33" t="n">
        <f>1897</f>
        <v>1897.0</v>
      </c>
      <c r="P278" s="34" t="s">
        <v>90</v>
      </c>
      <c r="Q278" s="33" t="n">
        <f>1911</f>
        <v>1911.0</v>
      </c>
      <c r="R278" s="34" t="s">
        <v>50</v>
      </c>
      <c r="S278" s="35" t="n">
        <f>1953.19</f>
        <v>1953.19</v>
      </c>
      <c r="T278" s="32" t="n">
        <f>10733</f>
        <v>10733.0</v>
      </c>
      <c r="U278" s="32" t="str">
        <f>"－"</f>
        <v>－</v>
      </c>
      <c r="V278" s="32" t="n">
        <f>20881693</f>
        <v>2.0881693E7</v>
      </c>
      <c r="W278" s="32" t="str">
        <f>"－"</f>
        <v>－</v>
      </c>
      <c r="X278" s="36" t="n">
        <f>21</f>
        <v>21.0</v>
      </c>
    </row>
    <row r="279">
      <c r="A279" s="27" t="s">
        <v>42</v>
      </c>
      <c r="B279" s="27" t="s">
        <v>889</v>
      </c>
      <c r="C279" s="27" t="s">
        <v>890</v>
      </c>
      <c r="D279" s="27" t="s">
        <v>891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1263</f>
        <v>1263.0</v>
      </c>
      <c r="L279" s="34" t="s">
        <v>48</v>
      </c>
      <c r="M279" s="33" t="n">
        <f>1263</f>
        <v>1263.0</v>
      </c>
      <c r="N279" s="34" t="s">
        <v>48</v>
      </c>
      <c r="O279" s="33" t="n">
        <f>1105</f>
        <v>1105.0</v>
      </c>
      <c r="P279" s="34" t="s">
        <v>49</v>
      </c>
      <c r="Q279" s="33" t="n">
        <f>1122</f>
        <v>1122.0</v>
      </c>
      <c r="R279" s="34" t="s">
        <v>50</v>
      </c>
      <c r="S279" s="35" t="n">
        <f>1169.19</f>
        <v>1169.19</v>
      </c>
      <c r="T279" s="32" t="n">
        <f>10028</f>
        <v>10028.0</v>
      </c>
      <c r="U279" s="32" t="str">
        <f>"－"</f>
        <v>－</v>
      </c>
      <c r="V279" s="32" t="n">
        <f>11844985</f>
        <v>1.1844985E7</v>
      </c>
      <c r="W279" s="32" t="str">
        <f>"－"</f>
        <v>－</v>
      </c>
      <c r="X279" s="36" t="n">
        <f>21</f>
        <v>21.0</v>
      </c>
    </row>
    <row r="280">
      <c r="A280" s="27" t="s">
        <v>42</v>
      </c>
      <c r="B280" s="27" t="s">
        <v>892</v>
      </c>
      <c r="C280" s="27" t="s">
        <v>893</v>
      </c>
      <c r="D280" s="27" t="s">
        <v>894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1867</f>
        <v>1867.0</v>
      </c>
      <c r="L280" s="34" t="s">
        <v>48</v>
      </c>
      <c r="M280" s="33" t="n">
        <f>1900</f>
        <v>1900.0</v>
      </c>
      <c r="N280" s="34" t="s">
        <v>64</v>
      </c>
      <c r="O280" s="33" t="n">
        <f>1760</f>
        <v>1760.0</v>
      </c>
      <c r="P280" s="34" t="s">
        <v>49</v>
      </c>
      <c r="Q280" s="33" t="n">
        <f>1837</f>
        <v>1837.0</v>
      </c>
      <c r="R280" s="34" t="s">
        <v>50</v>
      </c>
      <c r="S280" s="35" t="n">
        <f>1826.14</f>
        <v>1826.14</v>
      </c>
      <c r="T280" s="32" t="n">
        <f>29423</f>
        <v>29423.0</v>
      </c>
      <c r="U280" s="32" t="str">
        <f>"－"</f>
        <v>－</v>
      </c>
      <c r="V280" s="32" t="n">
        <f>53314093</f>
        <v>5.3314093E7</v>
      </c>
      <c r="W280" s="32" t="str">
        <f>"－"</f>
        <v>－</v>
      </c>
      <c r="X280" s="36" t="n">
        <f>21</f>
        <v>21.0</v>
      </c>
    </row>
    <row r="281">
      <c r="A281" s="27" t="s">
        <v>42</v>
      </c>
      <c r="B281" s="27" t="s">
        <v>895</v>
      </c>
      <c r="C281" s="27" t="s">
        <v>896</v>
      </c>
      <c r="D281" s="27" t="s">
        <v>897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2468</f>
        <v>2468.0</v>
      </c>
      <c r="L281" s="34" t="s">
        <v>48</v>
      </c>
      <c r="M281" s="33" t="n">
        <f>2468</f>
        <v>2468.0</v>
      </c>
      <c r="N281" s="34" t="s">
        <v>48</v>
      </c>
      <c r="O281" s="33" t="n">
        <f>2271</f>
        <v>2271.0</v>
      </c>
      <c r="P281" s="34" t="s">
        <v>175</v>
      </c>
      <c r="Q281" s="33" t="n">
        <f>2310</f>
        <v>2310.0</v>
      </c>
      <c r="R281" s="34" t="s">
        <v>50</v>
      </c>
      <c r="S281" s="35" t="n">
        <f>2357.9</f>
        <v>2357.9</v>
      </c>
      <c r="T281" s="32" t="n">
        <f>4300</f>
        <v>4300.0</v>
      </c>
      <c r="U281" s="32" t="str">
        <f>"－"</f>
        <v>－</v>
      </c>
      <c r="V281" s="32" t="n">
        <f>10029073</f>
        <v>1.0029073E7</v>
      </c>
      <c r="W281" s="32" t="str">
        <f>"－"</f>
        <v>－</v>
      </c>
      <c r="X281" s="36" t="n">
        <f>20</f>
        <v>20.0</v>
      </c>
    </row>
    <row r="282">
      <c r="A282" s="27" t="s">
        <v>42</v>
      </c>
      <c r="B282" s="27" t="s">
        <v>898</v>
      </c>
      <c r="C282" s="27" t="s">
        <v>899</v>
      </c>
      <c r="D282" s="27" t="s">
        <v>900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10325</f>
        <v>10325.0</v>
      </c>
      <c r="L282" s="34" t="s">
        <v>48</v>
      </c>
      <c r="M282" s="33" t="n">
        <f>10510</f>
        <v>10510.0</v>
      </c>
      <c r="N282" s="34" t="s">
        <v>64</v>
      </c>
      <c r="O282" s="33" t="n">
        <f>9853</f>
        <v>9853.0</v>
      </c>
      <c r="P282" s="34" t="s">
        <v>90</v>
      </c>
      <c r="Q282" s="33" t="n">
        <f>9901</f>
        <v>9901.0</v>
      </c>
      <c r="R282" s="34" t="s">
        <v>50</v>
      </c>
      <c r="S282" s="35" t="n">
        <f>10213.48</f>
        <v>10213.48</v>
      </c>
      <c r="T282" s="32" t="n">
        <f>599417</f>
        <v>599417.0</v>
      </c>
      <c r="U282" s="32" t="n">
        <f>185770</f>
        <v>185770.0</v>
      </c>
      <c r="V282" s="32" t="n">
        <f>6093286736</f>
        <v>6.093286736E9</v>
      </c>
      <c r="W282" s="32" t="n">
        <f>1875563349</f>
        <v>1.875563349E9</v>
      </c>
      <c r="X282" s="36" t="n">
        <f>21</f>
        <v>21.0</v>
      </c>
    </row>
    <row r="283">
      <c r="A283" s="27" t="s">
        <v>42</v>
      </c>
      <c r="B283" s="27" t="s">
        <v>901</v>
      </c>
      <c r="C283" s="27" t="s">
        <v>902</v>
      </c>
      <c r="D283" s="27" t="s">
        <v>903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15910</f>
        <v>15910.0</v>
      </c>
      <c r="L283" s="34" t="s">
        <v>48</v>
      </c>
      <c r="M283" s="33" t="n">
        <f>16415</f>
        <v>16415.0</v>
      </c>
      <c r="N283" s="34" t="s">
        <v>64</v>
      </c>
      <c r="O283" s="33" t="n">
        <f>15320</f>
        <v>15320.0</v>
      </c>
      <c r="P283" s="34" t="s">
        <v>90</v>
      </c>
      <c r="Q283" s="33" t="n">
        <f>15395</f>
        <v>15395.0</v>
      </c>
      <c r="R283" s="34" t="s">
        <v>50</v>
      </c>
      <c r="S283" s="35" t="n">
        <f>15881.19</f>
        <v>15881.19</v>
      </c>
      <c r="T283" s="32" t="n">
        <f>588220</f>
        <v>588220.0</v>
      </c>
      <c r="U283" s="32" t="n">
        <f>10</f>
        <v>10.0</v>
      </c>
      <c r="V283" s="32" t="n">
        <f>9313402140</f>
        <v>9.31340214E9</v>
      </c>
      <c r="W283" s="32" t="n">
        <f>142700</f>
        <v>142700.0</v>
      </c>
      <c r="X283" s="36" t="n">
        <f>21</f>
        <v>21.0</v>
      </c>
    </row>
    <row r="284">
      <c r="A284" s="27" t="s">
        <v>42</v>
      </c>
      <c r="B284" s="27" t="s">
        <v>904</v>
      </c>
      <c r="C284" s="27" t="s">
        <v>905</v>
      </c>
      <c r="D284" s="27" t="s">
        <v>906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10300</f>
        <v>10300.0</v>
      </c>
      <c r="L284" s="34" t="s">
        <v>48</v>
      </c>
      <c r="M284" s="33" t="n">
        <f>10625</f>
        <v>10625.0</v>
      </c>
      <c r="N284" s="34" t="s">
        <v>64</v>
      </c>
      <c r="O284" s="33" t="n">
        <f>9822</f>
        <v>9822.0</v>
      </c>
      <c r="P284" s="34" t="s">
        <v>68</v>
      </c>
      <c r="Q284" s="33" t="n">
        <f>9864</f>
        <v>9864.0</v>
      </c>
      <c r="R284" s="34" t="s">
        <v>50</v>
      </c>
      <c r="S284" s="35" t="n">
        <f>10246.9</f>
        <v>10246.9</v>
      </c>
      <c r="T284" s="32" t="n">
        <f>701086</f>
        <v>701086.0</v>
      </c>
      <c r="U284" s="32" t="n">
        <f>229000</f>
        <v>229000.0</v>
      </c>
      <c r="V284" s="32" t="n">
        <f>7188722322</f>
        <v>7.188722322E9</v>
      </c>
      <c r="W284" s="32" t="n">
        <f>2345678600</f>
        <v>2.3456786E9</v>
      </c>
      <c r="X284" s="36" t="n">
        <f>21</f>
        <v>21.0</v>
      </c>
    </row>
    <row r="285">
      <c r="A285" s="27" t="s">
        <v>42</v>
      </c>
      <c r="B285" s="27" t="s">
        <v>907</v>
      </c>
      <c r="C285" s="27" t="s">
        <v>908</v>
      </c>
      <c r="D285" s="27" t="s">
        <v>909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10.0</v>
      </c>
      <c r="K285" s="33" t="n">
        <f>2966.5</f>
        <v>2966.5</v>
      </c>
      <c r="L285" s="34" t="s">
        <v>48</v>
      </c>
      <c r="M285" s="33" t="n">
        <f>3017</f>
        <v>3017.0</v>
      </c>
      <c r="N285" s="34" t="s">
        <v>64</v>
      </c>
      <c r="O285" s="33" t="n">
        <f>2846.5</f>
        <v>2846.5</v>
      </c>
      <c r="P285" s="34" t="s">
        <v>90</v>
      </c>
      <c r="Q285" s="33" t="n">
        <f>2872</f>
        <v>2872.0</v>
      </c>
      <c r="R285" s="34" t="s">
        <v>50</v>
      </c>
      <c r="S285" s="35" t="n">
        <f>2943.17</f>
        <v>2943.17</v>
      </c>
      <c r="T285" s="32" t="n">
        <f>2413170</f>
        <v>2413170.0</v>
      </c>
      <c r="U285" s="32" t="n">
        <f>200000</f>
        <v>200000.0</v>
      </c>
      <c r="V285" s="32" t="n">
        <f>7080921090</f>
        <v>7.08092109E9</v>
      </c>
      <c r="W285" s="32" t="n">
        <f>592802000</f>
        <v>5.92802E8</v>
      </c>
      <c r="X285" s="36" t="n">
        <f>21</f>
        <v>21.0</v>
      </c>
    </row>
    <row r="286">
      <c r="A286" s="27" t="s">
        <v>42</v>
      </c>
      <c r="B286" s="27" t="s">
        <v>910</v>
      </c>
      <c r="C286" s="27" t="s">
        <v>911</v>
      </c>
      <c r="D286" s="27" t="s">
        <v>912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10.0</v>
      </c>
      <c r="K286" s="33" t="n">
        <f>2020.5</f>
        <v>2020.5</v>
      </c>
      <c r="L286" s="34" t="s">
        <v>48</v>
      </c>
      <c r="M286" s="33" t="n">
        <f>2057</f>
        <v>2057.0</v>
      </c>
      <c r="N286" s="34" t="s">
        <v>64</v>
      </c>
      <c r="O286" s="33" t="n">
        <f>1929.5</f>
        <v>1929.5</v>
      </c>
      <c r="P286" s="34" t="s">
        <v>90</v>
      </c>
      <c r="Q286" s="33" t="n">
        <f>1937</f>
        <v>1937.0</v>
      </c>
      <c r="R286" s="34" t="s">
        <v>50</v>
      </c>
      <c r="S286" s="35" t="n">
        <f>1999.38</f>
        <v>1999.38</v>
      </c>
      <c r="T286" s="32" t="n">
        <f>2451890</f>
        <v>2451890.0</v>
      </c>
      <c r="U286" s="32" t="n">
        <f>776000</f>
        <v>776000.0</v>
      </c>
      <c r="V286" s="32" t="n">
        <f>4868225164</f>
        <v>4.868225164E9</v>
      </c>
      <c r="W286" s="32" t="n">
        <f>1533492939</f>
        <v>1.533492939E9</v>
      </c>
      <c r="X286" s="36" t="n">
        <f>21</f>
        <v>21.0</v>
      </c>
    </row>
    <row r="287">
      <c r="A287" s="27" t="s">
        <v>42</v>
      </c>
      <c r="B287" s="27" t="s">
        <v>913</v>
      </c>
      <c r="C287" s="27" t="s">
        <v>914</v>
      </c>
      <c r="D287" s="27" t="s">
        <v>915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3116</f>
        <v>3116.0</v>
      </c>
      <c r="L287" s="34" t="s">
        <v>48</v>
      </c>
      <c r="M287" s="33" t="n">
        <f>3164</f>
        <v>3164.0</v>
      </c>
      <c r="N287" s="34" t="s">
        <v>206</v>
      </c>
      <c r="O287" s="33" t="n">
        <f>2969</f>
        <v>2969.0</v>
      </c>
      <c r="P287" s="34" t="s">
        <v>90</v>
      </c>
      <c r="Q287" s="33" t="n">
        <f>2992.5</f>
        <v>2992.5</v>
      </c>
      <c r="R287" s="34" t="s">
        <v>50</v>
      </c>
      <c r="S287" s="35" t="n">
        <f>3072.03</f>
        <v>3072.03</v>
      </c>
      <c r="T287" s="32" t="n">
        <f>39280</f>
        <v>39280.0</v>
      </c>
      <c r="U287" s="32" t="n">
        <f>35020</f>
        <v>35020.0</v>
      </c>
      <c r="V287" s="32" t="n">
        <f>118996545</f>
        <v>1.18996545E8</v>
      </c>
      <c r="W287" s="32" t="n">
        <f>105927070</f>
        <v>1.0592707E8</v>
      </c>
      <c r="X287" s="36" t="n">
        <f>20</f>
        <v>20.0</v>
      </c>
    </row>
    <row r="288">
      <c r="A288" s="27" t="s">
        <v>42</v>
      </c>
      <c r="B288" s="27" t="s">
        <v>916</v>
      </c>
      <c r="C288" s="27" t="s">
        <v>917</v>
      </c>
      <c r="D288" s="27" t="s">
        <v>918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2747</f>
        <v>2747.0</v>
      </c>
      <c r="L288" s="34" t="s">
        <v>48</v>
      </c>
      <c r="M288" s="33" t="n">
        <f>2771</f>
        <v>2771.0</v>
      </c>
      <c r="N288" s="34" t="s">
        <v>64</v>
      </c>
      <c r="O288" s="33" t="n">
        <f>2595</f>
        <v>2595.0</v>
      </c>
      <c r="P288" s="34" t="s">
        <v>49</v>
      </c>
      <c r="Q288" s="33" t="n">
        <f>2647</f>
        <v>2647.0</v>
      </c>
      <c r="R288" s="34" t="s">
        <v>50</v>
      </c>
      <c r="S288" s="35" t="n">
        <f>2676.14</f>
        <v>2676.14</v>
      </c>
      <c r="T288" s="32" t="n">
        <f>14346</f>
        <v>14346.0</v>
      </c>
      <c r="U288" s="32" t="str">
        <f>"－"</f>
        <v>－</v>
      </c>
      <c r="V288" s="32" t="n">
        <f>38077554</f>
        <v>3.8077554E7</v>
      </c>
      <c r="W288" s="32" t="str">
        <f>"－"</f>
        <v>－</v>
      </c>
      <c r="X288" s="36" t="n">
        <f>21</f>
        <v>21.0</v>
      </c>
    </row>
    <row r="289">
      <c r="A289" s="27" t="s">
        <v>42</v>
      </c>
      <c r="B289" s="27" t="s">
        <v>919</v>
      </c>
      <c r="C289" s="27" t="s">
        <v>920</v>
      </c>
      <c r="D289" s="27" t="s">
        <v>921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1507</f>
        <v>1507.0</v>
      </c>
      <c r="L289" s="34" t="s">
        <v>48</v>
      </c>
      <c r="M289" s="33" t="n">
        <f>1516</f>
        <v>1516.0</v>
      </c>
      <c r="N289" s="34" t="s">
        <v>48</v>
      </c>
      <c r="O289" s="33" t="n">
        <f>1355</f>
        <v>1355.0</v>
      </c>
      <c r="P289" s="34" t="s">
        <v>49</v>
      </c>
      <c r="Q289" s="33" t="n">
        <f>1393</f>
        <v>1393.0</v>
      </c>
      <c r="R289" s="34" t="s">
        <v>50</v>
      </c>
      <c r="S289" s="35" t="n">
        <f>1424.81</f>
        <v>1424.81</v>
      </c>
      <c r="T289" s="32" t="n">
        <f>29428</f>
        <v>29428.0</v>
      </c>
      <c r="U289" s="32" t="n">
        <f>2</f>
        <v>2.0</v>
      </c>
      <c r="V289" s="32" t="n">
        <f>42408613</f>
        <v>4.2408613E7</v>
      </c>
      <c r="W289" s="32" t="n">
        <f>2931</f>
        <v>2931.0</v>
      </c>
      <c r="X289" s="36" t="n">
        <f>21</f>
        <v>21.0</v>
      </c>
    </row>
    <row r="290">
      <c r="A290" s="27" t="s">
        <v>42</v>
      </c>
      <c r="B290" s="27" t="s">
        <v>922</v>
      </c>
      <c r="C290" s="27" t="s">
        <v>923</v>
      </c>
      <c r="D290" s="27" t="s">
        <v>924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1948</f>
        <v>1948.0</v>
      </c>
      <c r="L290" s="34" t="s">
        <v>48</v>
      </c>
      <c r="M290" s="33" t="n">
        <f>1966</f>
        <v>1966.0</v>
      </c>
      <c r="N290" s="34" t="s">
        <v>64</v>
      </c>
      <c r="O290" s="33" t="n">
        <f>1766</f>
        <v>1766.0</v>
      </c>
      <c r="P290" s="34" t="s">
        <v>50</v>
      </c>
      <c r="Q290" s="33" t="n">
        <f>1785</f>
        <v>1785.0</v>
      </c>
      <c r="R290" s="34" t="s">
        <v>50</v>
      </c>
      <c r="S290" s="35" t="n">
        <f>1880.24</f>
        <v>1880.24</v>
      </c>
      <c r="T290" s="32" t="n">
        <f>407335</f>
        <v>407335.0</v>
      </c>
      <c r="U290" s="32" t="str">
        <f>"－"</f>
        <v>－</v>
      </c>
      <c r="V290" s="32" t="n">
        <f>740970849</f>
        <v>7.40970849E8</v>
      </c>
      <c r="W290" s="32" t="str">
        <f>"－"</f>
        <v>－</v>
      </c>
      <c r="X290" s="36" t="n">
        <f>21</f>
        <v>21.0</v>
      </c>
    </row>
    <row r="291">
      <c r="A291" s="27" t="s">
        <v>42</v>
      </c>
      <c r="B291" s="27" t="s">
        <v>925</v>
      </c>
      <c r="C291" s="27" t="s">
        <v>926</v>
      </c>
      <c r="D291" s="27" t="s">
        <v>927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1558</f>
        <v>1558.0</v>
      </c>
      <c r="L291" s="34" t="s">
        <v>48</v>
      </c>
      <c r="M291" s="33" t="n">
        <f>1558</f>
        <v>1558.0</v>
      </c>
      <c r="N291" s="34" t="s">
        <v>48</v>
      </c>
      <c r="O291" s="33" t="n">
        <f>1436</f>
        <v>1436.0</v>
      </c>
      <c r="P291" s="34" t="s">
        <v>68</v>
      </c>
      <c r="Q291" s="33" t="n">
        <f>1461</f>
        <v>1461.0</v>
      </c>
      <c r="R291" s="34" t="s">
        <v>50</v>
      </c>
      <c r="S291" s="35" t="n">
        <f>1498.19</f>
        <v>1498.19</v>
      </c>
      <c r="T291" s="32" t="n">
        <f>249364</f>
        <v>249364.0</v>
      </c>
      <c r="U291" s="32" t="n">
        <f>130000</f>
        <v>130000.0</v>
      </c>
      <c r="V291" s="32" t="n">
        <f>375200227</f>
        <v>3.75200227E8</v>
      </c>
      <c r="W291" s="32" t="n">
        <f>197314000</f>
        <v>1.97314E8</v>
      </c>
      <c r="X291" s="36" t="n">
        <f>21</f>
        <v>21.0</v>
      </c>
    </row>
    <row r="292">
      <c r="A292" s="27" t="s">
        <v>42</v>
      </c>
      <c r="B292" s="27" t="s">
        <v>928</v>
      </c>
      <c r="C292" s="27" t="s">
        <v>929</v>
      </c>
      <c r="D292" s="27" t="s">
        <v>930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2725</f>
        <v>2725.0</v>
      </c>
      <c r="L292" s="34" t="s">
        <v>48</v>
      </c>
      <c r="M292" s="33" t="n">
        <f>2730</f>
        <v>2730.0</v>
      </c>
      <c r="N292" s="34" t="s">
        <v>64</v>
      </c>
      <c r="O292" s="33" t="n">
        <f>2575</f>
        <v>2575.0</v>
      </c>
      <c r="P292" s="34" t="s">
        <v>90</v>
      </c>
      <c r="Q292" s="33" t="n">
        <f>2625</f>
        <v>2625.0</v>
      </c>
      <c r="R292" s="34" t="s">
        <v>50</v>
      </c>
      <c r="S292" s="35" t="n">
        <f>2660.52</f>
        <v>2660.52</v>
      </c>
      <c r="T292" s="32" t="n">
        <f>41656</f>
        <v>41656.0</v>
      </c>
      <c r="U292" s="32" t="str">
        <f>"－"</f>
        <v>－</v>
      </c>
      <c r="V292" s="32" t="n">
        <f>110531908</f>
        <v>1.10531908E8</v>
      </c>
      <c r="W292" s="32" t="str">
        <f>"－"</f>
        <v>－</v>
      </c>
      <c r="X292" s="36" t="n">
        <f>21</f>
        <v>21.0</v>
      </c>
    </row>
    <row r="293">
      <c r="A293" s="27" t="s">
        <v>42</v>
      </c>
      <c r="B293" s="27" t="s">
        <v>931</v>
      </c>
      <c r="C293" s="27" t="s">
        <v>932</v>
      </c>
      <c r="D293" s="27" t="s">
        <v>933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2559</f>
        <v>2559.0</v>
      </c>
      <c r="L293" s="34" t="s">
        <v>48</v>
      </c>
      <c r="M293" s="33" t="n">
        <f>2586</f>
        <v>2586.0</v>
      </c>
      <c r="N293" s="34" t="s">
        <v>48</v>
      </c>
      <c r="O293" s="33" t="n">
        <f>2409</f>
        <v>2409.0</v>
      </c>
      <c r="P293" s="34" t="s">
        <v>49</v>
      </c>
      <c r="Q293" s="33" t="n">
        <f>2441</f>
        <v>2441.0</v>
      </c>
      <c r="R293" s="34" t="s">
        <v>50</v>
      </c>
      <c r="S293" s="35" t="n">
        <f>2484.57</f>
        <v>2484.57</v>
      </c>
      <c r="T293" s="32" t="n">
        <f>249381</f>
        <v>249381.0</v>
      </c>
      <c r="U293" s="32" t="n">
        <f>50012</f>
        <v>50012.0</v>
      </c>
      <c r="V293" s="32" t="n">
        <f>620628076</f>
        <v>6.20628076E8</v>
      </c>
      <c r="W293" s="32" t="n">
        <f>125834946</f>
        <v>1.25834946E8</v>
      </c>
      <c r="X293" s="36" t="n">
        <f>21</f>
        <v>21.0</v>
      </c>
    </row>
    <row r="294">
      <c r="A294" s="27" t="s">
        <v>42</v>
      </c>
      <c r="B294" s="27" t="s">
        <v>934</v>
      </c>
      <c r="C294" s="27" t="s">
        <v>935</v>
      </c>
      <c r="D294" s="27" t="s">
        <v>936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30420</f>
        <v>30420.0</v>
      </c>
      <c r="L294" s="34" t="s">
        <v>174</v>
      </c>
      <c r="M294" s="33" t="n">
        <f>31120</f>
        <v>31120.0</v>
      </c>
      <c r="N294" s="34" t="s">
        <v>64</v>
      </c>
      <c r="O294" s="33" t="n">
        <f>29640</f>
        <v>29640.0</v>
      </c>
      <c r="P294" s="34" t="s">
        <v>49</v>
      </c>
      <c r="Q294" s="33" t="n">
        <f>29865</f>
        <v>29865.0</v>
      </c>
      <c r="R294" s="34" t="s">
        <v>50</v>
      </c>
      <c r="S294" s="35" t="n">
        <f>30218.75</f>
        <v>30218.75</v>
      </c>
      <c r="T294" s="32" t="n">
        <f>64</f>
        <v>64.0</v>
      </c>
      <c r="U294" s="32" t="str">
        <f>"－"</f>
        <v>－</v>
      </c>
      <c r="V294" s="32" t="n">
        <f>1928515</f>
        <v>1928515.0</v>
      </c>
      <c r="W294" s="32" t="str">
        <f>"－"</f>
        <v>－</v>
      </c>
      <c r="X294" s="36" t="n">
        <f>16</f>
        <v>16.0</v>
      </c>
    </row>
    <row r="295">
      <c r="A295" s="27" t="s">
        <v>42</v>
      </c>
      <c r="B295" s="27" t="s">
        <v>937</v>
      </c>
      <c r="C295" s="27" t="s">
        <v>938</v>
      </c>
      <c r="D295" s="27" t="s">
        <v>939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2373</f>
        <v>2373.0</v>
      </c>
      <c r="L295" s="34" t="s">
        <v>48</v>
      </c>
      <c r="M295" s="33" t="n">
        <f>2400</f>
        <v>2400.0</v>
      </c>
      <c r="N295" s="34" t="s">
        <v>64</v>
      </c>
      <c r="O295" s="33" t="n">
        <f>2250</f>
        <v>2250.0</v>
      </c>
      <c r="P295" s="34" t="s">
        <v>49</v>
      </c>
      <c r="Q295" s="33" t="n">
        <f>2260</f>
        <v>2260.0</v>
      </c>
      <c r="R295" s="34" t="s">
        <v>50</v>
      </c>
      <c r="S295" s="35" t="n">
        <f>2313.39</f>
        <v>2313.39</v>
      </c>
      <c r="T295" s="32" t="n">
        <f>6071</f>
        <v>6071.0</v>
      </c>
      <c r="U295" s="32" t="str">
        <f>"－"</f>
        <v>－</v>
      </c>
      <c r="V295" s="32" t="n">
        <f>14023768</f>
        <v>1.4023768E7</v>
      </c>
      <c r="W295" s="32" t="str">
        <f>"－"</f>
        <v>－</v>
      </c>
      <c r="X295" s="36" t="n">
        <f>18</f>
        <v>18.0</v>
      </c>
    </row>
    <row r="296">
      <c r="A296" s="27" t="s">
        <v>42</v>
      </c>
      <c r="B296" s="27" t="s">
        <v>940</v>
      </c>
      <c r="C296" s="27" t="s">
        <v>941</v>
      </c>
      <c r="D296" s="27" t="s">
        <v>942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3130</f>
        <v>3130.0</v>
      </c>
      <c r="L296" s="34" t="s">
        <v>48</v>
      </c>
      <c r="M296" s="33" t="n">
        <f>3330</f>
        <v>3330.0</v>
      </c>
      <c r="N296" s="34" t="s">
        <v>64</v>
      </c>
      <c r="O296" s="33" t="n">
        <f>2900</f>
        <v>2900.0</v>
      </c>
      <c r="P296" s="34" t="s">
        <v>50</v>
      </c>
      <c r="Q296" s="33" t="n">
        <f>2917</f>
        <v>2917.0</v>
      </c>
      <c r="R296" s="34" t="s">
        <v>50</v>
      </c>
      <c r="S296" s="35" t="n">
        <f>3117.24</f>
        <v>3117.24</v>
      </c>
      <c r="T296" s="32" t="n">
        <f>2275138</f>
        <v>2275138.0</v>
      </c>
      <c r="U296" s="32" t="n">
        <f>5340</f>
        <v>5340.0</v>
      </c>
      <c r="V296" s="32" t="n">
        <f>7152772809</f>
        <v>7.152772809E9</v>
      </c>
      <c r="W296" s="32" t="n">
        <f>16224488</f>
        <v>1.6224488E7</v>
      </c>
      <c r="X296" s="36" t="n">
        <f>21</f>
        <v>21.0</v>
      </c>
    </row>
    <row r="297">
      <c r="A297" s="27" t="s">
        <v>42</v>
      </c>
      <c r="B297" s="27" t="s">
        <v>943</v>
      </c>
      <c r="C297" s="27" t="s">
        <v>944</v>
      </c>
      <c r="D297" s="27" t="s">
        <v>945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1907</f>
        <v>1907.0</v>
      </c>
      <c r="L297" s="34" t="s">
        <v>48</v>
      </c>
      <c r="M297" s="33" t="n">
        <f>1907</f>
        <v>1907.0</v>
      </c>
      <c r="N297" s="34" t="s">
        <v>48</v>
      </c>
      <c r="O297" s="33" t="n">
        <f>1784</f>
        <v>1784.0</v>
      </c>
      <c r="P297" s="34" t="s">
        <v>175</v>
      </c>
      <c r="Q297" s="33" t="n">
        <f>1817</f>
        <v>1817.0</v>
      </c>
      <c r="R297" s="34" t="s">
        <v>50</v>
      </c>
      <c r="S297" s="35" t="n">
        <f>1834.67</f>
        <v>1834.67</v>
      </c>
      <c r="T297" s="32" t="n">
        <f>3534</f>
        <v>3534.0</v>
      </c>
      <c r="U297" s="32" t="str">
        <f>"－"</f>
        <v>－</v>
      </c>
      <c r="V297" s="32" t="n">
        <f>6473441</f>
        <v>6473441.0</v>
      </c>
      <c r="W297" s="32" t="str">
        <f>"－"</f>
        <v>－</v>
      </c>
      <c r="X297" s="36" t="n">
        <f>21</f>
        <v>21.0</v>
      </c>
    </row>
    <row r="298">
      <c r="A298" s="27" t="s">
        <v>42</v>
      </c>
      <c r="B298" s="27" t="s">
        <v>946</v>
      </c>
      <c r="C298" s="27" t="s">
        <v>947</v>
      </c>
      <c r="D298" s="27" t="s">
        <v>948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1746</f>
        <v>1746.0</v>
      </c>
      <c r="L298" s="34" t="s">
        <v>48</v>
      </c>
      <c r="M298" s="33" t="n">
        <f>1761</f>
        <v>1761.0</v>
      </c>
      <c r="N298" s="34" t="s">
        <v>48</v>
      </c>
      <c r="O298" s="33" t="n">
        <f>1563</f>
        <v>1563.0</v>
      </c>
      <c r="P298" s="34" t="s">
        <v>49</v>
      </c>
      <c r="Q298" s="33" t="n">
        <f>1625</f>
        <v>1625.0</v>
      </c>
      <c r="R298" s="34" t="s">
        <v>50</v>
      </c>
      <c r="S298" s="35" t="n">
        <f>1657.05</f>
        <v>1657.05</v>
      </c>
      <c r="T298" s="32" t="n">
        <f>23395</f>
        <v>23395.0</v>
      </c>
      <c r="U298" s="32" t="str">
        <f>"－"</f>
        <v>－</v>
      </c>
      <c r="V298" s="32" t="n">
        <f>39291364</f>
        <v>3.9291364E7</v>
      </c>
      <c r="W298" s="32" t="str">
        <f>"－"</f>
        <v>－</v>
      </c>
      <c r="X298" s="36" t="n">
        <f>21</f>
        <v>21.0</v>
      </c>
    </row>
    <row r="299">
      <c r="A299" s="27" t="s">
        <v>42</v>
      </c>
      <c r="B299" s="27" t="s">
        <v>949</v>
      </c>
      <c r="C299" s="27" t="s">
        <v>950</v>
      </c>
      <c r="D299" s="27" t="s">
        <v>951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5330</f>
        <v>5330.0</v>
      </c>
      <c r="L299" s="34" t="s">
        <v>48</v>
      </c>
      <c r="M299" s="33" t="n">
        <f>5352</f>
        <v>5352.0</v>
      </c>
      <c r="N299" s="34" t="s">
        <v>64</v>
      </c>
      <c r="O299" s="33" t="n">
        <f>5210</f>
        <v>5210.0</v>
      </c>
      <c r="P299" s="34" t="s">
        <v>116</v>
      </c>
      <c r="Q299" s="33" t="n">
        <f>5274</f>
        <v>5274.0</v>
      </c>
      <c r="R299" s="34" t="s">
        <v>50</v>
      </c>
      <c r="S299" s="35" t="n">
        <f>5272.58</f>
        <v>5272.58</v>
      </c>
      <c r="T299" s="32" t="n">
        <f>450040</f>
        <v>450040.0</v>
      </c>
      <c r="U299" s="32" t="n">
        <f>280000</f>
        <v>280000.0</v>
      </c>
      <c r="V299" s="32" t="n">
        <f>2355736937</f>
        <v>2.355736937E9</v>
      </c>
      <c r="W299" s="32" t="n">
        <f>1465835017</f>
        <v>1.465835017E9</v>
      </c>
      <c r="X299" s="36" t="n">
        <f>19</f>
        <v>19.0</v>
      </c>
    </row>
    <row r="300">
      <c r="A300" s="27" t="s">
        <v>42</v>
      </c>
      <c r="B300" s="27" t="s">
        <v>952</v>
      </c>
      <c r="C300" s="27" t="s">
        <v>953</v>
      </c>
      <c r="D300" s="27" t="s">
        <v>954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3745</f>
        <v>3745.0</v>
      </c>
      <c r="L300" s="34" t="s">
        <v>48</v>
      </c>
      <c r="M300" s="33" t="n">
        <f>3767</f>
        <v>3767.0</v>
      </c>
      <c r="N300" s="34" t="s">
        <v>64</v>
      </c>
      <c r="O300" s="33" t="n">
        <f>3637</f>
        <v>3637.0</v>
      </c>
      <c r="P300" s="34" t="s">
        <v>276</v>
      </c>
      <c r="Q300" s="33" t="n">
        <f>3666</f>
        <v>3666.0</v>
      </c>
      <c r="R300" s="34" t="s">
        <v>90</v>
      </c>
      <c r="S300" s="35" t="n">
        <f>3693</f>
        <v>3693.0</v>
      </c>
      <c r="T300" s="32" t="n">
        <f>1472550</f>
        <v>1472550.0</v>
      </c>
      <c r="U300" s="32" t="n">
        <f>1272000</f>
        <v>1272000.0</v>
      </c>
      <c r="V300" s="32" t="n">
        <f>5482749120</f>
        <v>5.48274912E9</v>
      </c>
      <c r="W300" s="32" t="n">
        <f>4744420120</f>
        <v>4.74442012E9</v>
      </c>
      <c r="X300" s="36" t="n">
        <f>20</f>
        <v>20.0</v>
      </c>
    </row>
    <row r="301">
      <c r="A301" s="27" t="s">
        <v>42</v>
      </c>
      <c r="B301" s="27" t="s">
        <v>955</v>
      </c>
      <c r="C301" s="27" t="s">
        <v>956</v>
      </c>
      <c r="D301" s="27" t="s">
        <v>957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633.4</f>
        <v>633.4</v>
      </c>
      <c r="L301" s="34" t="s">
        <v>48</v>
      </c>
      <c r="M301" s="33" t="n">
        <f>634.1</f>
        <v>634.1</v>
      </c>
      <c r="N301" s="34" t="s">
        <v>48</v>
      </c>
      <c r="O301" s="33" t="n">
        <f>607.5</f>
        <v>607.5</v>
      </c>
      <c r="P301" s="34" t="s">
        <v>276</v>
      </c>
      <c r="Q301" s="33" t="n">
        <f>612.4</f>
        <v>612.4</v>
      </c>
      <c r="R301" s="34" t="s">
        <v>50</v>
      </c>
      <c r="S301" s="35" t="n">
        <f>618.4</f>
        <v>618.4</v>
      </c>
      <c r="T301" s="32" t="n">
        <f>23180</f>
        <v>23180.0</v>
      </c>
      <c r="U301" s="32" t="str">
        <f>"－"</f>
        <v>－</v>
      </c>
      <c r="V301" s="32" t="n">
        <f>14300386</f>
        <v>1.4300386E7</v>
      </c>
      <c r="W301" s="32" t="str">
        <f>"－"</f>
        <v>－</v>
      </c>
      <c r="X301" s="36" t="n">
        <f>20</f>
        <v>20.0</v>
      </c>
    </row>
    <row r="302">
      <c r="A302" s="27" t="s">
        <v>42</v>
      </c>
      <c r="B302" s="27" t="s">
        <v>958</v>
      </c>
      <c r="C302" s="27" t="s">
        <v>959</v>
      </c>
      <c r="D302" s="27" t="s">
        <v>960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2173</f>
        <v>2173.0</v>
      </c>
      <c r="L302" s="34" t="s">
        <v>48</v>
      </c>
      <c r="M302" s="33" t="n">
        <f>2195</f>
        <v>2195.0</v>
      </c>
      <c r="N302" s="34" t="s">
        <v>213</v>
      </c>
      <c r="O302" s="33" t="n">
        <f>1948</f>
        <v>1948.0</v>
      </c>
      <c r="P302" s="34" t="s">
        <v>49</v>
      </c>
      <c r="Q302" s="33" t="n">
        <f>2007</f>
        <v>2007.0</v>
      </c>
      <c r="R302" s="34" t="s">
        <v>50</v>
      </c>
      <c r="S302" s="35" t="n">
        <f>2070.24</f>
        <v>2070.24</v>
      </c>
      <c r="T302" s="32" t="n">
        <f>48412</f>
        <v>48412.0</v>
      </c>
      <c r="U302" s="32" t="str">
        <f>"－"</f>
        <v>－</v>
      </c>
      <c r="V302" s="32" t="n">
        <f>102359690</f>
        <v>1.0235969E8</v>
      </c>
      <c r="W302" s="32" t="str">
        <f>"－"</f>
        <v>－</v>
      </c>
      <c r="X302" s="36" t="n">
        <f>21</f>
        <v>21.0</v>
      </c>
    </row>
    <row r="303">
      <c r="A303" s="27" t="s">
        <v>42</v>
      </c>
      <c r="B303" s="27" t="s">
        <v>961</v>
      </c>
      <c r="C303" s="27" t="s">
        <v>962</v>
      </c>
      <c r="D303" s="27" t="s">
        <v>963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2026</f>
        <v>2026.0</v>
      </c>
      <c r="L303" s="34" t="s">
        <v>48</v>
      </c>
      <c r="M303" s="33" t="n">
        <f>2088</f>
        <v>2088.0</v>
      </c>
      <c r="N303" s="34" t="s">
        <v>213</v>
      </c>
      <c r="O303" s="33" t="n">
        <f>1879</f>
        <v>1879.0</v>
      </c>
      <c r="P303" s="34" t="s">
        <v>49</v>
      </c>
      <c r="Q303" s="33" t="n">
        <f>1895</f>
        <v>1895.0</v>
      </c>
      <c r="R303" s="34" t="s">
        <v>50</v>
      </c>
      <c r="S303" s="35" t="n">
        <f>1957.62</f>
        <v>1957.62</v>
      </c>
      <c r="T303" s="32" t="n">
        <f>9300</f>
        <v>9300.0</v>
      </c>
      <c r="U303" s="32" t="str">
        <f>"－"</f>
        <v>－</v>
      </c>
      <c r="V303" s="32" t="n">
        <f>18292507</f>
        <v>1.8292507E7</v>
      </c>
      <c r="W303" s="32" t="str">
        <f>"－"</f>
        <v>－</v>
      </c>
      <c r="X303" s="36" t="n">
        <f>21</f>
        <v>21.0</v>
      </c>
    </row>
    <row r="304">
      <c r="A304" s="27" t="s">
        <v>42</v>
      </c>
      <c r="B304" s="27" t="s">
        <v>964</v>
      </c>
      <c r="C304" s="27" t="s">
        <v>965</v>
      </c>
      <c r="D304" s="27" t="s">
        <v>966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7971</f>
        <v>7971.0</v>
      </c>
      <c r="L304" s="34" t="s">
        <v>48</v>
      </c>
      <c r="M304" s="33" t="n">
        <f>8005</f>
        <v>8005.0</v>
      </c>
      <c r="N304" s="34" t="s">
        <v>213</v>
      </c>
      <c r="O304" s="33" t="n">
        <f>7780</f>
        <v>7780.0</v>
      </c>
      <c r="P304" s="34" t="s">
        <v>60</v>
      </c>
      <c r="Q304" s="33" t="n">
        <f>7875</f>
        <v>7875.0</v>
      </c>
      <c r="R304" s="34" t="s">
        <v>50</v>
      </c>
      <c r="S304" s="35" t="n">
        <f>7877.86</f>
        <v>7877.86</v>
      </c>
      <c r="T304" s="32" t="n">
        <f>421290</f>
        <v>421290.0</v>
      </c>
      <c r="U304" s="32" t="n">
        <f>371004</f>
        <v>371004.0</v>
      </c>
      <c r="V304" s="32" t="n">
        <f>3314658444</f>
        <v>3.314658444E9</v>
      </c>
      <c r="W304" s="32" t="n">
        <f>2920170462</f>
        <v>2.920170462E9</v>
      </c>
      <c r="X304" s="36" t="n">
        <f>21</f>
        <v>21.0</v>
      </c>
    </row>
    <row r="305">
      <c r="A305" s="27" t="s">
        <v>42</v>
      </c>
      <c r="B305" s="27" t="s">
        <v>967</v>
      </c>
      <c r="C305" s="27" t="s">
        <v>968</v>
      </c>
      <c r="D305" s="27" t="s">
        <v>969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5583</f>
        <v>5583.0</v>
      </c>
      <c r="L305" s="34" t="s">
        <v>48</v>
      </c>
      <c r="M305" s="33" t="n">
        <f>5600</f>
        <v>5600.0</v>
      </c>
      <c r="N305" s="34" t="s">
        <v>64</v>
      </c>
      <c r="O305" s="33" t="n">
        <f>5416</f>
        <v>5416.0</v>
      </c>
      <c r="P305" s="34" t="s">
        <v>276</v>
      </c>
      <c r="Q305" s="33" t="n">
        <f>5466</f>
        <v>5466.0</v>
      </c>
      <c r="R305" s="34" t="s">
        <v>50</v>
      </c>
      <c r="S305" s="35" t="n">
        <f>5501.71</f>
        <v>5501.71</v>
      </c>
      <c r="T305" s="32" t="n">
        <f>38342</f>
        <v>38342.0</v>
      </c>
      <c r="U305" s="32" t="str">
        <f>"－"</f>
        <v>－</v>
      </c>
      <c r="V305" s="32" t="n">
        <f>210562086</f>
        <v>2.10562086E8</v>
      </c>
      <c r="W305" s="32" t="str">
        <f>"－"</f>
        <v>－</v>
      </c>
      <c r="X305" s="36" t="n">
        <f>21</f>
        <v>21.0</v>
      </c>
    </row>
    <row r="306">
      <c r="A306" s="27" t="s">
        <v>42</v>
      </c>
      <c r="B306" s="27" t="s">
        <v>970</v>
      </c>
      <c r="C306" s="27" t="s">
        <v>971</v>
      </c>
      <c r="D306" s="27" t="s">
        <v>972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20610</f>
        <v>20610.0</v>
      </c>
      <c r="L306" s="34" t="s">
        <v>48</v>
      </c>
      <c r="M306" s="33" t="n">
        <f>21250</f>
        <v>21250.0</v>
      </c>
      <c r="N306" s="34" t="s">
        <v>64</v>
      </c>
      <c r="O306" s="33" t="n">
        <f>19845</f>
        <v>19845.0</v>
      </c>
      <c r="P306" s="34" t="s">
        <v>90</v>
      </c>
      <c r="Q306" s="33" t="n">
        <f>19930</f>
        <v>19930.0</v>
      </c>
      <c r="R306" s="34" t="s">
        <v>50</v>
      </c>
      <c r="S306" s="35" t="n">
        <f>20564.05</f>
        <v>20564.05</v>
      </c>
      <c r="T306" s="32" t="n">
        <f>332169</f>
        <v>332169.0</v>
      </c>
      <c r="U306" s="32" t="str">
        <f>"－"</f>
        <v>－</v>
      </c>
      <c r="V306" s="32" t="n">
        <f>6800245570</f>
        <v>6.80024557E9</v>
      </c>
      <c r="W306" s="32" t="str">
        <f>"－"</f>
        <v>－</v>
      </c>
      <c r="X306" s="36" t="n">
        <f>21</f>
        <v>21.0</v>
      </c>
    </row>
    <row r="307">
      <c r="A307" s="27" t="s">
        <v>42</v>
      </c>
      <c r="B307" s="27" t="s">
        <v>973</v>
      </c>
      <c r="C307" s="27" t="s">
        <v>974</v>
      </c>
      <c r="D307" s="27" t="s">
        <v>975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9690</f>
        <v>9690.0</v>
      </c>
      <c r="L307" s="34" t="s">
        <v>48</v>
      </c>
      <c r="M307" s="33" t="n">
        <f>9998</f>
        <v>9998.0</v>
      </c>
      <c r="N307" s="34" t="s">
        <v>64</v>
      </c>
      <c r="O307" s="33" t="n">
        <f>9243</f>
        <v>9243.0</v>
      </c>
      <c r="P307" s="34" t="s">
        <v>68</v>
      </c>
      <c r="Q307" s="33" t="n">
        <f>9282</f>
        <v>9282.0</v>
      </c>
      <c r="R307" s="34" t="s">
        <v>50</v>
      </c>
      <c r="S307" s="35" t="n">
        <f>9643.14</f>
        <v>9643.14</v>
      </c>
      <c r="T307" s="32" t="n">
        <f>836411</f>
        <v>836411.0</v>
      </c>
      <c r="U307" s="32" t="n">
        <f>43102</f>
        <v>43102.0</v>
      </c>
      <c r="V307" s="32" t="n">
        <f>8011112907</f>
        <v>8.011112907E9</v>
      </c>
      <c r="W307" s="32" t="n">
        <f>400289036</f>
        <v>4.00289036E8</v>
      </c>
      <c r="X307" s="36" t="n">
        <f>21</f>
        <v>21.0</v>
      </c>
    </row>
    <row r="308">
      <c r="A308" s="27" t="s">
        <v>42</v>
      </c>
      <c r="B308" s="27" t="s">
        <v>976</v>
      </c>
      <c r="C308" s="27" t="s">
        <v>977</v>
      </c>
      <c r="D308" s="27" t="s">
        <v>978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24660</f>
        <v>24660.0</v>
      </c>
      <c r="L308" s="34" t="s">
        <v>48</v>
      </c>
      <c r="M308" s="33" t="n">
        <f>25755</f>
        <v>25755.0</v>
      </c>
      <c r="N308" s="34" t="s">
        <v>68</v>
      </c>
      <c r="O308" s="33" t="n">
        <f>23875</f>
        <v>23875.0</v>
      </c>
      <c r="P308" s="34" t="s">
        <v>64</v>
      </c>
      <c r="Q308" s="33" t="n">
        <f>25625</f>
        <v>25625.0</v>
      </c>
      <c r="R308" s="34" t="s">
        <v>50</v>
      </c>
      <c r="S308" s="35" t="n">
        <f>24746.9</f>
        <v>24746.9</v>
      </c>
      <c r="T308" s="32" t="n">
        <f>364979</f>
        <v>364979.0</v>
      </c>
      <c r="U308" s="32" t="n">
        <f>117300</f>
        <v>117300.0</v>
      </c>
      <c r="V308" s="32" t="n">
        <f>9146084415</f>
        <v>9.146084415E9</v>
      </c>
      <c r="W308" s="32" t="n">
        <f>2993976605</f>
        <v>2.993976605E9</v>
      </c>
      <c r="X308" s="36" t="n">
        <f>21</f>
        <v>21.0</v>
      </c>
    </row>
    <row r="309">
      <c r="A309" s="27" t="s">
        <v>42</v>
      </c>
      <c r="B309" s="27" t="s">
        <v>979</v>
      </c>
      <c r="C309" s="27" t="s">
        <v>980</v>
      </c>
      <c r="D309" s="27" t="s">
        <v>981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4096</f>
        <v>4096.0</v>
      </c>
      <c r="L309" s="34" t="s">
        <v>48</v>
      </c>
      <c r="M309" s="33" t="n">
        <f>4147</f>
        <v>4147.0</v>
      </c>
      <c r="N309" s="34" t="s">
        <v>64</v>
      </c>
      <c r="O309" s="33" t="n">
        <f>3961</f>
        <v>3961.0</v>
      </c>
      <c r="P309" s="34" t="s">
        <v>50</v>
      </c>
      <c r="Q309" s="33" t="n">
        <f>3974</f>
        <v>3974.0</v>
      </c>
      <c r="R309" s="34" t="s">
        <v>50</v>
      </c>
      <c r="S309" s="35" t="n">
        <f>4052.39</f>
        <v>4052.39</v>
      </c>
      <c r="T309" s="32" t="n">
        <f>114000</f>
        <v>114000.0</v>
      </c>
      <c r="U309" s="32" t="n">
        <f>109000</f>
        <v>109000.0</v>
      </c>
      <c r="V309" s="32" t="n">
        <f>461825450</f>
        <v>4.6182545E8</v>
      </c>
      <c r="W309" s="32" t="n">
        <f>441482700</f>
        <v>4.414827E8</v>
      </c>
      <c r="X309" s="36" t="n">
        <f>18</f>
        <v>18.0</v>
      </c>
    </row>
    <row r="310">
      <c r="A310" s="27" t="s">
        <v>42</v>
      </c>
      <c r="B310" s="27" t="s">
        <v>982</v>
      </c>
      <c r="C310" s="27" t="s">
        <v>983</v>
      </c>
      <c r="D310" s="27" t="s">
        <v>984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4992</f>
        <v>4992.0</v>
      </c>
      <c r="L310" s="34" t="s">
        <v>48</v>
      </c>
      <c r="M310" s="33" t="n">
        <f>4992</f>
        <v>4992.0</v>
      </c>
      <c r="N310" s="34" t="s">
        <v>48</v>
      </c>
      <c r="O310" s="33" t="n">
        <f>4736</f>
        <v>4736.0</v>
      </c>
      <c r="P310" s="34" t="s">
        <v>50</v>
      </c>
      <c r="Q310" s="33" t="n">
        <f>4752</f>
        <v>4752.0</v>
      </c>
      <c r="R310" s="34" t="s">
        <v>50</v>
      </c>
      <c r="S310" s="35" t="n">
        <f>4828</f>
        <v>4828.0</v>
      </c>
      <c r="T310" s="32" t="n">
        <f>29200</f>
        <v>29200.0</v>
      </c>
      <c r="U310" s="32" t="n">
        <f>4190</f>
        <v>4190.0</v>
      </c>
      <c r="V310" s="32" t="n">
        <f>140042710</f>
        <v>1.4004271E8</v>
      </c>
      <c r="W310" s="32" t="n">
        <f>20035870</f>
        <v>2.003587E7</v>
      </c>
      <c r="X310" s="36" t="n">
        <f>19</f>
        <v>19.0</v>
      </c>
    </row>
    <row r="311">
      <c r="A311" s="27" t="s">
        <v>42</v>
      </c>
      <c r="B311" s="27" t="s">
        <v>985</v>
      </c>
      <c r="C311" s="27" t="s">
        <v>986</v>
      </c>
      <c r="D311" s="27" t="s">
        <v>987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10.0</v>
      </c>
      <c r="K311" s="33" t="n">
        <f>2023.5</f>
        <v>2023.5</v>
      </c>
      <c r="L311" s="34" t="s">
        <v>48</v>
      </c>
      <c r="M311" s="33" t="n">
        <f>2087</f>
        <v>2087.0</v>
      </c>
      <c r="N311" s="34" t="s">
        <v>64</v>
      </c>
      <c r="O311" s="33" t="n">
        <f>1930</f>
        <v>1930.0</v>
      </c>
      <c r="P311" s="34" t="s">
        <v>68</v>
      </c>
      <c r="Q311" s="33" t="n">
        <f>1937.5</f>
        <v>1937.5</v>
      </c>
      <c r="R311" s="34" t="s">
        <v>50</v>
      </c>
      <c r="S311" s="35" t="n">
        <f>2013.4</f>
        <v>2013.4</v>
      </c>
      <c r="T311" s="32" t="n">
        <f>2066860</f>
        <v>2066860.0</v>
      </c>
      <c r="U311" s="32" t="str">
        <f>"－"</f>
        <v>－</v>
      </c>
      <c r="V311" s="32" t="n">
        <f>4155519240</f>
        <v>4.15551924E9</v>
      </c>
      <c r="W311" s="32" t="str">
        <f>"－"</f>
        <v>－</v>
      </c>
      <c r="X311" s="36" t="n">
        <f>21</f>
        <v>21.0</v>
      </c>
    </row>
    <row r="312">
      <c r="A312" s="27" t="s">
        <v>42</v>
      </c>
      <c r="B312" s="27" t="s">
        <v>988</v>
      </c>
      <c r="C312" s="27" t="s">
        <v>989</v>
      </c>
      <c r="D312" s="27" t="s">
        <v>990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10.0</v>
      </c>
      <c r="K312" s="33" t="n">
        <f>1859</f>
        <v>1859.0</v>
      </c>
      <c r="L312" s="34" t="s">
        <v>48</v>
      </c>
      <c r="M312" s="33" t="n">
        <f>1873</f>
        <v>1873.0</v>
      </c>
      <c r="N312" s="34" t="s">
        <v>206</v>
      </c>
      <c r="O312" s="33" t="n">
        <f>1784</f>
        <v>1784.0</v>
      </c>
      <c r="P312" s="34" t="s">
        <v>90</v>
      </c>
      <c r="Q312" s="33" t="n">
        <f>1806.5</f>
        <v>1806.5</v>
      </c>
      <c r="R312" s="34" t="s">
        <v>50</v>
      </c>
      <c r="S312" s="35" t="n">
        <f>1836.81</f>
        <v>1836.81</v>
      </c>
      <c r="T312" s="32" t="n">
        <f>2647420</f>
        <v>2647420.0</v>
      </c>
      <c r="U312" s="32" t="n">
        <f>1762380</f>
        <v>1762380.0</v>
      </c>
      <c r="V312" s="32" t="n">
        <f>4902557979</f>
        <v>4.902557979E9</v>
      </c>
      <c r="W312" s="32" t="n">
        <f>3270890469</f>
        <v>3.270890469E9</v>
      </c>
      <c r="X312" s="36" t="n">
        <f>21</f>
        <v>21.0</v>
      </c>
    </row>
    <row r="313">
      <c r="A313" s="27" t="s">
        <v>42</v>
      </c>
      <c r="B313" s="27" t="s">
        <v>991</v>
      </c>
      <c r="C313" s="27" t="s">
        <v>992</v>
      </c>
      <c r="D313" s="27" t="s">
        <v>993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1779</f>
        <v>1779.0</v>
      </c>
      <c r="L313" s="34" t="s">
        <v>48</v>
      </c>
      <c r="M313" s="33" t="n">
        <f>1779</f>
        <v>1779.0</v>
      </c>
      <c r="N313" s="34" t="s">
        <v>48</v>
      </c>
      <c r="O313" s="33" t="n">
        <f>1650</f>
        <v>1650.0</v>
      </c>
      <c r="P313" s="34" t="s">
        <v>49</v>
      </c>
      <c r="Q313" s="33" t="n">
        <f>1700</f>
        <v>1700.0</v>
      </c>
      <c r="R313" s="34" t="s">
        <v>50</v>
      </c>
      <c r="S313" s="35" t="n">
        <f>1707.38</f>
        <v>1707.38</v>
      </c>
      <c r="T313" s="32" t="n">
        <f>4632</f>
        <v>4632.0</v>
      </c>
      <c r="U313" s="32" t="str">
        <f>"－"</f>
        <v>－</v>
      </c>
      <c r="V313" s="32" t="n">
        <f>7898603</f>
        <v>7898603.0</v>
      </c>
      <c r="W313" s="32" t="str">
        <f>"－"</f>
        <v>－</v>
      </c>
      <c r="X313" s="36" t="n">
        <f>21</f>
        <v>21.0</v>
      </c>
    </row>
    <row r="314">
      <c r="A314" s="27" t="s">
        <v>42</v>
      </c>
      <c r="B314" s="27" t="s">
        <v>994</v>
      </c>
      <c r="C314" s="27" t="s">
        <v>995</v>
      </c>
      <c r="D314" s="27" t="s">
        <v>996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1779</f>
        <v>1779.0</v>
      </c>
      <c r="L314" s="34" t="s">
        <v>174</v>
      </c>
      <c r="M314" s="33" t="n">
        <f>1809</f>
        <v>1809.0</v>
      </c>
      <c r="N314" s="34" t="s">
        <v>64</v>
      </c>
      <c r="O314" s="33" t="n">
        <f>1699</f>
        <v>1699.0</v>
      </c>
      <c r="P314" s="34" t="s">
        <v>49</v>
      </c>
      <c r="Q314" s="33" t="n">
        <f>1714</f>
        <v>1714.0</v>
      </c>
      <c r="R314" s="34" t="s">
        <v>50</v>
      </c>
      <c r="S314" s="35" t="n">
        <f>1750.84</f>
        <v>1750.84</v>
      </c>
      <c r="T314" s="32" t="n">
        <f>3460</f>
        <v>3460.0</v>
      </c>
      <c r="U314" s="32" t="str">
        <f>"－"</f>
        <v>－</v>
      </c>
      <c r="V314" s="32" t="n">
        <f>6116761</f>
        <v>6116761.0</v>
      </c>
      <c r="W314" s="32" t="str">
        <f>"－"</f>
        <v>－</v>
      </c>
      <c r="X314" s="36" t="n">
        <f>19</f>
        <v>19.0</v>
      </c>
    </row>
    <row r="315">
      <c r="A315" s="27" t="s">
        <v>42</v>
      </c>
      <c r="B315" s="27" t="s">
        <v>997</v>
      </c>
      <c r="C315" s="27" t="s">
        <v>998</v>
      </c>
      <c r="D315" s="27" t="s">
        <v>999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3900</f>
        <v>3900.0</v>
      </c>
      <c r="L315" s="34" t="s">
        <v>48</v>
      </c>
      <c r="M315" s="33" t="n">
        <f>3925</f>
        <v>3925.0</v>
      </c>
      <c r="N315" s="34" t="s">
        <v>116</v>
      </c>
      <c r="O315" s="33" t="n">
        <f>3645</f>
        <v>3645.0</v>
      </c>
      <c r="P315" s="34" t="s">
        <v>49</v>
      </c>
      <c r="Q315" s="33" t="n">
        <f>3700</f>
        <v>3700.0</v>
      </c>
      <c r="R315" s="34" t="s">
        <v>50</v>
      </c>
      <c r="S315" s="35" t="n">
        <f>3778.57</f>
        <v>3778.57</v>
      </c>
      <c r="T315" s="32" t="n">
        <f>194648</f>
        <v>194648.0</v>
      </c>
      <c r="U315" s="32" t="n">
        <f>76304</f>
        <v>76304.0</v>
      </c>
      <c r="V315" s="32" t="n">
        <f>737720540</f>
        <v>7.3772054E8</v>
      </c>
      <c r="W315" s="32" t="n">
        <f>289686835</f>
        <v>2.89686835E8</v>
      </c>
      <c r="X315" s="36" t="n">
        <f>21</f>
        <v>21.0</v>
      </c>
    </row>
    <row r="316">
      <c r="A316" s="27" t="s">
        <v>42</v>
      </c>
      <c r="B316" s="27" t="s">
        <v>1000</v>
      </c>
      <c r="C316" s="27" t="s">
        <v>1001</v>
      </c>
      <c r="D316" s="27" t="s">
        <v>1002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10.0</v>
      </c>
      <c r="K316" s="33" t="n">
        <f>2284</f>
        <v>2284.0</v>
      </c>
      <c r="L316" s="34" t="s">
        <v>213</v>
      </c>
      <c r="M316" s="33" t="n">
        <f>2284</f>
        <v>2284.0</v>
      </c>
      <c r="N316" s="34" t="s">
        <v>213</v>
      </c>
      <c r="O316" s="33" t="n">
        <f>2197</f>
        <v>2197.0</v>
      </c>
      <c r="P316" s="34" t="s">
        <v>50</v>
      </c>
      <c r="Q316" s="33" t="n">
        <f>2197</f>
        <v>2197.0</v>
      </c>
      <c r="R316" s="34" t="s">
        <v>50</v>
      </c>
      <c r="S316" s="35" t="n">
        <f>2235.13</f>
        <v>2235.13</v>
      </c>
      <c r="T316" s="32" t="n">
        <f>100</f>
        <v>100.0</v>
      </c>
      <c r="U316" s="32" t="str">
        <f>"－"</f>
        <v>－</v>
      </c>
      <c r="V316" s="32" t="n">
        <f>221745</f>
        <v>221745.0</v>
      </c>
      <c r="W316" s="32" t="str">
        <f>"－"</f>
        <v>－</v>
      </c>
      <c r="X316" s="36" t="n">
        <f>4</f>
        <v>4.0</v>
      </c>
    </row>
    <row r="317">
      <c r="A317" s="27" t="s">
        <v>42</v>
      </c>
      <c r="B317" s="27" t="s">
        <v>1003</v>
      </c>
      <c r="C317" s="27" t="s">
        <v>1004</v>
      </c>
      <c r="D317" s="27" t="s">
        <v>1005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10.0</v>
      </c>
      <c r="K317" s="33" t="n">
        <f>228</f>
        <v>228.0</v>
      </c>
      <c r="L317" s="34" t="s">
        <v>48</v>
      </c>
      <c r="M317" s="33" t="n">
        <f>236.9</f>
        <v>236.9</v>
      </c>
      <c r="N317" s="34" t="s">
        <v>174</v>
      </c>
      <c r="O317" s="33" t="n">
        <f>212.7</f>
        <v>212.7</v>
      </c>
      <c r="P317" s="34" t="s">
        <v>90</v>
      </c>
      <c r="Q317" s="33" t="n">
        <f>220.3</f>
        <v>220.3</v>
      </c>
      <c r="R317" s="34" t="s">
        <v>50</v>
      </c>
      <c r="S317" s="35" t="n">
        <f>223.95</f>
        <v>223.95</v>
      </c>
      <c r="T317" s="32" t="n">
        <f>26160</f>
        <v>26160.0</v>
      </c>
      <c r="U317" s="32" t="str">
        <f>"－"</f>
        <v>－</v>
      </c>
      <c r="V317" s="32" t="n">
        <f>5773574</f>
        <v>5773574.0</v>
      </c>
      <c r="W317" s="32" t="str">
        <f>"－"</f>
        <v>－</v>
      </c>
      <c r="X317" s="36" t="n">
        <f>21</f>
        <v>21.0</v>
      </c>
    </row>
    <row r="318">
      <c r="A318" s="27" t="s">
        <v>42</v>
      </c>
      <c r="B318" s="27" t="s">
        <v>1006</v>
      </c>
      <c r="C318" s="27" t="s">
        <v>1007</v>
      </c>
      <c r="D318" s="27" t="s">
        <v>1008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10.0</v>
      </c>
      <c r="K318" s="33" t="n">
        <f>188.2</f>
        <v>188.2</v>
      </c>
      <c r="L318" s="34" t="s">
        <v>48</v>
      </c>
      <c r="M318" s="33" t="n">
        <f>189.3</f>
        <v>189.3</v>
      </c>
      <c r="N318" s="34" t="s">
        <v>64</v>
      </c>
      <c r="O318" s="33" t="n">
        <f>180.5</f>
        <v>180.5</v>
      </c>
      <c r="P318" s="34" t="s">
        <v>213</v>
      </c>
      <c r="Q318" s="33" t="n">
        <f>182</f>
        <v>182.0</v>
      </c>
      <c r="R318" s="34" t="s">
        <v>50</v>
      </c>
      <c r="S318" s="35" t="n">
        <f>183.79</f>
        <v>183.79</v>
      </c>
      <c r="T318" s="32" t="n">
        <f>1666260</f>
        <v>1666260.0</v>
      </c>
      <c r="U318" s="32" t="n">
        <f>1654000</f>
        <v>1654000.0</v>
      </c>
      <c r="V318" s="32" t="n">
        <f>301667206</f>
        <v>3.01667206E8</v>
      </c>
      <c r="W318" s="32" t="n">
        <f>299410934</f>
        <v>2.99410934E8</v>
      </c>
      <c r="X318" s="36" t="n">
        <f>21</f>
        <v>21.0</v>
      </c>
    </row>
    <row r="319">
      <c r="A319" s="27" t="s">
        <v>42</v>
      </c>
      <c r="B319" s="27" t="s">
        <v>1009</v>
      </c>
      <c r="C319" s="27" t="s">
        <v>1010</v>
      </c>
      <c r="D319" s="27" t="s">
        <v>1011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10.0</v>
      </c>
      <c r="K319" s="33" t="n">
        <f>665.8</f>
        <v>665.8</v>
      </c>
      <c r="L319" s="34" t="s">
        <v>48</v>
      </c>
      <c r="M319" s="33" t="n">
        <f>676</f>
        <v>676.0</v>
      </c>
      <c r="N319" s="34" t="s">
        <v>64</v>
      </c>
      <c r="O319" s="33" t="n">
        <f>659.3</f>
        <v>659.3</v>
      </c>
      <c r="P319" s="34" t="s">
        <v>49</v>
      </c>
      <c r="Q319" s="33" t="n">
        <f>659.3</f>
        <v>659.3</v>
      </c>
      <c r="R319" s="34" t="s">
        <v>68</v>
      </c>
      <c r="S319" s="35" t="n">
        <f>665.03</f>
        <v>665.03</v>
      </c>
      <c r="T319" s="32" t="n">
        <f>2590</f>
        <v>2590.0</v>
      </c>
      <c r="U319" s="32" t="str">
        <f>"－"</f>
        <v>－</v>
      </c>
      <c r="V319" s="32" t="n">
        <f>1720813</f>
        <v>1720813.0</v>
      </c>
      <c r="W319" s="32" t="str">
        <f>"－"</f>
        <v>－</v>
      </c>
      <c r="X319" s="36" t="n">
        <f>15</f>
        <v>15.0</v>
      </c>
    </row>
    <row r="320">
      <c r="A320" s="27" t="s">
        <v>42</v>
      </c>
      <c r="B320" s="27" t="s">
        <v>1012</v>
      </c>
      <c r="C320" s="27" t="s">
        <v>1013</v>
      </c>
      <c r="D320" s="27" t="s">
        <v>1014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1154</f>
        <v>1154.0</v>
      </c>
      <c r="L320" s="34" t="s">
        <v>48</v>
      </c>
      <c r="M320" s="33" t="n">
        <f>1196</f>
        <v>1196.0</v>
      </c>
      <c r="N320" s="34" t="s">
        <v>72</v>
      </c>
      <c r="O320" s="33" t="n">
        <f>1076</f>
        <v>1076.0</v>
      </c>
      <c r="P320" s="34" t="s">
        <v>175</v>
      </c>
      <c r="Q320" s="33" t="n">
        <f>1098</f>
        <v>1098.0</v>
      </c>
      <c r="R320" s="34" t="s">
        <v>50</v>
      </c>
      <c r="S320" s="35" t="n">
        <f>1127.19</f>
        <v>1127.19</v>
      </c>
      <c r="T320" s="32" t="n">
        <f>78460</f>
        <v>78460.0</v>
      </c>
      <c r="U320" s="32" t="n">
        <f>1</f>
        <v>1.0</v>
      </c>
      <c r="V320" s="32" t="n">
        <f>89320468</f>
        <v>8.9320468E7</v>
      </c>
      <c r="W320" s="32" t="n">
        <f>1095</f>
        <v>1095.0</v>
      </c>
      <c r="X320" s="36" t="n">
        <f>21</f>
        <v>21.0</v>
      </c>
    </row>
    <row r="321">
      <c r="A321" s="27" t="s">
        <v>42</v>
      </c>
      <c r="B321" s="27" t="s">
        <v>1015</v>
      </c>
      <c r="C321" s="27" t="s">
        <v>1016</v>
      </c>
      <c r="D321" s="27" t="s">
        <v>1017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959</f>
        <v>959.0</v>
      </c>
      <c r="L321" s="34" t="s">
        <v>48</v>
      </c>
      <c r="M321" s="33" t="n">
        <f>963</f>
        <v>963.0</v>
      </c>
      <c r="N321" s="34" t="s">
        <v>116</v>
      </c>
      <c r="O321" s="33" t="n">
        <f>928</f>
        <v>928.0</v>
      </c>
      <c r="P321" s="34" t="s">
        <v>73</v>
      </c>
      <c r="Q321" s="33" t="n">
        <f>936</f>
        <v>936.0</v>
      </c>
      <c r="R321" s="34" t="s">
        <v>50</v>
      </c>
      <c r="S321" s="35" t="n">
        <f>944.1</f>
        <v>944.1</v>
      </c>
      <c r="T321" s="32" t="n">
        <f>947356</f>
        <v>947356.0</v>
      </c>
      <c r="U321" s="32" t="n">
        <f>540000</f>
        <v>540000.0</v>
      </c>
      <c r="V321" s="32" t="n">
        <f>887455276</f>
        <v>8.87455276E8</v>
      </c>
      <c r="W321" s="32" t="n">
        <f>504320330</f>
        <v>5.0432033E8</v>
      </c>
      <c r="X321" s="36" t="n">
        <f>21</f>
        <v>21.0</v>
      </c>
    </row>
    <row r="322">
      <c r="A322" s="27" t="s">
        <v>42</v>
      </c>
      <c r="B322" s="27" t="s">
        <v>1018</v>
      </c>
      <c r="C322" s="27" t="s">
        <v>1019</v>
      </c>
      <c r="D322" s="27" t="s">
        <v>1020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714.5</f>
        <v>714.5</v>
      </c>
      <c r="L322" s="34" t="s">
        <v>48</v>
      </c>
      <c r="M322" s="33" t="n">
        <f>714.5</f>
        <v>714.5</v>
      </c>
      <c r="N322" s="34" t="s">
        <v>48</v>
      </c>
      <c r="O322" s="33" t="n">
        <f>695.8</f>
        <v>695.8</v>
      </c>
      <c r="P322" s="34" t="s">
        <v>116</v>
      </c>
      <c r="Q322" s="33" t="n">
        <f>703.3</f>
        <v>703.3</v>
      </c>
      <c r="R322" s="34" t="s">
        <v>50</v>
      </c>
      <c r="S322" s="35" t="n">
        <f>705.39</f>
        <v>705.39</v>
      </c>
      <c r="T322" s="32" t="n">
        <f>859380</f>
        <v>859380.0</v>
      </c>
      <c r="U322" s="32" t="n">
        <f>211020</f>
        <v>211020.0</v>
      </c>
      <c r="V322" s="32" t="n">
        <f>603769608</f>
        <v>6.03769608E8</v>
      </c>
      <c r="W322" s="32" t="n">
        <f>148192288</f>
        <v>1.48192288E8</v>
      </c>
      <c r="X322" s="36" t="n">
        <f>21</f>
        <v>21.0</v>
      </c>
    </row>
    <row r="323">
      <c r="A323" s="27" t="s">
        <v>42</v>
      </c>
      <c r="B323" s="27" t="s">
        <v>1021</v>
      </c>
      <c r="C323" s="27" t="s">
        <v>1022</v>
      </c>
      <c r="D323" s="27" t="s">
        <v>1023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691.7</f>
        <v>691.7</v>
      </c>
      <c r="L323" s="34" t="s">
        <v>48</v>
      </c>
      <c r="M323" s="33" t="n">
        <f>693.8</f>
        <v>693.8</v>
      </c>
      <c r="N323" s="34" t="s">
        <v>64</v>
      </c>
      <c r="O323" s="33" t="n">
        <f>673.8</f>
        <v>673.8</v>
      </c>
      <c r="P323" s="34" t="s">
        <v>49</v>
      </c>
      <c r="Q323" s="33" t="n">
        <f>682.4</f>
        <v>682.4</v>
      </c>
      <c r="R323" s="34" t="s">
        <v>50</v>
      </c>
      <c r="S323" s="35" t="n">
        <f>681.69</f>
        <v>681.69</v>
      </c>
      <c r="T323" s="32" t="n">
        <f>1656730</f>
        <v>1656730.0</v>
      </c>
      <c r="U323" s="32" t="n">
        <f>1433000</f>
        <v>1433000.0</v>
      </c>
      <c r="V323" s="32" t="n">
        <f>1127018176</f>
        <v>1.127018176E9</v>
      </c>
      <c r="W323" s="32" t="n">
        <f>974949000</f>
        <v>9.74949E8</v>
      </c>
      <c r="X323" s="36" t="n">
        <f>20</f>
        <v>20.0</v>
      </c>
    </row>
    <row r="324">
      <c r="A324" s="27" t="s">
        <v>42</v>
      </c>
      <c r="B324" s="27" t="s">
        <v>1024</v>
      </c>
      <c r="C324" s="27" t="s">
        <v>1025</v>
      </c>
      <c r="D324" s="27" t="s">
        <v>1026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1142</f>
        <v>1142.0</v>
      </c>
      <c r="L324" s="34" t="s">
        <v>48</v>
      </c>
      <c r="M324" s="33" t="n">
        <f>1155</f>
        <v>1155.0</v>
      </c>
      <c r="N324" s="34" t="s">
        <v>64</v>
      </c>
      <c r="O324" s="33" t="n">
        <f>1051</f>
        <v>1051.0</v>
      </c>
      <c r="P324" s="34" t="s">
        <v>73</v>
      </c>
      <c r="Q324" s="33" t="n">
        <f>1103</f>
        <v>1103.0</v>
      </c>
      <c r="R324" s="34" t="s">
        <v>50</v>
      </c>
      <c r="S324" s="35" t="n">
        <f>1119.33</f>
        <v>1119.33</v>
      </c>
      <c r="T324" s="32" t="n">
        <f>743226</f>
        <v>743226.0</v>
      </c>
      <c r="U324" s="32" t="n">
        <f>626651</f>
        <v>626651.0</v>
      </c>
      <c r="V324" s="32" t="n">
        <f>843708928</f>
        <v>8.43708928E8</v>
      </c>
      <c r="W324" s="32" t="n">
        <f>714798517</f>
        <v>7.14798517E8</v>
      </c>
      <c r="X324" s="36" t="n">
        <f>21</f>
        <v>21.0</v>
      </c>
    </row>
    <row r="325">
      <c r="A325" s="27" t="s">
        <v>42</v>
      </c>
      <c r="B325" s="27" t="s">
        <v>1027</v>
      </c>
      <c r="C325" s="27" t="s">
        <v>1028</v>
      </c>
      <c r="D325" s="27" t="s">
        <v>1029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10.0</v>
      </c>
      <c r="K325" s="33" t="n">
        <f>2285</f>
        <v>2285.0</v>
      </c>
      <c r="L325" s="34" t="s">
        <v>48</v>
      </c>
      <c r="M325" s="33" t="n">
        <f>2291</f>
        <v>2291.0</v>
      </c>
      <c r="N325" s="34" t="s">
        <v>64</v>
      </c>
      <c r="O325" s="33" t="n">
        <f>2172.5</f>
        <v>2172.5</v>
      </c>
      <c r="P325" s="34" t="s">
        <v>90</v>
      </c>
      <c r="Q325" s="33" t="n">
        <f>2178</f>
        <v>2178.0</v>
      </c>
      <c r="R325" s="34" t="s">
        <v>50</v>
      </c>
      <c r="S325" s="35" t="n">
        <f>2223.64</f>
        <v>2223.64</v>
      </c>
      <c r="T325" s="32" t="n">
        <f>64700</f>
        <v>64700.0</v>
      </c>
      <c r="U325" s="32" t="str">
        <f>"－"</f>
        <v>－</v>
      </c>
      <c r="V325" s="32" t="n">
        <f>144751610</f>
        <v>1.4475161E8</v>
      </c>
      <c r="W325" s="32" t="str">
        <f>"－"</f>
        <v>－</v>
      </c>
      <c r="X325" s="36" t="n">
        <f>21</f>
        <v>21.0</v>
      </c>
    </row>
    <row r="326">
      <c r="A326" s="27" t="s">
        <v>42</v>
      </c>
      <c r="B326" s="27" t="s">
        <v>1030</v>
      </c>
      <c r="C326" s="27" t="s">
        <v>1031</v>
      </c>
      <c r="D326" s="27" t="s">
        <v>1032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10.0</v>
      </c>
      <c r="K326" s="33" t="n">
        <f>2270</f>
        <v>2270.0</v>
      </c>
      <c r="L326" s="34" t="s">
        <v>48</v>
      </c>
      <c r="M326" s="33" t="n">
        <f>2270</f>
        <v>2270.0</v>
      </c>
      <c r="N326" s="34" t="s">
        <v>48</v>
      </c>
      <c r="O326" s="33" t="n">
        <f>2113</f>
        <v>2113.0</v>
      </c>
      <c r="P326" s="34" t="s">
        <v>90</v>
      </c>
      <c r="Q326" s="33" t="n">
        <f>2128.5</f>
        <v>2128.5</v>
      </c>
      <c r="R326" s="34" t="s">
        <v>90</v>
      </c>
      <c r="S326" s="35" t="n">
        <f>2195.59</f>
        <v>2195.59</v>
      </c>
      <c r="T326" s="32" t="n">
        <f>59720</f>
        <v>59720.0</v>
      </c>
      <c r="U326" s="32" t="str">
        <f>"－"</f>
        <v>－</v>
      </c>
      <c r="V326" s="32" t="n">
        <f>131349410</f>
        <v>1.3134941E8</v>
      </c>
      <c r="W326" s="32" t="str">
        <f>"－"</f>
        <v>－</v>
      </c>
      <c r="X326" s="36" t="n">
        <f>16</f>
        <v>16.0</v>
      </c>
    </row>
    <row r="327">
      <c r="A327" s="27" t="s">
        <v>42</v>
      </c>
      <c r="B327" s="27" t="s">
        <v>1033</v>
      </c>
      <c r="C327" s="27" t="s">
        <v>1034</v>
      </c>
      <c r="D327" s="27" t="s">
        <v>1035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10.0</v>
      </c>
      <c r="K327" s="33" t="n">
        <f>4968</f>
        <v>4968.0</v>
      </c>
      <c r="L327" s="34" t="s">
        <v>174</v>
      </c>
      <c r="M327" s="33" t="n">
        <f>5093</f>
        <v>5093.0</v>
      </c>
      <c r="N327" s="34" t="s">
        <v>49</v>
      </c>
      <c r="O327" s="33" t="n">
        <f>4923</f>
        <v>4923.0</v>
      </c>
      <c r="P327" s="34" t="s">
        <v>73</v>
      </c>
      <c r="Q327" s="33" t="n">
        <f>5093</f>
        <v>5093.0</v>
      </c>
      <c r="R327" s="34" t="s">
        <v>49</v>
      </c>
      <c r="S327" s="35" t="n">
        <f>5016.83</f>
        <v>5016.83</v>
      </c>
      <c r="T327" s="32" t="n">
        <f>270</f>
        <v>270.0</v>
      </c>
      <c r="U327" s="32" t="str">
        <f>"－"</f>
        <v>－</v>
      </c>
      <c r="V327" s="32" t="n">
        <f>1366510</f>
        <v>1366510.0</v>
      </c>
      <c r="W327" s="32" t="str">
        <f>"－"</f>
        <v>－</v>
      </c>
      <c r="X327" s="36" t="n">
        <f>6</f>
        <v>6.0</v>
      </c>
    </row>
    <row r="328">
      <c r="A328" s="27" t="s">
        <v>42</v>
      </c>
      <c r="B328" s="27" t="s">
        <v>1036</v>
      </c>
      <c r="C328" s="27" t="s">
        <v>1037</v>
      </c>
      <c r="D328" s="27" t="s">
        <v>1038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10.0</v>
      </c>
      <c r="K328" s="33" t="n">
        <f>4217</f>
        <v>4217.0</v>
      </c>
      <c r="L328" s="34" t="s">
        <v>48</v>
      </c>
      <c r="M328" s="33" t="n">
        <f>4252</f>
        <v>4252.0</v>
      </c>
      <c r="N328" s="34" t="s">
        <v>174</v>
      </c>
      <c r="O328" s="33" t="n">
        <f>4158</f>
        <v>4158.0</v>
      </c>
      <c r="P328" s="34" t="s">
        <v>49</v>
      </c>
      <c r="Q328" s="33" t="n">
        <f>4218</f>
        <v>4218.0</v>
      </c>
      <c r="R328" s="34" t="s">
        <v>68</v>
      </c>
      <c r="S328" s="35" t="n">
        <f>4211.7</f>
        <v>4211.7</v>
      </c>
      <c r="T328" s="32" t="n">
        <f>40510</f>
        <v>40510.0</v>
      </c>
      <c r="U328" s="32" t="str">
        <f>"－"</f>
        <v>－</v>
      </c>
      <c r="V328" s="32" t="n">
        <f>170810250</f>
        <v>1.7081025E8</v>
      </c>
      <c r="W328" s="32" t="str">
        <f>"－"</f>
        <v>－</v>
      </c>
      <c r="X328" s="36" t="n">
        <f>10</f>
        <v>10.0</v>
      </c>
    </row>
    <row r="329">
      <c r="A329" s="27" t="s">
        <v>42</v>
      </c>
      <c r="B329" s="27" t="s">
        <v>1039</v>
      </c>
      <c r="C329" s="27" t="s">
        <v>1040</v>
      </c>
      <c r="D329" s="27" t="s">
        <v>1041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10.0</v>
      </c>
      <c r="K329" s="33" t="n">
        <f>1835.5</f>
        <v>1835.5</v>
      </c>
      <c r="L329" s="34" t="s">
        <v>48</v>
      </c>
      <c r="M329" s="33" t="n">
        <f>1841.5</f>
        <v>1841.5</v>
      </c>
      <c r="N329" s="34" t="s">
        <v>213</v>
      </c>
      <c r="O329" s="33" t="n">
        <f>1791</f>
        <v>1791.0</v>
      </c>
      <c r="P329" s="34" t="s">
        <v>60</v>
      </c>
      <c r="Q329" s="33" t="n">
        <f>1791</f>
        <v>1791.0</v>
      </c>
      <c r="R329" s="34" t="s">
        <v>60</v>
      </c>
      <c r="S329" s="35" t="n">
        <f>1818.61</f>
        <v>1818.61</v>
      </c>
      <c r="T329" s="32" t="n">
        <f>1580</f>
        <v>1580.0</v>
      </c>
      <c r="U329" s="32" t="str">
        <f>"－"</f>
        <v>－</v>
      </c>
      <c r="V329" s="32" t="n">
        <f>2861120</f>
        <v>2861120.0</v>
      </c>
      <c r="W329" s="32" t="str">
        <f>"－"</f>
        <v>－</v>
      </c>
      <c r="X329" s="36" t="n">
        <f>9</f>
        <v>9.0</v>
      </c>
    </row>
    <row r="330">
      <c r="A330" s="27" t="s">
        <v>42</v>
      </c>
      <c r="B330" s="27" t="s">
        <v>1042</v>
      </c>
      <c r="C330" s="27" t="s">
        <v>1043</v>
      </c>
      <c r="D330" s="27" t="s">
        <v>1044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1160</f>
        <v>1160.0</v>
      </c>
      <c r="L330" s="34" t="s">
        <v>48</v>
      </c>
      <c r="M330" s="33" t="n">
        <f>1178</f>
        <v>1178.0</v>
      </c>
      <c r="N330" s="34" t="s">
        <v>64</v>
      </c>
      <c r="O330" s="33" t="n">
        <f>1037</f>
        <v>1037.0</v>
      </c>
      <c r="P330" s="34" t="s">
        <v>175</v>
      </c>
      <c r="Q330" s="33" t="n">
        <f>1059</f>
        <v>1059.0</v>
      </c>
      <c r="R330" s="34" t="s">
        <v>50</v>
      </c>
      <c r="S330" s="35" t="n">
        <f>1113.05</f>
        <v>1113.05</v>
      </c>
      <c r="T330" s="32" t="n">
        <f>5372</f>
        <v>5372.0</v>
      </c>
      <c r="U330" s="32" t="str">
        <f>"－"</f>
        <v>－</v>
      </c>
      <c r="V330" s="32" t="n">
        <f>5914076</f>
        <v>5914076.0</v>
      </c>
      <c r="W330" s="32" t="str">
        <f>"－"</f>
        <v>－</v>
      </c>
      <c r="X330" s="36" t="n">
        <f>21</f>
        <v>21.0</v>
      </c>
    </row>
    <row r="331">
      <c r="A331" s="27" t="s">
        <v>42</v>
      </c>
      <c r="B331" s="27" t="s">
        <v>1045</v>
      </c>
      <c r="C331" s="27" t="s">
        <v>1046</v>
      </c>
      <c r="D331" s="27" t="s">
        <v>1047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1108</f>
        <v>1108.0</v>
      </c>
      <c r="L331" s="34" t="s">
        <v>48</v>
      </c>
      <c r="M331" s="33" t="n">
        <f>1117</f>
        <v>1117.0</v>
      </c>
      <c r="N331" s="34" t="s">
        <v>72</v>
      </c>
      <c r="O331" s="33" t="n">
        <f>1074</f>
        <v>1074.0</v>
      </c>
      <c r="P331" s="34" t="s">
        <v>90</v>
      </c>
      <c r="Q331" s="33" t="n">
        <f>1082</f>
        <v>1082.0</v>
      </c>
      <c r="R331" s="34" t="s">
        <v>50</v>
      </c>
      <c r="S331" s="35" t="n">
        <f>1097.33</f>
        <v>1097.33</v>
      </c>
      <c r="T331" s="32" t="n">
        <f>1413545</f>
        <v>1413545.0</v>
      </c>
      <c r="U331" s="32" t="n">
        <f>125</f>
        <v>125.0</v>
      </c>
      <c r="V331" s="32" t="n">
        <f>1545444007</f>
        <v>1.545444007E9</v>
      </c>
      <c r="W331" s="32" t="n">
        <f>142811</f>
        <v>142811.0</v>
      </c>
      <c r="X331" s="36" t="n">
        <f>21</f>
        <v>21.0</v>
      </c>
    </row>
    <row r="332">
      <c r="A332" s="27" t="s">
        <v>42</v>
      </c>
      <c r="B332" s="27" t="s">
        <v>1048</v>
      </c>
      <c r="C332" s="27" t="s">
        <v>1049</v>
      </c>
      <c r="D332" s="27" t="s">
        <v>1050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950</f>
        <v>950.0</v>
      </c>
      <c r="L332" s="34" t="s">
        <v>48</v>
      </c>
      <c r="M332" s="33" t="n">
        <f>955</f>
        <v>955.0</v>
      </c>
      <c r="N332" s="34" t="s">
        <v>48</v>
      </c>
      <c r="O332" s="33" t="n">
        <f>885</f>
        <v>885.0</v>
      </c>
      <c r="P332" s="34" t="s">
        <v>50</v>
      </c>
      <c r="Q332" s="33" t="n">
        <f>891</f>
        <v>891.0</v>
      </c>
      <c r="R332" s="34" t="s">
        <v>50</v>
      </c>
      <c r="S332" s="35" t="n">
        <f>908.52</f>
        <v>908.52</v>
      </c>
      <c r="T332" s="32" t="n">
        <f>2168124</f>
        <v>2168124.0</v>
      </c>
      <c r="U332" s="32" t="n">
        <f>203</f>
        <v>203.0</v>
      </c>
      <c r="V332" s="32" t="n">
        <f>1961287480</f>
        <v>1.96128748E9</v>
      </c>
      <c r="W332" s="32" t="n">
        <f>171377</f>
        <v>171377.0</v>
      </c>
      <c r="X332" s="36" t="n">
        <f>21</f>
        <v>21.0</v>
      </c>
    </row>
    <row r="333">
      <c r="A333" s="27" t="s">
        <v>42</v>
      </c>
      <c r="B333" s="27" t="s">
        <v>1051</v>
      </c>
      <c r="C333" s="27" t="s">
        <v>1052</v>
      </c>
      <c r="D333" s="27" t="s">
        <v>1053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1112</f>
        <v>1112.0</v>
      </c>
      <c r="L333" s="34" t="s">
        <v>48</v>
      </c>
      <c r="M333" s="33" t="n">
        <f>1124</f>
        <v>1124.0</v>
      </c>
      <c r="N333" s="34" t="s">
        <v>48</v>
      </c>
      <c r="O333" s="33" t="n">
        <f>975</f>
        <v>975.0</v>
      </c>
      <c r="P333" s="34" t="s">
        <v>50</v>
      </c>
      <c r="Q333" s="33" t="n">
        <f>979</f>
        <v>979.0</v>
      </c>
      <c r="R333" s="34" t="s">
        <v>50</v>
      </c>
      <c r="S333" s="35" t="n">
        <f>1057.33</f>
        <v>1057.33</v>
      </c>
      <c r="T333" s="32" t="n">
        <f>88057</f>
        <v>88057.0</v>
      </c>
      <c r="U333" s="32" t="str">
        <f>"－"</f>
        <v>－</v>
      </c>
      <c r="V333" s="32" t="n">
        <f>92725563</f>
        <v>9.2725563E7</v>
      </c>
      <c r="W333" s="32" t="str">
        <f>"－"</f>
        <v>－</v>
      </c>
      <c r="X333" s="36" t="n">
        <f>21</f>
        <v>21.0</v>
      </c>
    </row>
    <row r="334">
      <c r="A334" s="27" t="s">
        <v>42</v>
      </c>
      <c r="B334" s="27" t="s">
        <v>1054</v>
      </c>
      <c r="C334" s="27" t="s">
        <v>1055</v>
      </c>
      <c r="D334" s="27" t="s">
        <v>1056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1007</f>
        <v>1007.0</v>
      </c>
      <c r="L334" s="34" t="s">
        <v>48</v>
      </c>
      <c r="M334" s="33" t="n">
        <f>1016</f>
        <v>1016.0</v>
      </c>
      <c r="N334" s="34" t="s">
        <v>206</v>
      </c>
      <c r="O334" s="33" t="n">
        <f>974</f>
        <v>974.0</v>
      </c>
      <c r="P334" s="34" t="s">
        <v>90</v>
      </c>
      <c r="Q334" s="33" t="n">
        <f>984</f>
        <v>984.0</v>
      </c>
      <c r="R334" s="34" t="s">
        <v>50</v>
      </c>
      <c r="S334" s="35" t="n">
        <f>997.71</f>
        <v>997.71</v>
      </c>
      <c r="T334" s="32" t="n">
        <f>408781</f>
        <v>408781.0</v>
      </c>
      <c r="U334" s="32" t="str">
        <f>"－"</f>
        <v>－</v>
      </c>
      <c r="V334" s="32" t="n">
        <f>406561543</f>
        <v>4.06561543E8</v>
      </c>
      <c r="W334" s="32" t="str">
        <f>"－"</f>
        <v>－</v>
      </c>
      <c r="X334" s="36" t="n">
        <f>21</f>
        <v>21.0</v>
      </c>
    </row>
    <row r="335">
      <c r="A335" s="27" t="s">
        <v>42</v>
      </c>
      <c r="B335" s="27" t="s">
        <v>1057</v>
      </c>
      <c r="C335" s="27" t="s">
        <v>1058</v>
      </c>
      <c r="D335" s="27" t="s">
        <v>1059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27850</f>
        <v>27850.0</v>
      </c>
      <c r="L335" s="34" t="s">
        <v>48</v>
      </c>
      <c r="M335" s="33" t="n">
        <f>29635</f>
        <v>29635.0</v>
      </c>
      <c r="N335" s="34" t="s">
        <v>64</v>
      </c>
      <c r="O335" s="33" t="n">
        <f>25275</f>
        <v>25275.0</v>
      </c>
      <c r="P335" s="34" t="s">
        <v>68</v>
      </c>
      <c r="Q335" s="33" t="n">
        <f>25530</f>
        <v>25530.0</v>
      </c>
      <c r="R335" s="34" t="s">
        <v>50</v>
      </c>
      <c r="S335" s="35" t="n">
        <f>27591.67</f>
        <v>27591.67</v>
      </c>
      <c r="T335" s="32" t="n">
        <f>535529</f>
        <v>535529.0</v>
      </c>
      <c r="U335" s="32" t="str">
        <f>"－"</f>
        <v>－</v>
      </c>
      <c r="V335" s="32" t="n">
        <f>14767769680</f>
        <v>1.476776968E10</v>
      </c>
      <c r="W335" s="32" t="str">
        <f>"－"</f>
        <v>－</v>
      </c>
      <c r="X335" s="36" t="n">
        <f>21</f>
        <v>21.0</v>
      </c>
    </row>
    <row r="336">
      <c r="A336" s="27" t="s">
        <v>42</v>
      </c>
      <c r="B336" s="27" t="s">
        <v>1060</v>
      </c>
      <c r="C336" s="27" t="s">
        <v>1061</v>
      </c>
      <c r="D336" s="27" t="s">
        <v>1062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35810</f>
        <v>35810.0</v>
      </c>
      <c r="L336" s="34" t="s">
        <v>48</v>
      </c>
      <c r="M336" s="33" t="n">
        <f>38970</f>
        <v>38970.0</v>
      </c>
      <c r="N336" s="34" t="s">
        <v>68</v>
      </c>
      <c r="O336" s="33" t="n">
        <f>33530</f>
        <v>33530.0</v>
      </c>
      <c r="P336" s="34" t="s">
        <v>64</v>
      </c>
      <c r="Q336" s="33" t="n">
        <f>38640</f>
        <v>38640.0</v>
      </c>
      <c r="R336" s="34" t="s">
        <v>50</v>
      </c>
      <c r="S336" s="35" t="n">
        <f>36045.71</f>
        <v>36045.71</v>
      </c>
      <c r="T336" s="32" t="n">
        <f>371589</f>
        <v>371589.0</v>
      </c>
      <c r="U336" s="32" t="n">
        <f>12095</f>
        <v>12095.0</v>
      </c>
      <c r="V336" s="32" t="n">
        <f>13444561562</f>
        <v>1.3444561562E10</v>
      </c>
      <c r="W336" s="32" t="n">
        <f>440303872</f>
        <v>4.40303872E8</v>
      </c>
      <c r="X336" s="36" t="n">
        <f>21</f>
        <v>21.0</v>
      </c>
    </row>
    <row r="337">
      <c r="A337" s="27" t="s">
        <v>42</v>
      </c>
      <c r="B337" s="27" t="s">
        <v>1063</v>
      </c>
      <c r="C337" s="27" t="s">
        <v>1064</v>
      </c>
      <c r="D337" s="27" t="s">
        <v>1065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118800</f>
        <v>118800.0</v>
      </c>
      <c r="L337" s="34" t="s">
        <v>48</v>
      </c>
      <c r="M337" s="33" t="n">
        <f>119500</f>
        <v>119500.0</v>
      </c>
      <c r="N337" s="34" t="s">
        <v>50</v>
      </c>
      <c r="O337" s="33" t="n">
        <f>114800</f>
        <v>114800.0</v>
      </c>
      <c r="P337" s="34" t="s">
        <v>73</v>
      </c>
      <c r="Q337" s="33" t="n">
        <f>118400</f>
        <v>118400.0</v>
      </c>
      <c r="R337" s="34" t="s">
        <v>50</v>
      </c>
      <c r="S337" s="35" t="n">
        <f>117428.57</f>
        <v>117428.57</v>
      </c>
      <c r="T337" s="32" t="n">
        <f>14421</f>
        <v>14421.0</v>
      </c>
      <c r="U337" s="32" t="n">
        <f>2743</f>
        <v>2743.0</v>
      </c>
      <c r="V337" s="32" t="n">
        <f>1692264511</f>
        <v>1.692264511E9</v>
      </c>
      <c r="W337" s="32" t="n">
        <f>321145211</f>
        <v>3.21145211E8</v>
      </c>
      <c r="X337" s="36" t="n">
        <f>21</f>
        <v>21.0</v>
      </c>
    </row>
    <row r="338">
      <c r="A338" s="27" t="s">
        <v>42</v>
      </c>
      <c r="B338" s="27" t="s">
        <v>1066</v>
      </c>
      <c r="C338" s="27" t="s">
        <v>1067</v>
      </c>
      <c r="D338" s="27" t="s">
        <v>1068</v>
      </c>
      <c r="E338" s="28" t="s">
        <v>46</v>
      </c>
      <c r="F338" s="29" t="s">
        <v>46</v>
      </c>
      <c r="G338" s="30" t="s">
        <v>46</v>
      </c>
      <c r="H338" s="31"/>
      <c r="I338" s="31" t="s">
        <v>549</v>
      </c>
      <c r="J338" s="32" t="n">
        <v>1.0</v>
      </c>
      <c r="K338" s="33" t="n">
        <f>91200</f>
        <v>91200.0</v>
      </c>
      <c r="L338" s="34" t="s">
        <v>48</v>
      </c>
      <c r="M338" s="33" t="n">
        <f>94500</f>
        <v>94500.0</v>
      </c>
      <c r="N338" s="34" t="s">
        <v>206</v>
      </c>
      <c r="O338" s="33" t="n">
        <f>87700</f>
        <v>87700.0</v>
      </c>
      <c r="P338" s="34" t="s">
        <v>73</v>
      </c>
      <c r="Q338" s="33" t="n">
        <f>91600</f>
        <v>91600.0</v>
      </c>
      <c r="R338" s="34" t="s">
        <v>50</v>
      </c>
      <c r="S338" s="35" t="n">
        <f>91109.52</f>
        <v>91109.52</v>
      </c>
      <c r="T338" s="32" t="n">
        <f>34115</f>
        <v>34115.0</v>
      </c>
      <c r="U338" s="32" t="n">
        <f>6553</f>
        <v>6553.0</v>
      </c>
      <c r="V338" s="32" t="n">
        <f>3119079389</f>
        <v>3.119079389E9</v>
      </c>
      <c r="W338" s="32" t="n">
        <f>601736589</f>
        <v>6.01736589E8</v>
      </c>
      <c r="X338" s="36" t="n">
        <f>21</f>
        <v>21.0</v>
      </c>
    </row>
    <row r="339">
      <c r="A339" s="27" t="s">
        <v>42</v>
      </c>
      <c r="B339" s="27" t="s">
        <v>1069</v>
      </c>
      <c r="C339" s="27" t="s">
        <v>1070</v>
      </c>
      <c r="D339" s="27" t="s">
        <v>1071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123900</f>
        <v>123900.0</v>
      </c>
      <c r="L339" s="34" t="s">
        <v>48</v>
      </c>
      <c r="M339" s="33" t="n">
        <f>124400</f>
        <v>124400.0</v>
      </c>
      <c r="N339" s="34" t="s">
        <v>48</v>
      </c>
      <c r="O339" s="33" t="n">
        <f>117900</f>
        <v>117900.0</v>
      </c>
      <c r="P339" s="34" t="s">
        <v>175</v>
      </c>
      <c r="Q339" s="33" t="n">
        <f>119800</f>
        <v>119800.0</v>
      </c>
      <c r="R339" s="34" t="s">
        <v>50</v>
      </c>
      <c r="S339" s="35" t="n">
        <f>121204.76</f>
        <v>121204.76</v>
      </c>
      <c r="T339" s="32" t="n">
        <f>62111</f>
        <v>62111.0</v>
      </c>
      <c r="U339" s="32" t="n">
        <f>14322</f>
        <v>14322.0</v>
      </c>
      <c r="V339" s="32" t="n">
        <f>7523422275</f>
        <v>7.523422275E9</v>
      </c>
      <c r="W339" s="32" t="n">
        <f>1736743675</f>
        <v>1.736743675E9</v>
      </c>
      <c r="X339" s="36" t="n">
        <f>21</f>
        <v>21.0</v>
      </c>
    </row>
    <row r="340">
      <c r="A340" s="27" t="s">
        <v>42</v>
      </c>
      <c r="B340" s="27" t="s">
        <v>1072</v>
      </c>
      <c r="C340" s="27" t="s">
        <v>1073</v>
      </c>
      <c r="D340" s="27" t="s">
        <v>1074</v>
      </c>
      <c r="E340" s="28" t="s">
        <v>46</v>
      </c>
      <c r="F340" s="29" t="s">
        <v>46</v>
      </c>
      <c r="G340" s="30" t="s">
        <v>46</v>
      </c>
      <c r="H340" s="31"/>
      <c r="I340" s="31" t="s">
        <v>549</v>
      </c>
      <c r="J340" s="32" t="n">
        <v>1.0</v>
      </c>
      <c r="K340" s="33" t="n">
        <f>124000</f>
        <v>124000.0</v>
      </c>
      <c r="L340" s="34" t="s">
        <v>48</v>
      </c>
      <c r="M340" s="33" t="n">
        <f>127500</f>
        <v>127500.0</v>
      </c>
      <c r="N340" s="34" t="s">
        <v>116</v>
      </c>
      <c r="O340" s="33" t="n">
        <f>119500</f>
        <v>119500.0</v>
      </c>
      <c r="P340" s="34" t="s">
        <v>73</v>
      </c>
      <c r="Q340" s="33" t="n">
        <f>125900</f>
        <v>125900.0</v>
      </c>
      <c r="R340" s="34" t="s">
        <v>50</v>
      </c>
      <c r="S340" s="35" t="n">
        <f>124704.76</f>
        <v>124704.76</v>
      </c>
      <c r="T340" s="32" t="n">
        <f>16950</f>
        <v>16950.0</v>
      </c>
      <c r="U340" s="32" t="n">
        <f>2183</f>
        <v>2183.0</v>
      </c>
      <c r="V340" s="32" t="n">
        <f>2108581979</f>
        <v>2.108581979E9</v>
      </c>
      <c r="W340" s="32" t="n">
        <f>272376979</f>
        <v>2.72376979E8</v>
      </c>
      <c r="X340" s="36" t="n">
        <f>21</f>
        <v>21.0</v>
      </c>
    </row>
    <row r="341">
      <c r="A341" s="27" t="s">
        <v>42</v>
      </c>
      <c r="B341" s="27" t="s">
        <v>1075</v>
      </c>
      <c r="C341" s="27" t="s">
        <v>1076</v>
      </c>
      <c r="D341" s="27" t="s">
        <v>1077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631000</f>
        <v>631000.0</v>
      </c>
      <c r="L341" s="34" t="s">
        <v>48</v>
      </c>
      <c r="M341" s="33" t="n">
        <f>636000</f>
        <v>636000.0</v>
      </c>
      <c r="N341" s="34" t="s">
        <v>48</v>
      </c>
      <c r="O341" s="33" t="n">
        <f>601000</f>
        <v>601000.0</v>
      </c>
      <c r="P341" s="34" t="s">
        <v>276</v>
      </c>
      <c r="Q341" s="33" t="n">
        <f>609000</f>
        <v>609000.0</v>
      </c>
      <c r="R341" s="34" t="s">
        <v>50</v>
      </c>
      <c r="S341" s="35" t="n">
        <f>616952.38</f>
        <v>616952.38</v>
      </c>
      <c r="T341" s="32" t="n">
        <f>33302</f>
        <v>33302.0</v>
      </c>
      <c r="U341" s="32" t="n">
        <f>6747</f>
        <v>6747.0</v>
      </c>
      <c r="V341" s="32" t="n">
        <f>20506178975</f>
        <v>2.0506178975E10</v>
      </c>
      <c r="W341" s="32" t="n">
        <f>4154729975</f>
        <v>4.154729975E9</v>
      </c>
      <c r="X341" s="36" t="n">
        <f>21</f>
        <v>21.0</v>
      </c>
    </row>
    <row r="342">
      <c r="A342" s="27" t="s">
        <v>42</v>
      </c>
      <c r="B342" s="27" t="s">
        <v>1078</v>
      </c>
      <c r="C342" s="27" t="s">
        <v>1079</v>
      </c>
      <c r="D342" s="27" t="s">
        <v>1080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141700</f>
        <v>141700.0</v>
      </c>
      <c r="L342" s="34" t="s">
        <v>48</v>
      </c>
      <c r="M342" s="33" t="n">
        <f>143700</f>
        <v>143700.0</v>
      </c>
      <c r="N342" s="34" t="s">
        <v>213</v>
      </c>
      <c r="O342" s="33" t="n">
        <f>138200</f>
        <v>138200.0</v>
      </c>
      <c r="P342" s="34" t="s">
        <v>73</v>
      </c>
      <c r="Q342" s="33" t="n">
        <f>141500</f>
        <v>141500.0</v>
      </c>
      <c r="R342" s="34" t="s">
        <v>50</v>
      </c>
      <c r="S342" s="35" t="n">
        <f>140919.05</f>
        <v>140919.05</v>
      </c>
      <c r="T342" s="32" t="n">
        <f>85866</f>
        <v>85866.0</v>
      </c>
      <c r="U342" s="32" t="n">
        <f>19897</f>
        <v>19897.0</v>
      </c>
      <c r="V342" s="32" t="n">
        <f>12096189622</f>
        <v>1.2096189622E10</v>
      </c>
      <c r="W342" s="32" t="n">
        <f>2801097922</f>
        <v>2.801097922E9</v>
      </c>
      <c r="X342" s="36" t="n">
        <f>21</f>
        <v>21.0</v>
      </c>
    </row>
    <row r="343">
      <c r="A343" s="27" t="s">
        <v>42</v>
      </c>
      <c r="B343" s="27" t="s">
        <v>1081</v>
      </c>
      <c r="C343" s="27" t="s">
        <v>1082</v>
      </c>
      <c r="D343" s="27" t="s">
        <v>1083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138500</f>
        <v>138500.0</v>
      </c>
      <c r="L343" s="34" t="s">
        <v>48</v>
      </c>
      <c r="M343" s="33" t="n">
        <f>140100</f>
        <v>140100.0</v>
      </c>
      <c r="N343" s="34" t="s">
        <v>64</v>
      </c>
      <c r="O343" s="33" t="n">
        <f>133300</f>
        <v>133300.0</v>
      </c>
      <c r="P343" s="34" t="s">
        <v>175</v>
      </c>
      <c r="Q343" s="33" t="n">
        <f>135700</f>
        <v>135700.0</v>
      </c>
      <c r="R343" s="34" t="s">
        <v>50</v>
      </c>
      <c r="S343" s="35" t="n">
        <f>136752.38</f>
        <v>136752.38</v>
      </c>
      <c r="T343" s="32" t="n">
        <f>121296</f>
        <v>121296.0</v>
      </c>
      <c r="U343" s="32" t="n">
        <f>24411</f>
        <v>24411.0</v>
      </c>
      <c r="V343" s="32" t="n">
        <f>16574921909</f>
        <v>1.6574921909E10</v>
      </c>
      <c r="W343" s="32" t="n">
        <f>3336810609</f>
        <v>3.336810609E9</v>
      </c>
      <c r="X343" s="36" t="n">
        <f>21</f>
        <v>21.0</v>
      </c>
    </row>
    <row r="344">
      <c r="A344" s="27" t="s">
        <v>42</v>
      </c>
      <c r="B344" s="27" t="s">
        <v>1084</v>
      </c>
      <c r="C344" s="27" t="s">
        <v>1085</v>
      </c>
      <c r="D344" s="27" t="s">
        <v>1086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337500</f>
        <v>337500.0</v>
      </c>
      <c r="L344" s="34" t="s">
        <v>48</v>
      </c>
      <c r="M344" s="33" t="n">
        <f>341500</f>
        <v>341500.0</v>
      </c>
      <c r="N344" s="34" t="s">
        <v>48</v>
      </c>
      <c r="O344" s="33" t="n">
        <f>322000</f>
        <v>322000.0</v>
      </c>
      <c r="P344" s="34" t="s">
        <v>175</v>
      </c>
      <c r="Q344" s="33" t="n">
        <f>328500</f>
        <v>328500.0</v>
      </c>
      <c r="R344" s="34" t="s">
        <v>50</v>
      </c>
      <c r="S344" s="35" t="n">
        <f>331238.1</f>
        <v>331238.1</v>
      </c>
      <c r="T344" s="32" t="n">
        <f>104177</f>
        <v>104177.0</v>
      </c>
      <c r="U344" s="32" t="n">
        <f>23850</f>
        <v>23850.0</v>
      </c>
      <c r="V344" s="32" t="n">
        <f>34581691216</f>
        <v>3.4581691216E10</v>
      </c>
      <c r="W344" s="32" t="n">
        <f>7908435716</f>
        <v>7.908435716E9</v>
      </c>
      <c r="X344" s="36" t="n">
        <f>21</f>
        <v>21.0</v>
      </c>
    </row>
    <row r="345">
      <c r="A345" s="27" t="s">
        <v>42</v>
      </c>
      <c r="B345" s="27" t="s">
        <v>1087</v>
      </c>
      <c r="C345" s="27" t="s">
        <v>1088</v>
      </c>
      <c r="D345" s="27" t="s">
        <v>1089</v>
      </c>
      <c r="E345" s="28" t="s">
        <v>1090</v>
      </c>
      <c r="F345" s="29" t="s">
        <v>1091</v>
      </c>
      <c r="G345" s="30" t="s">
        <v>1092</v>
      </c>
      <c r="H345" s="31"/>
      <c r="I345" s="31"/>
      <c r="J345" s="32" t="n">
        <v>1.0</v>
      </c>
      <c r="K345" s="33" t="n">
        <f>229200</f>
        <v>229200.0</v>
      </c>
      <c r="L345" s="34" t="s">
        <v>48</v>
      </c>
      <c r="M345" s="33" t="n">
        <f>231600</f>
        <v>231600.0</v>
      </c>
      <c r="N345" s="34" t="s">
        <v>213</v>
      </c>
      <c r="O345" s="33" t="n">
        <f>210500</f>
        <v>210500.0</v>
      </c>
      <c r="P345" s="34" t="s">
        <v>68</v>
      </c>
      <c r="Q345" s="33" t="n">
        <f>210500</f>
        <v>210500.0</v>
      </c>
      <c r="R345" s="34" t="s">
        <v>68</v>
      </c>
      <c r="S345" s="35" t="n">
        <f>225131.58</f>
        <v>225131.58</v>
      </c>
      <c r="T345" s="32" t="n">
        <f>224903</f>
        <v>224903.0</v>
      </c>
      <c r="U345" s="32" t="n">
        <f>102376</f>
        <v>102376.0</v>
      </c>
      <c r="V345" s="32" t="n">
        <f>48792938501</f>
        <v>4.8792938501E10</v>
      </c>
      <c r="W345" s="32" t="n">
        <f>21782220801</f>
        <v>2.1782220801E10</v>
      </c>
      <c r="X345" s="36" t="n">
        <f>19</f>
        <v>19.0</v>
      </c>
    </row>
    <row r="346">
      <c r="A346" s="27" t="s">
        <v>42</v>
      </c>
      <c r="B346" s="27" t="s">
        <v>1093</v>
      </c>
      <c r="C346" s="27" t="s">
        <v>1094</v>
      </c>
      <c r="D346" s="27" t="s">
        <v>1095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412500</f>
        <v>412500.0</v>
      </c>
      <c r="L346" s="34" t="s">
        <v>48</v>
      </c>
      <c r="M346" s="33" t="n">
        <f>420000</f>
        <v>420000.0</v>
      </c>
      <c r="N346" s="34" t="s">
        <v>213</v>
      </c>
      <c r="O346" s="33" t="n">
        <f>402000</f>
        <v>402000.0</v>
      </c>
      <c r="P346" s="34" t="s">
        <v>49</v>
      </c>
      <c r="Q346" s="33" t="n">
        <f>408500</f>
        <v>408500.0</v>
      </c>
      <c r="R346" s="34" t="s">
        <v>50</v>
      </c>
      <c r="S346" s="35" t="n">
        <f>409928.57</f>
        <v>409928.57</v>
      </c>
      <c r="T346" s="32" t="n">
        <f>47745</f>
        <v>47745.0</v>
      </c>
      <c r="U346" s="32" t="n">
        <f>10796</f>
        <v>10796.0</v>
      </c>
      <c r="V346" s="32" t="n">
        <f>19571336218</f>
        <v>1.9571336218E10</v>
      </c>
      <c r="W346" s="32" t="n">
        <f>4424085218</f>
        <v>4.424085218E9</v>
      </c>
      <c r="X346" s="36" t="n">
        <f>21</f>
        <v>21.0</v>
      </c>
    </row>
    <row r="347">
      <c r="A347" s="27" t="s">
        <v>42</v>
      </c>
      <c r="B347" s="27" t="s">
        <v>1096</v>
      </c>
      <c r="C347" s="27" t="s">
        <v>1097</v>
      </c>
      <c r="D347" s="27" t="s">
        <v>1098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133700</f>
        <v>133700.0</v>
      </c>
      <c r="L347" s="34" t="s">
        <v>48</v>
      </c>
      <c r="M347" s="33" t="n">
        <f>137400</f>
        <v>137400.0</v>
      </c>
      <c r="N347" s="34" t="s">
        <v>286</v>
      </c>
      <c r="O347" s="33" t="n">
        <f>127100</f>
        <v>127100.0</v>
      </c>
      <c r="P347" s="34" t="s">
        <v>73</v>
      </c>
      <c r="Q347" s="33" t="n">
        <f>135500</f>
        <v>135500.0</v>
      </c>
      <c r="R347" s="34" t="s">
        <v>50</v>
      </c>
      <c r="S347" s="35" t="n">
        <f>133095.24</f>
        <v>133095.24</v>
      </c>
      <c r="T347" s="32" t="n">
        <f>379888</f>
        <v>379888.0</v>
      </c>
      <c r="U347" s="32" t="n">
        <f>101466</f>
        <v>101466.0</v>
      </c>
      <c r="V347" s="32" t="n">
        <f>50641903755</f>
        <v>5.0641903755E10</v>
      </c>
      <c r="W347" s="32" t="n">
        <f>13538306955</f>
        <v>1.3538306955E10</v>
      </c>
      <c r="X347" s="36" t="n">
        <f>21</f>
        <v>21.0</v>
      </c>
    </row>
    <row r="348">
      <c r="A348" s="27" t="s">
        <v>42</v>
      </c>
      <c r="B348" s="27" t="s">
        <v>1099</v>
      </c>
      <c r="C348" s="27" t="s">
        <v>1100</v>
      </c>
      <c r="D348" s="27" t="s">
        <v>1101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331500</f>
        <v>331500.0</v>
      </c>
      <c r="L348" s="34" t="s">
        <v>48</v>
      </c>
      <c r="M348" s="33" t="n">
        <f>335500</f>
        <v>335500.0</v>
      </c>
      <c r="N348" s="34" t="s">
        <v>213</v>
      </c>
      <c r="O348" s="33" t="n">
        <f>303000</f>
        <v>303000.0</v>
      </c>
      <c r="P348" s="34" t="s">
        <v>276</v>
      </c>
      <c r="Q348" s="33" t="n">
        <f>321000</f>
        <v>321000.0</v>
      </c>
      <c r="R348" s="34" t="s">
        <v>50</v>
      </c>
      <c r="S348" s="35" t="n">
        <f>321119.05</f>
        <v>321119.05</v>
      </c>
      <c r="T348" s="32" t="n">
        <f>75833</f>
        <v>75833.0</v>
      </c>
      <c r="U348" s="32" t="n">
        <f>18226</f>
        <v>18226.0</v>
      </c>
      <c r="V348" s="32" t="n">
        <f>24186793175</f>
        <v>2.4186793175E10</v>
      </c>
      <c r="W348" s="32" t="n">
        <f>5808413175</f>
        <v>5.808413175E9</v>
      </c>
      <c r="X348" s="36" t="n">
        <f>21</f>
        <v>21.0</v>
      </c>
    </row>
    <row r="349">
      <c r="A349" s="27" t="s">
        <v>42</v>
      </c>
      <c r="B349" s="27" t="s">
        <v>1102</v>
      </c>
      <c r="C349" s="27" t="s">
        <v>1103</v>
      </c>
      <c r="D349" s="27" t="s">
        <v>1104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279400</f>
        <v>279400.0</v>
      </c>
      <c r="L349" s="34" t="s">
        <v>48</v>
      </c>
      <c r="M349" s="33" t="n">
        <f>289600</f>
        <v>289600.0</v>
      </c>
      <c r="N349" s="34" t="s">
        <v>64</v>
      </c>
      <c r="O349" s="33" t="n">
        <f>264200</f>
        <v>264200.0</v>
      </c>
      <c r="P349" s="34" t="s">
        <v>49</v>
      </c>
      <c r="Q349" s="33" t="n">
        <f>268800</f>
        <v>268800.0</v>
      </c>
      <c r="R349" s="34" t="s">
        <v>50</v>
      </c>
      <c r="S349" s="35" t="n">
        <f>276328.57</f>
        <v>276328.57</v>
      </c>
      <c r="T349" s="32" t="n">
        <f>179604</f>
        <v>179604.0</v>
      </c>
      <c r="U349" s="32" t="n">
        <f>39988</f>
        <v>39988.0</v>
      </c>
      <c r="V349" s="32" t="n">
        <f>49559244716</f>
        <v>4.9559244716E10</v>
      </c>
      <c r="W349" s="32" t="n">
        <f>11052409016</f>
        <v>1.1052409016E10</v>
      </c>
      <c r="X349" s="36" t="n">
        <f>21</f>
        <v>21.0</v>
      </c>
    </row>
    <row r="350">
      <c r="A350" s="27" t="s">
        <v>42</v>
      </c>
      <c r="B350" s="27" t="s">
        <v>1105</v>
      </c>
      <c r="C350" s="27" t="s">
        <v>1106</v>
      </c>
      <c r="D350" s="27" t="s">
        <v>1107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658000</f>
        <v>658000.0</v>
      </c>
      <c r="L350" s="34" t="s">
        <v>48</v>
      </c>
      <c r="M350" s="33" t="n">
        <f>662000</f>
        <v>662000.0</v>
      </c>
      <c r="N350" s="34" t="s">
        <v>48</v>
      </c>
      <c r="O350" s="33" t="n">
        <f>589000</f>
        <v>589000.0</v>
      </c>
      <c r="P350" s="34" t="s">
        <v>50</v>
      </c>
      <c r="Q350" s="33" t="n">
        <f>594000</f>
        <v>594000.0</v>
      </c>
      <c r="R350" s="34" t="s">
        <v>50</v>
      </c>
      <c r="S350" s="35" t="n">
        <f>619523.81</f>
        <v>619523.81</v>
      </c>
      <c r="T350" s="32" t="n">
        <f>30106</f>
        <v>30106.0</v>
      </c>
      <c r="U350" s="32" t="n">
        <f>6129</f>
        <v>6129.0</v>
      </c>
      <c r="V350" s="32" t="n">
        <f>18666688008</f>
        <v>1.8666688008E10</v>
      </c>
      <c r="W350" s="32" t="n">
        <f>3813783008</f>
        <v>3.813783008E9</v>
      </c>
      <c r="X350" s="36" t="n">
        <f>21</f>
        <v>21.0</v>
      </c>
    </row>
    <row r="351">
      <c r="A351" s="27" t="s">
        <v>42</v>
      </c>
      <c r="B351" s="27" t="s">
        <v>1108</v>
      </c>
      <c r="C351" s="27" t="s">
        <v>1109</v>
      </c>
      <c r="D351" s="27" t="s">
        <v>1110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259000</f>
        <v>259000.0</v>
      </c>
      <c r="L351" s="34" t="s">
        <v>48</v>
      </c>
      <c r="M351" s="33" t="n">
        <f>263900</f>
        <v>263900.0</v>
      </c>
      <c r="N351" s="34" t="s">
        <v>286</v>
      </c>
      <c r="O351" s="33" t="n">
        <f>248200</f>
        <v>248200.0</v>
      </c>
      <c r="P351" s="34" t="s">
        <v>73</v>
      </c>
      <c r="Q351" s="33" t="n">
        <f>261800</f>
        <v>261800.0</v>
      </c>
      <c r="R351" s="34" t="s">
        <v>50</v>
      </c>
      <c r="S351" s="35" t="n">
        <f>255647.62</f>
        <v>255647.62</v>
      </c>
      <c r="T351" s="32" t="n">
        <f>19631</f>
        <v>19631.0</v>
      </c>
      <c r="U351" s="32" t="n">
        <f>3499</f>
        <v>3499.0</v>
      </c>
      <c r="V351" s="32" t="n">
        <f>5030313314</f>
        <v>5.030313314E9</v>
      </c>
      <c r="W351" s="32" t="n">
        <f>894949114</f>
        <v>8.94949114E8</v>
      </c>
      <c r="X351" s="36" t="n">
        <f>21</f>
        <v>21.0</v>
      </c>
    </row>
    <row r="352">
      <c r="A352" s="27" t="s">
        <v>42</v>
      </c>
      <c r="B352" s="27" t="s">
        <v>1111</v>
      </c>
      <c r="C352" s="27" t="s">
        <v>1112</v>
      </c>
      <c r="D352" s="27" t="s">
        <v>1113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146200</f>
        <v>146200.0</v>
      </c>
      <c r="L352" s="34" t="s">
        <v>48</v>
      </c>
      <c r="M352" s="33" t="n">
        <f>147500</f>
        <v>147500.0</v>
      </c>
      <c r="N352" s="34" t="s">
        <v>174</v>
      </c>
      <c r="O352" s="33" t="n">
        <f>142500</f>
        <v>142500.0</v>
      </c>
      <c r="P352" s="34" t="s">
        <v>49</v>
      </c>
      <c r="Q352" s="33" t="n">
        <f>144000</f>
        <v>144000.0</v>
      </c>
      <c r="R352" s="34" t="s">
        <v>50</v>
      </c>
      <c r="S352" s="35" t="n">
        <f>145142.86</f>
        <v>145142.86</v>
      </c>
      <c r="T352" s="32" t="n">
        <f>98810</f>
        <v>98810.0</v>
      </c>
      <c r="U352" s="32" t="n">
        <f>21243</f>
        <v>21243.0</v>
      </c>
      <c r="V352" s="32" t="n">
        <f>14336116501</f>
        <v>1.4336116501E10</v>
      </c>
      <c r="W352" s="32" t="n">
        <f>3080670901</f>
        <v>3.080670901E9</v>
      </c>
      <c r="X352" s="36" t="n">
        <f>21</f>
        <v>21.0</v>
      </c>
    </row>
    <row r="353">
      <c r="A353" s="27" t="s">
        <v>42</v>
      </c>
      <c r="B353" s="27" t="s">
        <v>1114</v>
      </c>
      <c r="C353" s="27" t="s">
        <v>1115</v>
      </c>
      <c r="D353" s="27" t="s">
        <v>1116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159500</f>
        <v>159500.0</v>
      </c>
      <c r="L353" s="34" t="s">
        <v>48</v>
      </c>
      <c r="M353" s="33" t="n">
        <f>160500</f>
        <v>160500.0</v>
      </c>
      <c r="N353" s="34" t="s">
        <v>213</v>
      </c>
      <c r="O353" s="33" t="n">
        <f>150500</f>
        <v>150500.0</v>
      </c>
      <c r="P353" s="34" t="s">
        <v>175</v>
      </c>
      <c r="Q353" s="33" t="n">
        <f>154200</f>
        <v>154200.0</v>
      </c>
      <c r="R353" s="34" t="s">
        <v>50</v>
      </c>
      <c r="S353" s="35" t="n">
        <f>156090.48</f>
        <v>156090.48</v>
      </c>
      <c r="T353" s="32" t="n">
        <f>99320</f>
        <v>99320.0</v>
      </c>
      <c r="U353" s="32" t="n">
        <f>21585</f>
        <v>21585.0</v>
      </c>
      <c r="V353" s="32" t="n">
        <f>15502760369</f>
        <v>1.5502760369E10</v>
      </c>
      <c r="W353" s="32" t="n">
        <f>3370223169</f>
        <v>3.370223169E9</v>
      </c>
      <c r="X353" s="36" t="n">
        <f>21</f>
        <v>21.0</v>
      </c>
    </row>
    <row r="354">
      <c r="A354" s="27" t="s">
        <v>42</v>
      </c>
      <c r="B354" s="27" t="s">
        <v>1117</v>
      </c>
      <c r="C354" s="27" t="s">
        <v>1118</v>
      </c>
      <c r="D354" s="27" t="s">
        <v>1119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358000</f>
        <v>358000.0</v>
      </c>
      <c r="L354" s="34" t="s">
        <v>48</v>
      </c>
      <c r="M354" s="33" t="n">
        <f>361000</f>
        <v>361000.0</v>
      </c>
      <c r="N354" s="34" t="s">
        <v>48</v>
      </c>
      <c r="O354" s="33" t="n">
        <f>343500</f>
        <v>343500.0</v>
      </c>
      <c r="P354" s="34" t="s">
        <v>175</v>
      </c>
      <c r="Q354" s="33" t="n">
        <f>349000</f>
        <v>349000.0</v>
      </c>
      <c r="R354" s="34" t="s">
        <v>50</v>
      </c>
      <c r="S354" s="35" t="n">
        <f>352261.9</f>
        <v>352261.9</v>
      </c>
      <c r="T354" s="32" t="n">
        <f>29462</f>
        <v>29462.0</v>
      </c>
      <c r="U354" s="32" t="n">
        <f>6703</f>
        <v>6703.0</v>
      </c>
      <c r="V354" s="32" t="n">
        <f>10374274975</f>
        <v>1.0374274975E10</v>
      </c>
      <c r="W354" s="32" t="n">
        <f>2363346975</f>
        <v>2.363346975E9</v>
      </c>
      <c r="X354" s="36" t="n">
        <f>21</f>
        <v>21.0</v>
      </c>
    </row>
    <row r="355">
      <c r="A355" s="27" t="s">
        <v>42</v>
      </c>
      <c r="B355" s="27" t="s">
        <v>1120</v>
      </c>
      <c r="C355" s="27" t="s">
        <v>1121</v>
      </c>
      <c r="D355" s="27" t="s">
        <v>1122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83300</f>
        <v>83300.0</v>
      </c>
      <c r="L355" s="34" t="s">
        <v>48</v>
      </c>
      <c r="M355" s="33" t="n">
        <f>84500</f>
        <v>84500.0</v>
      </c>
      <c r="N355" s="34" t="s">
        <v>213</v>
      </c>
      <c r="O355" s="33" t="n">
        <f>78900</f>
        <v>78900.0</v>
      </c>
      <c r="P355" s="34" t="s">
        <v>50</v>
      </c>
      <c r="Q355" s="33" t="n">
        <f>79600</f>
        <v>79600.0</v>
      </c>
      <c r="R355" s="34" t="s">
        <v>50</v>
      </c>
      <c r="S355" s="35" t="n">
        <f>81980.95</f>
        <v>81980.95</v>
      </c>
      <c r="T355" s="32" t="n">
        <f>316258</f>
        <v>316258.0</v>
      </c>
      <c r="U355" s="32" t="n">
        <f>98091</f>
        <v>98091.0</v>
      </c>
      <c r="V355" s="32" t="n">
        <f>25924792132</f>
        <v>2.5924792132E10</v>
      </c>
      <c r="W355" s="32" t="n">
        <f>8037540232</f>
        <v>8.037540232E9</v>
      </c>
      <c r="X355" s="36" t="n">
        <f>21</f>
        <v>21.0</v>
      </c>
    </row>
    <row r="356">
      <c r="A356" s="27" t="s">
        <v>42</v>
      </c>
      <c r="B356" s="27" t="s">
        <v>1123</v>
      </c>
      <c r="C356" s="27" t="s">
        <v>1124</v>
      </c>
      <c r="D356" s="27" t="s">
        <v>1125</v>
      </c>
      <c r="E356" s="28" t="s">
        <v>46</v>
      </c>
      <c r="F356" s="29" t="s">
        <v>46</v>
      </c>
      <c r="G356" s="30" t="s">
        <v>46</v>
      </c>
      <c r="H356" s="31"/>
      <c r="I356" s="31" t="s">
        <v>549</v>
      </c>
      <c r="J356" s="32" t="n">
        <v>1.0</v>
      </c>
      <c r="K356" s="33" t="n">
        <f>141100</f>
        <v>141100.0</v>
      </c>
      <c r="L356" s="34" t="s">
        <v>48</v>
      </c>
      <c r="M356" s="33" t="n">
        <f>142700</f>
        <v>142700.0</v>
      </c>
      <c r="N356" s="34" t="s">
        <v>116</v>
      </c>
      <c r="O356" s="33" t="n">
        <f>134000</f>
        <v>134000.0</v>
      </c>
      <c r="P356" s="34" t="s">
        <v>90</v>
      </c>
      <c r="Q356" s="33" t="n">
        <f>136300</f>
        <v>136300.0</v>
      </c>
      <c r="R356" s="34" t="s">
        <v>50</v>
      </c>
      <c r="S356" s="35" t="n">
        <f>140228.57</f>
        <v>140228.57</v>
      </c>
      <c r="T356" s="32" t="n">
        <f>28898</f>
        <v>28898.0</v>
      </c>
      <c r="U356" s="32" t="n">
        <f>3212</f>
        <v>3212.0</v>
      </c>
      <c r="V356" s="32" t="n">
        <f>4043314287</f>
        <v>4.043314287E9</v>
      </c>
      <c r="W356" s="32" t="n">
        <f>451618987</f>
        <v>4.51618987E8</v>
      </c>
      <c r="X356" s="36" t="n">
        <f>21</f>
        <v>21.0</v>
      </c>
    </row>
    <row r="357">
      <c r="A357" s="27" t="s">
        <v>42</v>
      </c>
      <c r="B357" s="27" t="s">
        <v>1126</v>
      </c>
      <c r="C357" s="27" t="s">
        <v>1127</v>
      </c>
      <c r="D357" s="27" t="s">
        <v>1128</v>
      </c>
      <c r="E357" s="28" t="s">
        <v>1090</v>
      </c>
      <c r="F357" s="29" t="s">
        <v>1091</v>
      </c>
      <c r="G357" s="30" t="s">
        <v>1092</v>
      </c>
      <c r="H357" s="31"/>
      <c r="I357" s="31"/>
      <c r="J357" s="32" t="n">
        <v>1.0</v>
      </c>
      <c r="K357" s="33" t="n">
        <f>289000</f>
        <v>289000.0</v>
      </c>
      <c r="L357" s="34" t="s">
        <v>48</v>
      </c>
      <c r="M357" s="33" t="n">
        <f>295300</f>
        <v>295300.0</v>
      </c>
      <c r="N357" s="34" t="s">
        <v>64</v>
      </c>
      <c r="O357" s="33" t="n">
        <f>268000</f>
        <v>268000.0</v>
      </c>
      <c r="P357" s="34" t="s">
        <v>68</v>
      </c>
      <c r="Q357" s="33" t="n">
        <f>268000</f>
        <v>268000.0</v>
      </c>
      <c r="R357" s="34" t="s">
        <v>68</v>
      </c>
      <c r="S357" s="35" t="n">
        <f>287357.89</f>
        <v>287357.89</v>
      </c>
      <c r="T357" s="32" t="n">
        <f>145883</f>
        <v>145883.0</v>
      </c>
      <c r="U357" s="32" t="n">
        <f>63030</f>
        <v>63030.0</v>
      </c>
      <c r="V357" s="32" t="n">
        <f>40503647219</f>
        <v>4.0503647219E10</v>
      </c>
      <c r="W357" s="32" t="n">
        <f>17134886219</f>
        <v>1.7134886219E10</v>
      </c>
      <c r="X357" s="36" t="n">
        <f>19</f>
        <v>19.0</v>
      </c>
    </row>
    <row r="358">
      <c r="A358" s="27" t="s">
        <v>42</v>
      </c>
      <c r="B358" s="27" t="s">
        <v>1129</v>
      </c>
      <c r="C358" s="27" t="s">
        <v>1130</v>
      </c>
      <c r="D358" s="27" t="s">
        <v>1131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146000</f>
        <v>146000.0</v>
      </c>
      <c r="L358" s="34" t="s">
        <v>48</v>
      </c>
      <c r="M358" s="33" t="n">
        <f>146800</f>
        <v>146800.0</v>
      </c>
      <c r="N358" s="34" t="s">
        <v>48</v>
      </c>
      <c r="O358" s="33" t="n">
        <f>136800</f>
        <v>136800.0</v>
      </c>
      <c r="P358" s="34" t="s">
        <v>49</v>
      </c>
      <c r="Q358" s="33" t="n">
        <f>141400</f>
        <v>141400.0</v>
      </c>
      <c r="R358" s="34" t="s">
        <v>50</v>
      </c>
      <c r="S358" s="35" t="n">
        <f>141771.43</f>
        <v>141771.43</v>
      </c>
      <c r="T358" s="32" t="n">
        <f>19877</f>
        <v>19877.0</v>
      </c>
      <c r="U358" s="32" t="n">
        <f>3905</f>
        <v>3905.0</v>
      </c>
      <c r="V358" s="32" t="n">
        <f>2813933145</f>
        <v>2.813933145E9</v>
      </c>
      <c r="W358" s="32" t="n">
        <f>552946445</f>
        <v>5.52946445E8</v>
      </c>
      <c r="X358" s="36" t="n">
        <f>21</f>
        <v>21.0</v>
      </c>
    </row>
    <row r="359">
      <c r="A359" s="27" t="s">
        <v>42</v>
      </c>
      <c r="B359" s="27" t="s">
        <v>1132</v>
      </c>
      <c r="C359" s="27" t="s">
        <v>1133</v>
      </c>
      <c r="D359" s="27" t="s">
        <v>1134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115300</f>
        <v>115300.0</v>
      </c>
      <c r="L359" s="34" t="s">
        <v>48</v>
      </c>
      <c r="M359" s="33" t="n">
        <f>115800</f>
        <v>115800.0</v>
      </c>
      <c r="N359" s="34" t="s">
        <v>48</v>
      </c>
      <c r="O359" s="33" t="n">
        <f>111500</f>
        <v>111500.0</v>
      </c>
      <c r="P359" s="34" t="s">
        <v>49</v>
      </c>
      <c r="Q359" s="33" t="n">
        <f>112800</f>
        <v>112800.0</v>
      </c>
      <c r="R359" s="34" t="s">
        <v>50</v>
      </c>
      <c r="S359" s="35" t="n">
        <f>113557.14</f>
        <v>113557.14</v>
      </c>
      <c r="T359" s="32" t="n">
        <f>18665</f>
        <v>18665.0</v>
      </c>
      <c r="U359" s="32" t="n">
        <f>3719</f>
        <v>3719.0</v>
      </c>
      <c r="V359" s="32" t="n">
        <f>2117454731</f>
        <v>2.117454731E9</v>
      </c>
      <c r="W359" s="32" t="n">
        <f>421530831</f>
        <v>4.21530831E8</v>
      </c>
      <c r="X359" s="36" t="n">
        <f>21</f>
        <v>21.0</v>
      </c>
    </row>
    <row r="360">
      <c r="A360" s="27" t="s">
        <v>42</v>
      </c>
      <c r="B360" s="27" t="s">
        <v>1135</v>
      </c>
      <c r="C360" s="27" t="s">
        <v>1136</v>
      </c>
      <c r="D360" s="27" t="s">
        <v>1137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167800</f>
        <v>167800.0</v>
      </c>
      <c r="L360" s="34" t="s">
        <v>48</v>
      </c>
      <c r="M360" s="33" t="n">
        <f>170900</f>
        <v>170900.0</v>
      </c>
      <c r="N360" s="34" t="s">
        <v>213</v>
      </c>
      <c r="O360" s="33" t="n">
        <f>163800</f>
        <v>163800.0</v>
      </c>
      <c r="P360" s="34" t="s">
        <v>73</v>
      </c>
      <c r="Q360" s="33" t="n">
        <f>166900</f>
        <v>166900.0</v>
      </c>
      <c r="R360" s="34" t="s">
        <v>50</v>
      </c>
      <c r="S360" s="35" t="n">
        <f>167333.33</f>
        <v>167333.33</v>
      </c>
      <c r="T360" s="32" t="n">
        <f>272524</f>
        <v>272524.0</v>
      </c>
      <c r="U360" s="32" t="n">
        <f>60934</f>
        <v>60934.0</v>
      </c>
      <c r="V360" s="32" t="n">
        <f>45618073626</f>
        <v>4.5618073626E10</v>
      </c>
      <c r="W360" s="32" t="n">
        <f>10195747026</f>
        <v>1.0195747026E10</v>
      </c>
      <c r="X360" s="36" t="n">
        <f>21</f>
        <v>21.0</v>
      </c>
    </row>
    <row r="361">
      <c r="A361" s="27" t="s">
        <v>42</v>
      </c>
      <c r="B361" s="27" t="s">
        <v>1138</v>
      </c>
      <c r="C361" s="27" t="s">
        <v>1139</v>
      </c>
      <c r="D361" s="27" t="s">
        <v>1140</v>
      </c>
      <c r="E361" s="28" t="s">
        <v>46</v>
      </c>
      <c r="F361" s="29" t="s">
        <v>46</v>
      </c>
      <c r="G361" s="30" t="s">
        <v>46</v>
      </c>
      <c r="H361" s="31"/>
      <c r="I361" s="31" t="s">
        <v>549</v>
      </c>
      <c r="J361" s="32" t="n">
        <v>1.0</v>
      </c>
      <c r="K361" s="33" t="n">
        <f>116800</f>
        <v>116800.0</v>
      </c>
      <c r="L361" s="34" t="s">
        <v>48</v>
      </c>
      <c r="M361" s="33" t="n">
        <f>117100</f>
        <v>117100.0</v>
      </c>
      <c r="N361" s="34" t="s">
        <v>48</v>
      </c>
      <c r="O361" s="33" t="n">
        <f>102600</f>
        <v>102600.0</v>
      </c>
      <c r="P361" s="34" t="s">
        <v>49</v>
      </c>
      <c r="Q361" s="33" t="n">
        <f>104600</f>
        <v>104600.0</v>
      </c>
      <c r="R361" s="34" t="s">
        <v>50</v>
      </c>
      <c r="S361" s="35" t="n">
        <f>108061.9</f>
        <v>108061.9</v>
      </c>
      <c r="T361" s="32" t="n">
        <f>28225</f>
        <v>28225.0</v>
      </c>
      <c r="U361" s="32" t="n">
        <f>3600</f>
        <v>3600.0</v>
      </c>
      <c r="V361" s="32" t="n">
        <f>3044451273</f>
        <v>3.044451273E9</v>
      </c>
      <c r="W361" s="32" t="n">
        <f>386297873</f>
        <v>3.86297873E8</v>
      </c>
      <c r="X361" s="36" t="n">
        <f>21</f>
        <v>21.0</v>
      </c>
    </row>
    <row r="362">
      <c r="A362" s="27" t="s">
        <v>42</v>
      </c>
      <c r="B362" s="27" t="s">
        <v>1141</v>
      </c>
      <c r="C362" s="27" t="s">
        <v>1142</v>
      </c>
      <c r="D362" s="27" t="s">
        <v>1143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143700</f>
        <v>143700.0</v>
      </c>
      <c r="L362" s="34" t="s">
        <v>48</v>
      </c>
      <c r="M362" s="33" t="n">
        <f>151800</f>
        <v>151800.0</v>
      </c>
      <c r="N362" s="34" t="s">
        <v>68</v>
      </c>
      <c r="O362" s="33" t="n">
        <f>138200</f>
        <v>138200.0</v>
      </c>
      <c r="P362" s="34" t="s">
        <v>73</v>
      </c>
      <c r="Q362" s="33" t="n">
        <f>148200</f>
        <v>148200.0</v>
      </c>
      <c r="R362" s="34" t="s">
        <v>50</v>
      </c>
      <c r="S362" s="35" t="n">
        <f>145914.29</f>
        <v>145914.29</v>
      </c>
      <c r="T362" s="32" t="n">
        <f>138035</f>
        <v>138035.0</v>
      </c>
      <c r="U362" s="32" t="n">
        <f>30944</f>
        <v>30944.0</v>
      </c>
      <c r="V362" s="32" t="n">
        <f>20214459219</f>
        <v>2.0214459219E10</v>
      </c>
      <c r="W362" s="32" t="n">
        <f>4521491719</f>
        <v>4.521491719E9</v>
      </c>
      <c r="X362" s="36" t="n">
        <f>21</f>
        <v>21.0</v>
      </c>
    </row>
    <row r="363">
      <c r="A363" s="27" t="s">
        <v>42</v>
      </c>
      <c r="B363" s="27" t="s">
        <v>1144</v>
      </c>
      <c r="C363" s="27" t="s">
        <v>1145</v>
      </c>
      <c r="D363" s="27" t="s">
        <v>1146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58200</f>
        <v>58200.0</v>
      </c>
      <c r="L363" s="34" t="s">
        <v>48</v>
      </c>
      <c r="M363" s="33" t="n">
        <f>59900</f>
        <v>59900.0</v>
      </c>
      <c r="N363" s="34" t="s">
        <v>116</v>
      </c>
      <c r="O363" s="33" t="n">
        <f>55600</f>
        <v>55600.0</v>
      </c>
      <c r="P363" s="34" t="s">
        <v>73</v>
      </c>
      <c r="Q363" s="33" t="n">
        <f>57000</f>
        <v>57000.0</v>
      </c>
      <c r="R363" s="34" t="s">
        <v>50</v>
      </c>
      <c r="S363" s="35" t="n">
        <f>57900</f>
        <v>57900.0</v>
      </c>
      <c r="T363" s="32" t="n">
        <f>205555</f>
        <v>205555.0</v>
      </c>
      <c r="U363" s="32" t="n">
        <f>50912</f>
        <v>50912.0</v>
      </c>
      <c r="V363" s="32" t="n">
        <f>11899866167</f>
        <v>1.1899866167E10</v>
      </c>
      <c r="W363" s="32" t="n">
        <f>2949204667</f>
        <v>2.949204667E9</v>
      </c>
      <c r="X363" s="36" t="n">
        <f>21</f>
        <v>21.0</v>
      </c>
    </row>
    <row r="364">
      <c r="A364" s="27" t="s">
        <v>42</v>
      </c>
      <c r="B364" s="27" t="s">
        <v>1147</v>
      </c>
      <c r="C364" s="27" t="s">
        <v>1148</v>
      </c>
      <c r="D364" s="27" t="s">
        <v>1149</v>
      </c>
      <c r="E364" s="28" t="s">
        <v>46</v>
      </c>
      <c r="F364" s="29" t="s">
        <v>46</v>
      </c>
      <c r="G364" s="30" t="s">
        <v>46</v>
      </c>
      <c r="H364" s="31"/>
      <c r="I364" s="31" t="s">
        <v>549</v>
      </c>
      <c r="J364" s="32" t="n">
        <v>1.0</v>
      </c>
      <c r="K364" s="33" t="n">
        <f>126300</f>
        <v>126300.0</v>
      </c>
      <c r="L364" s="34" t="s">
        <v>48</v>
      </c>
      <c r="M364" s="33" t="n">
        <f>128700</f>
        <v>128700.0</v>
      </c>
      <c r="N364" s="34" t="s">
        <v>116</v>
      </c>
      <c r="O364" s="33" t="n">
        <f>122200</f>
        <v>122200.0</v>
      </c>
      <c r="P364" s="34" t="s">
        <v>73</v>
      </c>
      <c r="Q364" s="33" t="n">
        <f>126900</f>
        <v>126900.0</v>
      </c>
      <c r="R364" s="34" t="s">
        <v>50</v>
      </c>
      <c r="S364" s="35" t="n">
        <f>126314.29</f>
        <v>126314.29</v>
      </c>
      <c r="T364" s="32" t="n">
        <f>16249</f>
        <v>16249.0</v>
      </c>
      <c r="U364" s="32" t="n">
        <f>2136</f>
        <v>2136.0</v>
      </c>
      <c r="V364" s="32" t="n">
        <f>2047884895</f>
        <v>2.047884895E9</v>
      </c>
      <c r="W364" s="32" t="n">
        <f>269669695</f>
        <v>2.69669695E8</v>
      </c>
      <c r="X364" s="36" t="n">
        <f>21</f>
        <v>21.0</v>
      </c>
    </row>
    <row r="365">
      <c r="A365" s="27" t="s">
        <v>42</v>
      </c>
      <c r="B365" s="27" t="s">
        <v>1150</v>
      </c>
      <c r="C365" s="27" t="s">
        <v>1151</v>
      </c>
      <c r="D365" s="27" t="s">
        <v>1152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472000</f>
        <v>472000.0</v>
      </c>
      <c r="L365" s="34" t="s">
        <v>48</v>
      </c>
      <c r="M365" s="33" t="n">
        <f>485000</f>
        <v>485000.0</v>
      </c>
      <c r="N365" s="34" t="s">
        <v>116</v>
      </c>
      <c r="O365" s="33" t="n">
        <f>453500</f>
        <v>453500.0</v>
      </c>
      <c r="P365" s="34" t="s">
        <v>276</v>
      </c>
      <c r="Q365" s="33" t="n">
        <f>456500</f>
        <v>456500.0</v>
      </c>
      <c r="R365" s="34" t="s">
        <v>50</v>
      </c>
      <c r="S365" s="35" t="n">
        <f>467952.38</f>
        <v>467952.38</v>
      </c>
      <c r="T365" s="32" t="n">
        <f>37913</f>
        <v>37913.0</v>
      </c>
      <c r="U365" s="32" t="n">
        <f>6846</f>
        <v>6846.0</v>
      </c>
      <c r="V365" s="32" t="n">
        <f>17722419739</f>
        <v>1.7722419739E10</v>
      </c>
      <c r="W365" s="32" t="n">
        <f>3203704239</f>
        <v>3.203704239E9</v>
      </c>
      <c r="X365" s="36" t="n">
        <f>21</f>
        <v>21.0</v>
      </c>
    </row>
    <row r="366">
      <c r="A366" s="27" t="s">
        <v>42</v>
      </c>
      <c r="B366" s="27" t="s">
        <v>1153</v>
      </c>
      <c r="C366" s="27" t="s">
        <v>1154</v>
      </c>
      <c r="D366" s="27" t="s">
        <v>1155</v>
      </c>
      <c r="E366" s="28" t="s">
        <v>46</v>
      </c>
      <c r="F366" s="29" t="s">
        <v>46</v>
      </c>
      <c r="G366" s="30" t="s">
        <v>46</v>
      </c>
      <c r="H366" s="31"/>
      <c r="I366" s="31" t="s">
        <v>549</v>
      </c>
      <c r="J366" s="32" t="n">
        <v>1.0</v>
      </c>
      <c r="K366" s="33" t="n">
        <f>65400</f>
        <v>65400.0</v>
      </c>
      <c r="L366" s="34" t="s">
        <v>48</v>
      </c>
      <c r="M366" s="33" t="n">
        <f>65700</f>
        <v>65700.0</v>
      </c>
      <c r="N366" s="34" t="s">
        <v>48</v>
      </c>
      <c r="O366" s="33" t="n">
        <f>63400</f>
        <v>63400.0</v>
      </c>
      <c r="P366" s="34" t="s">
        <v>73</v>
      </c>
      <c r="Q366" s="33" t="n">
        <f>65000</f>
        <v>65000.0</v>
      </c>
      <c r="R366" s="34" t="s">
        <v>50</v>
      </c>
      <c r="S366" s="35" t="n">
        <f>64419.05</f>
        <v>64419.05</v>
      </c>
      <c r="T366" s="32" t="n">
        <f>14251</f>
        <v>14251.0</v>
      </c>
      <c r="U366" s="32" t="n">
        <f>1673</f>
        <v>1673.0</v>
      </c>
      <c r="V366" s="32" t="n">
        <f>918488284</f>
        <v>9.18488284E8</v>
      </c>
      <c r="W366" s="32" t="n">
        <f>107523384</f>
        <v>1.07523384E8</v>
      </c>
      <c r="X366" s="36" t="n">
        <f>21</f>
        <v>21.0</v>
      </c>
    </row>
    <row r="367">
      <c r="A367" s="27" t="s">
        <v>42</v>
      </c>
      <c r="B367" s="27" t="s">
        <v>1156</v>
      </c>
      <c r="C367" s="27" t="s">
        <v>1157</v>
      </c>
      <c r="D367" s="27" t="s">
        <v>1158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47350</f>
        <v>47350.0</v>
      </c>
      <c r="L367" s="34" t="s">
        <v>48</v>
      </c>
      <c r="M367" s="33" t="n">
        <f>47900</f>
        <v>47900.0</v>
      </c>
      <c r="N367" s="34" t="s">
        <v>48</v>
      </c>
      <c r="O367" s="33" t="n">
        <f>45100</f>
        <v>45100.0</v>
      </c>
      <c r="P367" s="34" t="s">
        <v>90</v>
      </c>
      <c r="Q367" s="33" t="n">
        <f>45650</f>
        <v>45650.0</v>
      </c>
      <c r="R367" s="34" t="s">
        <v>50</v>
      </c>
      <c r="S367" s="35" t="n">
        <f>46933.33</f>
        <v>46933.33</v>
      </c>
      <c r="T367" s="32" t="n">
        <f>143054</f>
        <v>143054.0</v>
      </c>
      <c r="U367" s="32" t="n">
        <f>18961</f>
        <v>18961.0</v>
      </c>
      <c r="V367" s="32" t="n">
        <f>6708243777</f>
        <v>6.708243777E9</v>
      </c>
      <c r="W367" s="32" t="n">
        <f>889996627</f>
        <v>8.89996627E8</v>
      </c>
      <c r="X367" s="36" t="n">
        <f>21</f>
        <v>21.0</v>
      </c>
    </row>
    <row r="368">
      <c r="A368" s="27" t="s">
        <v>42</v>
      </c>
      <c r="B368" s="27" t="s">
        <v>1159</v>
      </c>
      <c r="C368" s="27" t="s">
        <v>1160</v>
      </c>
      <c r="D368" s="27" t="s">
        <v>1161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377500</f>
        <v>377500.0</v>
      </c>
      <c r="L368" s="34" t="s">
        <v>48</v>
      </c>
      <c r="M368" s="33" t="n">
        <f>385000</f>
        <v>385000.0</v>
      </c>
      <c r="N368" s="34" t="s">
        <v>116</v>
      </c>
      <c r="O368" s="33" t="n">
        <f>360500</f>
        <v>360500.0</v>
      </c>
      <c r="P368" s="34" t="s">
        <v>73</v>
      </c>
      <c r="Q368" s="33" t="n">
        <f>380500</f>
        <v>380500.0</v>
      </c>
      <c r="R368" s="34" t="s">
        <v>50</v>
      </c>
      <c r="S368" s="35" t="n">
        <f>376095.24</f>
        <v>376095.24</v>
      </c>
      <c r="T368" s="32" t="n">
        <f>37204</f>
        <v>37204.0</v>
      </c>
      <c r="U368" s="32" t="n">
        <f>7876</f>
        <v>7876.0</v>
      </c>
      <c r="V368" s="32" t="n">
        <f>14004057017</f>
        <v>1.4004057017E10</v>
      </c>
      <c r="W368" s="32" t="n">
        <f>2958904017</f>
        <v>2.958904017E9</v>
      </c>
      <c r="X368" s="36" t="n">
        <f>21</f>
        <v>21.0</v>
      </c>
    </row>
    <row r="369">
      <c r="A369" s="27" t="s">
        <v>42</v>
      </c>
      <c r="B369" s="27" t="s">
        <v>1162</v>
      </c>
      <c r="C369" s="27" t="s">
        <v>1163</v>
      </c>
      <c r="D369" s="27" t="s">
        <v>1164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165000</f>
        <v>165000.0</v>
      </c>
      <c r="L369" s="34" t="s">
        <v>48</v>
      </c>
      <c r="M369" s="33" t="n">
        <f>165400</f>
        <v>165400.0</v>
      </c>
      <c r="N369" s="34" t="s">
        <v>48</v>
      </c>
      <c r="O369" s="33" t="n">
        <f>156200</f>
        <v>156200.0</v>
      </c>
      <c r="P369" s="34" t="s">
        <v>175</v>
      </c>
      <c r="Q369" s="33" t="n">
        <f>159000</f>
        <v>159000.0</v>
      </c>
      <c r="R369" s="34" t="s">
        <v>50</v>
      </c>
      <c r="S369" s="35" t="n">
        <f>160838.1</f>
        <v>160838.1</v>
      </c>
      <c r="T369" s="32" t="n">
        <f>35315</f>
        <v>35315.0</v>
      </c>
      <c r="U369" s="32" t="n">
        <f>7548</f>
        <v>7548.0</v>
      </c>
      <c r="V369" s="32" t="n">
        <f>5674568264</f>
        <v>5.674568264E9</v>
      </c>
      <c r="W369" s="32" t="n">
        <f>1213981064</f>
        <v>1.213981064E9</v>
      </c>
      <c r="X369" s="36" t="n">
        <f>21</f>
        <v>21.0</v>
      </c>
    </row>
    <row r="370">
      <c r="A370" s="27" t="s">
        <v>42</v>
      </c>
      <c r="B370" s="27" t="s">
        <v>1165</v>
      </c>
      <c r="C370" s="27" t="s">
        <v>1166</v>
      </c>
      <c r="D370" s="27" t="s">
        <v>1167</v>
      </c>
      <c r="E370" s="28" t="s">
        <v>46</v>
      </c>
      <c r="F370" s="29" t="s">
        <v>46</v>
      </c>
      <c r="G370" s="30" t="s">
        <v>46</v>
      </c>
      <c r="H370" s="31"/>
      <c r="I370" s="31" t="s">
        <v>549</v>
      </c>
      <c r="J370" s="32" t="n">
        <v>1.0</v>
      </c>
      <c r="K370" s="33" t="n">
        <f>115700</f>
        <v>115700.0</v>
      </c>
      <c r="L370" s="34" t="s">
        <v>48</v>
      </c>
      <c r="M370" s="33" t="n">
        <f>116800</f>
        <v>116800.0</v>
      </c>
      <c r="N370" s="34" t="s">
        <v>68</v>
      </c>
      <c r="O370" s="33" t="n">
        <f>109800</f>
        <v>109800.0</v>
      </c>
      <c r="P370" s="34" t="s">
        <v>741</v>
      </c>
      <c r="Q370" s="33" t="n">
        <f>116800</f>
        <v>116800.0</v>
      </c>
      <c r="R370" s="34" t="s">
        <v>50</v>
      </c>
      <c r="S370" s="35" t="n">
        <f>115100</f>
        <v>115100.0</v>
      </c>
      <c r="T370" s="32" t="n">
        <f>13675</f>
        <v>13675.0</v>
      </c>
      <c r="U370" s="32" t="n">
        <f>2140</f>
        <v>2140.0</v>
      </c>
      <c r="V370" s="32" t="n">
        <f>1571024345</f>
        <v>1.571024345E9</v>
      </c>
      <c r="W370" s="32" t="n">
        <f>246333545</f>
        <v>2.46333545E8</v>
      </c>
      <c r="X370" s="36" t="n">
        <f>21</f>
        <v>21.0</v>
      </c>
    </row>
    <row r="371">
      <c r="A371" s="27" t="s">
        <v>42</v>
      </c>
      <c r="B371" s="27" t="s">
        <v>1168</v>
      </c>
      <c r="C371" s="27" t="s">
        <v>1169</v>
      </c>
      <c r="D371" s="27" t="s">
        <v>1170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97500</f>
        <v>97500.0</v>
      </c>
      <c r="L371" s="34" t="s">
        <v>48</v>
      </c>
      <c r="M371" s="33" t="n">
        <f>99300</f>
        <v>99300.0</v>
      </c>
      <c r="N371" s="34" t="s">
        <v>68</v>
      </c>
      <c r="O371" s="33" t="n">
        <f>94800</f>
        <v>94800.0</v>
      </c>
      <c r="P371" s="34" t="s">
        <v>73</v>
      </c>
      <c r="Q371" s="33" t="n">
        <f>99000</f>
        <v>99000.0</v>
      </c>
      <c r="R371" s="34" t="s">
        <v>50</v>
      </c>
      <c r="S371" s="35" t="n">
        <f>97680.95</f>
        <v>97680.95</v>
      </c>
      <c r="T371" s="32" t="n">
        <f>51406</f>
        <v>51406.0</v>
      </c>
      <c r="U371" s="32" t="n">
        <f>7733</f>
        <v>7733.0</v>
      </c>
      <c r="V371" s="32" t="n">
        <f>5019790024</f>
        <v>5.019790024E9</v>
      </c>
      <c r="W371" s="32" t="n">
        <f>754911224</f>
        <v>7.54911224E8</v>
      </c>
      <c r="X371" s="36" t="n">
        <f>21</f>
        <v>21.0</v>
      </c>
    </row>
    <row r="372">
      <c r="A372" s="27" t="s">
        <v>42</v>
      </c>
      <c r="B372" s="27" t="s">
        <v>1171</v>
      </c>
      <c r="C372" s="27" t="s">
        <v>1172</v>
      </c>
      <c r="D372" s="27" t="s">
        <v>1173</v>
      </c>
      <c r="E372" s="28" t="s">
        <v>46</v>
      </c>
      <c r="F372" s="29" t="s">
        <v>46</v>
      </c>
      <c r="G372" s="30" t="s">
        <v>46</v>
      </c>
      <c r="H372" s="31"/>
      <c r="I372" s="31" t="s">
        <v>549</v>
      </c>
      <c r="J372" s="32" t="n">
        <v>1.0</v>
      </c>
      <c r="K372" s="33" t="n">
        <f>125700</f>
        <v>125700.0</v>
      </c>
      <c r="L372" s="34" t="s">
        <v>48</v>
      </c>
      <c r="M372" s="33" t="n">
        <f>128000</f>
        <v>128000.0</v>
      </c>
      <c r="N372" s="34" t="s">
        <v>116</v>
      </c>
      <c r="O372" s="33" t="n">
        <f>120100</f>
        <v>120100.0</v>
      </c>
      <c r="P372" s="34" t="s">
        <v>73</v>
      </c>
      <c r="Q372" s="33" t="n">
        <f>123100</f>
        <v>123100.0</v>
      </c>
      <c r="R372" s="34" t="s">
        <v>50</v>
      </c>
      <c r="S372" s="35" t="n">
        <f>124295.24</f>
        <v>124295.24</v>
      </c>
      <c r="T372" s="32" t="n">
        <f>41110</f>
        <v>41110.0</v>
      </c>
      <c r="U372" s="32" t="n">
        <f>8072</f>
        <v>8072.0</v>
      </c>
      <c r="V372" s="32" t="n">
        <f>5111562120</f>
        <v>5.11156212E9</v>
      </c>
      <c r="W372" s="32" t="n">
        <f>1005018020</f>
        <v>1.00501802E9</v>
      </c>
      <c r="X372" s="36" t="n">
        <f>21</f>
        <v>21.0</v>
      </c>
    </row>
    <row r="373">
      <c r="A373" s="27" t="s">
        <v>42</v>
      </c>
      <c r="B373" s="27" t="s">
        <v>1174</v>
      </c>
      <c r="C373" s="27" t="s">
        <v>1175</v>
      </c>
      <c r="D373" s="27" t="s">
        <v>1176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606000</f>
        <v>606000.0</v>
      </c>
      <c r="L373" s="34" t="s">
        <v>48</v>
      </c>
      <c r="M373" s="33" t="n">
        <f>620000</f>
        <v>620000.0</v>
      </c>
      <c r="N373" s="34" t="s">
        <v>68</v>
      </c>
      <c r="O373" s="33" t="n">
        <f>580000</f>
        <v>580000.0</v>
      </c>
      <c r="P373" s="34" t="s">
        <v>241</v>
      </c>
      <c r="Q373" s="33" t="n">
        <f>607000</f>
        <v>607000.0</v>
      </c>
      <c r="R373" s="34" t="s">
        <v>50</v>
      </c>
      <c r="S373" s="35" t="n">
        <f>594285.71</f>
        <v>594285.71</v>
      </c>
      <c r="T373" s="32" t="n">
        <f>119494</f>
        <v>119494.0</v>
      </c>
      <c r="U373" s="32" t="n">
        <f>31247</f>
        <v>31247.0</v>
      </c>
      <c r="V373" s="32" t="n">
        <f>71149087315</f>
        <v>7.1149087315E10</v>
      </c>
      <c r="W373" s="32" t="n">
        <f>18572130315</f>
        <v>1.8572130315E10</v>
      </c>
      <c r="X373" s="36" t="n">
        <f>21</f>
        <v>21.0</v>
      </c>
    </row>
    <row r="374">
      <c r="A374" s="27" t="s">
        <v>42</v>
      </c>
      <c r="B374" s="27" t="s">
        <v>1177</v>
      </c>
      <c r="C374" s="27" t="s">
        <v>1178</v>
      </c>
      <c r="D374" s="27" t="s">
        <v>1179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585000</f>
        <v>585000.0</v>
      </c>
      <c r="L374" s="34" t="s">
        <v>48</v>
      </c>
      <c r="M374" s="33" t="n">
        <f>587000</f>
        <v>587000.0</v>
      </c>
      <c r="N374" s="34" t="s">
        <v>116</v>
      </c>
      <c r="O374" s="33" t="n">
        <f>555000</f>
        <v>555000.0</v>
      </c>
      <c r="P374" s="34" t="s">
        <v>206</v>
      </c>
      <c r="Q374" s="33" t="n">
        <f>561000</f>
        <v>561000.0</v>
      </c>
      <c r="R374" s="34" t="s">
        <v>50</v>
      </c>
      <c r="S374" s="35" t="n">
        <f>568380.95</f>
        <v>568380.95</v>
      </c>
      <c r="T374" s="32" t="n">
        <f>122450</f>
        <v>122450.0</v>
      </c>
      <c r="U374" s="32" t="n">
        <f>28489</f>
        <v>28489.0</v>
      </c>
      <c r="V374" s="32" t="n">
        <f>69594146979</f>
        <v>6.9594146979E10</v>
      </c>
      <c r="W374" s="32" t="n">
        <f>16191379979</f>
        <v>1.6191379979E10</v>
      </c>
      <c r="X374" s="36" t="n">
        <f>21</f>
        <v>21.0</v>
      </c>
    </row>
    <row r="375">
      <c r="A375" s="27" t="s">
        <v>42</v>
      </c>
      <c r="B375" s="27" t="s">
        <v>1180</v>
      </c>
      <c r="C375" s="27" t="s">
        <v>1181</v>
      </c>
      <c r="D375" s="27" t="s">
        <v>1182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97500</f>
        <v>97500.0</v>
      </c>
      <c r="L375" s="34" t="s">
        <v>48</v>
      </c>
      <c r="M375" s="33" t="n">
        <f>101300</f>
        <v>101300.0</v>
      </c>
      <c r="N375" s="34" t="s">
        <v>276</v>
      </c>
      <c r="O375" s="33" t="n">
        <f>93200</f>
        <v>93200.0</v>
      </c>
      <c r="P375" s="34" t="s">
        <v>73</v>
      </c>
      <c r="Q375" s="33" t="n">
        <f>97500</f>
        <v>97500.0</v>
      </c>
      <c r="R375" s="34" t="s">
        <v>50</v>
      </c>
      <c r="S375" s="35" t="n">
        <f>96280.95</f>
        <v>96280.95</v>
      </c>
      <c r="T375" s="32" t="n">
        <f>495451</f>
        <v>495451.0</v>
      </c>
      <c r="U375" s="32" t="n">
        <f>125356</f>
        <v>125356.0</v>
      </c>
      <c r="V375" s="32" t="n">
        <f>47793191120</f>
        <v>4.779319112E10</v>
      </c>
      <c r="W375" s="32" t="n">
        <f>12079015820</f>
        <v>1.207901582E10</v>
      </c>
      <c r="X375" s="36" t="n">
        <f>21</f>
        <v>21.0</v>
      </c>
    </row>
    <row r="376">
      <c r="A376" s="27" t="s">
        <v>42</v>
      </c>
      <c r="B376" s="27" t="s">
        <v>1183</v>
      </c>
      <c r="C376" s="27" t="s">
        <v>1184</v>
      </c>
      <c r="D376" s="27" t="s">
        <v>1185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179000</f>
        <v>179000.0</v>
      </c>
      <c r="L376" s="34" t="s">
        <v>48</v>
      </c>
      <c r="M376" s="33" t="n">
        <f>181700</f>
        <v>181700.0</v>
      </c>
      <c r="N376" s="34" t="s">
        <v>276</v>
      </c>
      <c r="O376" s="33" t="n">
        <f>171500</f>
        <v>171500.0</v>
      </c>
      <c r="P376" s="34" t="s">
        <v>50</v>
      </c>
      <c r="Q376" s="33" t="n">
        <f>173800</f>
        <v>173800.0</v>
      </c>
      <c r="R376" s="34" t="s">
        <v>50</v>
      </c>
      <c r="S376" s="35" t="n">
        <f>175985.71</f>
        <v>175985.71</v>
      </c>
      <c r="T376" s="32" t="n">
        <f>202151</f>
        <v>202151.0</v>
      </c>
      <c r="U376" s="32" t="n">
        <f>62921</f>
        <v>62921.0</v>
      </c>
      <c r="V376" s="32" t="n">
        <f>35613175327</f>
        <v>3.5613175327E10</v>
      </c>
      <c r="W376" s="32" t="n">
        <f>11086185727</f>
        <v>1.1086185727E10</v>
      </c>
      <c r="X376" s="36" t="n">
        <f>21</f>
        <v>21.0</v>
      </c>
    </row>
    <row r="377">
      <c r="A377" s="27" t="s">
        <v>42</v>
      </c>
      <c r="B377" s="27" t="s">
        <v>1186</v>
      </c>
      <c r="C377" s="27" t="s">
        <v>1187</v>
      </c>
      <c r="D377" s="27" t="s">
        <v>1188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361000</f>
        <v>361000.0</v>
      </c>
      <c r="L377" s="34" t="s">
        <v>48</v>
      </c>
      <c r="M377" s="33" t="n">
        <f>363000</f>
        <v>363000.0</v>
      </c>
      <c r="N377" s="34" t="s">
        <v>266</v>
      </c>
      <c r="O377" s="33" t="n">
        <f>347000</f>
        <v>347000.0</v>
      </c>
      <c r="P377" s="34" t="s">
        <v>73</v>
      </c>
      <c r="Q377" s="33" t="n">
        <f>354000</f>
        <v>354000.0</v>
      </c>
      <c r="R377" s="34" t="s">
        <v>50</v>
      </c>
      <c r="S377" s="35" t="n">
        <f>355309.52</f>
        <v>355309.52</v>
      </c>
      <c r="T377" s="32" t="n">
        <f>47297</f>
        <v>47297.0</v>
      </c>
      <c r="U377" s="32" t="n">
        <f>12228</f>
        <v>12228.0</v>
      </c>
      <c r="V377" s="32" t="n">
        <f>16806449939</f>
        <v>1.6806449939E10</v>
      </c>
      <c r="W377" s="32" t="n">
        <f>4344526939</f>
        <v>4.344526939E9</v>
      </c>
      <c r="X377" s="36" t="n">
        <f>21</f>
        <v>21.0</v>
      </c>
    </row>
    <row r="378">
      <c r="A378" s="27" t="s">
        <v>42</v>
      </c>
      <c r="B378" s="27" t="s">
        <v>1189</v>
      </c>
      <c r="C378" s="27" t="s">
        <v>1190</v>
      </c>
      <c r="D378" s="27" t="s">
        <v>1191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138300</f>
        <v>138300.0</v>
      </c>
      <c r="L378" s="34" t="s">
        <v>48</v>
      </c>
      <c r="M378" s="33" t="n">
        <f>140200</f>
        <v>140200.0</v>
      </c>
      <c r="N378" s="34" t="s">
        <v>213</v>
      </c>
      <c r="O378" s="33" t="n">
        <f>123300</f>
        <v>123300.0</v>
      </c>
      <c r="P378" s="34" t="s">
        <v>50</v>
      </c>
      <c r="Q378" s="33" t="n">
        <f>124700</f>
        <v>124700.0</v>
      </c>
      <c r="R378" s="34" t="s">
        <v>50</v>
      </c>
      <c r="S378" s="35" t="n">
        <f>134361.9</f>
        <v>134361.9</v>
      </c>
      <c r="T378" s="32" t="n">
        <f>195500</f>
        <v>195500.0</v>
      </c>
      <c r="U378" s="32" t="n">
        <f>43011</f>
        <v>43011.0</v>
      </c>
      <c r="V378" s="32" t="n">
        <f>25786305312</f>
        <v>2.5786305312E10</v>
      </c>
      <c r="W378" s="32" t="n">
        <f>5809329212</f>
        <v>5.809329212E9</v>
      </c>
      <c r="X378" s="36" t="n">
        <f>21</f>
        <v>21.0</v>
      </c>
    </row>
    <row r="379">
      <c r="A379" s="27" t="s">
        <v>42</v>
      </c>
      <c r="B379" s="27" t="s">
        <v>1192</v>
      </c>
      <c r="C379" s="27" t="s">
        <v>1193</v>
      </c>
      <c r="D379" s="27" t="s">
        <v>1194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183000</f>
        <v>183000.0</v>
      </c>
      <c r="L379" s="34" t="s">
        <v>48</v>
      </c>
      <c r="M379" s="33" t="n">
        <f>184900</f>
        <v>184900.0</v>
      </c>
      <c r="N379" s="34" t="s">
        <v>48</v>
      </c>
      <c r="O379" s="33" t="n">
        <f>175700</f>
        <v>175700.0</v>
      </c>
      <c r="P379" s="34" t="s">
        <v>741</v>
      </c>
      <c r="Q379" s="33" t="n">
        <f>180400</f>
        <v>180400.0</v>
      </c>
      <c r="R379" s="34" t="s">
        <v>50</v>
      </c>
      <c r="S379" s="35" t="n">
        <f>179433.33</f>
        <v>179433.33</v>
      </c>
      <c r="T379" s="32" t="n">
        <f>50852</f>
        <v>50852.0</v>
      </c>
      <c r="U379" s="32" t="n">
        <f>11938</f>
        <v>11938.0</v>
      </c>
      <c r="V379" s="32" t="n">
        <f>9112213705</f>
        <v>9.112213705E9</v>
      </c>
      <c r="W379" s="32" t="n">
        <f>2138289205</f>
        <v>2.138289205E9</v>
      </c>
      <c r="X379" s="36" t="n">
        <f>21</f>
        <v>21.0</v>
      </c>
    </row>
    <row r="380">
      <c r="A380" s="27" t="s">
        <v>42</v>
      </c>
      <c r="B380" s="27" t="s">
        <v>1195</v>
      </c>
      <c r="C380" s="27" t="s">
        <v>1196</v>
      </c>
      <c r="D380" s="27" t="s">
        <v>1197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114800</f>
        <v>114800.0</v>
      </c>
      <c r="L380" s="34" t="s">
        <v>48</v>
      </c>
      <c r="M380" s="33" t="n">
        <f>116000</f>
        <v>116000.0</v>
      </c>
      <c r="N380" s="34" t="s">
        <v>116</v>
      </c>
      <c r="O380" s="33" t="n">
        <f>110100</f>
        <v>110100.0</v>
      </c>
      <c r="P380" s="34" t="s">
        <v>73</v>
      </c>
      <c r="Q380" s="33" t="n">
        <f>114800</f>
        <v>114800.0</v>
      </c>
      <c r="R380" s="34" t="s">
        <v>50</v>
      </c>
      <c r="S380" s="35" t="n">
        <f>113780.95</f>
        <v>113780.95</v>
      </c>
      <c r="T380" s="32" t="n">
        <f>65281</f>
        <v>65281.0</v>
      </c>
      <c r="U380" s="32" t="n">
        <f>12237</f>
        <v>12237.0</v>
      </c>
      <c r="V380" s="32" t="n">
        <f>7425327714</f>
        <v>7.425327714E9</v>
      </c>
      <c r="W380" s="32" t="n">
        <f>1392702214</f>
        <v>1.392702214E9</v>
      </c>
      <c r="X380" s="36" t="n">
        <f>21</f>
        <v>21.0</v>
      </c>
    </row>
    <row r="381">
      <c r="A381" s="27" t="s">
        <v>42</v>
      </c>
      <c r="B381" s="27" t="s">
        <v>1198</v>
      </c>
      <c r="C381" s="27" t="s">
        <v>1199</v>
      </c>
      <c r="D381" s="27" t="s">
        <v>1200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155700</f>
        <v>155700.0</v>
      </c>
      <c r="L381" s="34" t="s">
        <v>48</v>
      </c>
      <c r="M381" s="33" t="n">
        <f>156800</f>
        <v>156800.0</v>
      </c>
      <c r="N381" s="34" t="s">
        <v>72</v>
      </c>
      <c r="O381" s="33" t="n">
        <f>148400</f>
        <v>148400.0</v>
      </c>
      <c r="P381" s="34" t="s">
        <v>49</v>
      </c>
      <c r="Q381" s="33" t="n">
        <f>152400</f>
        <v>152400.0</v>
      </c>
      <c r="R381" s="34" t="s">
        <v>50</v>
      </c>
      <c r="S381" s="35" t="n">
        <f>152490.48</f>
        <v>152490.48</v>
      </c>
      <c r="T381" s="32" t="n">
        <f>164587</f>
        <v>164587.0</v>
      </c>
      <c r="U381" s="32" t="n">
        <f>40351</f>
        <v>40351.0</v>
      </c>
      <c r="V381" s="32" t="n">
        <f>25076678032</f>
        <v>2.5076678032E10</v>
      </c>
      <c r="W381" s="32" t="n">
        <f>6154876332</f>
        <v>6.154876332E9</v>
      </c>
      <c r="X381" s="36" t="n">
        <f>21</f>
        <v>21.0</v>
      </c>
    </row>
    <row r="382">
      <c r="A382" s="27" t="s">
        <v>42</v>
      </c>
      <c r="B382" s="27" t="s">
        <v>1201</v>
      </c>
      <c r="C382" s="27" t="s">
        <v>1202</v>
      </c>
      <c r="D382" s="27" t="s">
        <v>1203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72800</f>
        <v>72800.0</v>
      </c>
      <c r="L382" s="34" t="s">
        <v>48</v>
      </c>
      <c r="M382" s="33" t="n">
        <f>75600</f>
        <v>75600.0</v>
      </c>
      <c r="N382" s="34" t="s">
        <v>68</v>
      </c>
      <c r="O382" s="33" t="n">
        <f>70800</f>
        <v>70800.0</v>
      </c>
      <c r="P382" s="34" t="s">
        <v>73</v>
      </c>
      <c r="Q382" s="33" t="n">
        <f>73700</f>
        <v>73700.0</v>
      </c>
      <c r="R382" s="34" t="s">
        <v>50</v>
      </c>
      <c r="S382" s="35" t="n">
        <f>72866.67</f>
        <v>72866.67</v>
      </c>
      <c r="T382" s="32" t="n">
        <f>138262</f>
        <v>138262.0</v>
      </c>
      <c r="U382" s="32" t="n">
        <f>35149</f>
        <v>35149.0</v>
      </c>
      <c r="V382" s="32" t="n">
        <f>10078675426</f>
        <v>1.0078675426E10</v>
      </c>
      <c r="W382" s="32" t="n">
        <f>2554927026</f>
        <v>2.554927026E9</v>
      </c>
      <c r="X382" s="36" t="n">
        <f>21</f>
        <v>21.0</v>
      </c>
    </row>
    <row r="383">
      <c r="A383" s="27" t="s">
        <v>42</v>
      </c>
      <c r="B383" s="27" t="s">
        <v>1204</v>
      </c>
      <c r="C383" s="27" t="s">
        <v>1205</v>
      </c>
      <c r="D383" s="27" t="s">
        <v>1206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62000</f>
        <v>62000.0</v>
      </c>
      <c r="L383" s="34" t="s">
        <v>48</v>
      </c>
      <c r="M383" s="33" t="n">
        <f>62400</f>
        <v>62400.0</v>
      </c>
      <c r="N383" s="34" t="s">
        <v>48</v>
      </c>
      <c r="O383" s="33" t="n">
        <f>56000</f>
        <v>56000.0</v>
      </c>
      <c r="P383" s="34" t="s">
        <v>49</v>
      </c>
      <c r="Q383" s="33" t="n">
        <f>58100</f>
        <v>58100.0</v>
      </c>
      <c r="R383" s="34" t="s">
        <v>50</v>
      </c>
      <c r="S383" s="35" t="n">
        <f>58476.19</f>
        <v>58476.19</v>
      </c>
      <c r="T383" s="32" t="n">
        <f>651204</f>
        <v>651204.0</v>
      </c>
      <c r="U383" s="32" t="n">
        <f>175794</f>
        <v>175794.0</v>
      </c>
      <c r="V383" s="32" t="n">
        <f>38115623790</f>
        <v>3.811562379E10</v>
      </c>
      <c r="W383" s="32" t="n">
        <f>10278918590</f>
        <v>1.027891859E10</v>
      </c>
      <c r="X383" s="36" t="n">
        <f>21</f>
        <v>21.0</v>
      </c>
    </row>
    <row r="384">
      <c r="A384" s="27" t="s">
        <v>42</v>
      </c>
      <c r="B384" s="27" t="s">
        <v>1207</v>
      </c>
      <c r="C384" s="27" t="s">
        <v>1208</v>
      </c>
      <c r="D384" s="27" t="s">
        <v>1209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457000</f>
        <v>457000.0</v>
      </c>
      <c r="L384" s="34" t="s">
        <v>48</v>
      </c>
      <c r="M384" s="33" t="n">
        <f>459500</f>
        <v>459500.0</v>
      </c>
      <c r="N384" s="34" t="s">
        <v>266</v>
      </c>
      <c r="O384" s="33" t="n">
        <f>435000</f>
        <v>435000.0</v>
      </c>
      <c r="P384" s="34" t="s">
        <v>49</v>
      </c>
      <c r="Q384" s="33" t="n">
        <f>452500</f>
        <v>452500.0</v>
      </c>
      <c r="R384" s="34" t="s">
        <v>50</v>
      </c>
      <c r="S384" s="35" t="n">
        <f>450404.76</f>
        <v>450404.76</v>
      </c>
      <c r="T384" s="32" t="n">
        <f>44858</f>
        <v>44858.0</v>
      </c>
      <c r="U384" s="32" t="n">
        <f>9832</f>
        <v>9832.0</v>
      </c>
      <c r="V384" s="32" t="n">
        <f>20174030780</f>
        <v>2.017403078E10</v>
      </c>
      <c r="W384" s="32" t="n">
        <f>4410587780</f>
        <v>4.41058778E9</v>
      </c>
      <c r="X384" s="36" t="n">
        <f>21</f>
        <v>21.0</v>
      </c>
    </row>
    <row r="385">
      <c r="A385" s="27" t="s">
        <v>42</v>
      </c>
      <c r="B385" s="27" t="s">
        <v>1210</v>
      </c>
      <c r="C385" s="27" t="s">
        <v>1211</v>
      </c>
      <c r="D385" s="27" t="s">
        <v>1212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146200</f>
        <v>146200.0</v>
      </c>
      <c r="L385" s="34" t="s">
        <v>48</v>
      </c>
      <c r="M385" s="33" t="n">
        <f>146400</f>
        <v>146400.0</v>
      </c>
      <c r="N385" s="34" t="s">
        <v>266</v>
      </c>
      <c r="O385" s="33" t="n">
        <f>139100</f>
        <v>139100.0</v>
      </c>
      <c r="P385" s="34" t="s">
        <v>73</v>
      </c>
      <c r="Q385" s="33" t="n">
        <f>141300</f>
        <v>141300.0</v>
      </c>
      <c r="R385" s="34" t="s">
        <v>50</v>
      </c>
      <c r="S385" s="35" t="n">
        <f>142990.48</f>
        <v>142990.48</v>
      </c>
      <c r="T385" s="32" t="n">
        <f>54139</f>
        <v>54139.0</v>
      </c>
      <c r="U385" s="32" t="n">
        <f>12840</f>
        <v>12840.0</v>
      </c>
      <c r="V385" s="32" t="n">
        <f>7729728859</f>
        <v>7.729728859E9</v>
      </c>
      <c r="W385" s="32" t="n">
        <f>1836315559</f>
        <v>1.836315559E9</v>
      </c>
      <c r="X385" s="36" t="n">
        <f>21</f>
        <v>21.0</v>
      </c>
    </row>
    <row r="386">
      <c r="A386" s="27" t="s">
        <v>42</v>
      </c>
      <c r="B386" s="27" t="s">
        <v>1213</v>
      </c>
      <c r="C386" s="27" t="s">
        <v>1214</v>
      </c>
      <c r="D386" s="27" t="s">
        <v>1215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290300</f>
        <v>290300.0</v>
      </c>
      <c r="L386" s="34" t="s">
        <v>48</v>
      </c>
      <c r="M386" s="33" t="n">
        <f>294000</f>
        <v>294000.0</v>
      </c>
      <c r="N386" s="34" t="s">
        <v>64</v>
      </c>
      <c r="O386" s="33" t="n">
        <f>276500</f>
        <v>276500.0</v>
      </c>
      <c r="P386" s="34" t="s">
        <v>90</v>
      </c>
      <c r="Q386" s="33" t="n">
        <f>279900</f>
        <v>279900.0</v>
      </c>
      <c r="R386" s="34" t="s">
        <v>50</v>
      </c>
      <c r="S386" s="35" t="n">
        <f>286033.33</f>
        <v>286033.33</v>
      </c>
      <c r="T386" s="32" t="n">
        <f>48605</f>
        <v>48605.0</v>
      </c>
      <c r="U386" s="32" t="n">
        <f>11179</f>
        <v>11179.0</v>
      </c>
      <c r="V386" s="32" t="n">
        <f>13884640269</f>
        <v>1.3884640269E10</v>
      </c>
      <c r="W386" s="32" t="n">
        <f>3191790569</f>
        <v>3.191790569E9</v>
      </c>
      <c r="X386" s="36" t="n">
        <f>21</f>
        <v>21.0</v>
      </c>
    </row>
    <row r="387">
      <c r="A387" s="27" t="s">
        <v>42</v>
      </c>
      <c r="B387" s="27" t="s">
        <v>1216</v>
      </c>
      <c r="C387" s="27" t="s">
        <v>1217</v>
      </c>
      <c r="D387" s="27" t="s">
        <v>1218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160000</f>
        <v>160000.0</v>
      </c>
      <c r="L387" s="34" t="s">
        <v>48</v>
      </c>
      <c r="M387" s="33" t="n">
        <f>163400</f>
        <v>163400.0</v>
      </c>
      <c r="N387" s="34" t="s">
        <v>68</v>
      </c>
      <c r="O387" s="33" t="n">
        <f>155700</f>
        <v>155700.0</v>
      </c>
      <c r="P387" s="34" t="s">
        <v>73</v>
      </c>
      <c r="Q387" s="33" t="n">
        <f>162800</f>
        <v>162800.0</v>
      </c>
      <c r="R387" s="34" t="s">
        <v>50</v>
      </c>
      <c r="S387" s="35" t="n">
        <f>159747.62</f>
        <v>159747.62</v>
      </c>
      <c r="T387" s="32" t="n">
        <f>39405</f>
        <v>39405.0</v>
      </c>
      <c r="U387" s="32" t="n">
        <f>9117</f>
        <v>9117.0</v>
      </c>
      <c r="V387" s="32" t="n">
        <f>6291451390</f>
        <v>6.29145139E9</v>
      </c>
      <c r="W387" s="32" t="n">
        <f>1453094790</f>
        <v>1.45309479E9</v>
      </c>
      <c r="X387" s="36" t="n">
        <f>21</f>
        <v>21.0</v>
      </c>
    </row>
    <row r="388">
      <c r="A388" s="27" t="s">
        <v>42</v>
      </c>
      <c r="B388" s="27" t="s">
        <v>1219</v>
      </c>
      <c r="C388" s="27" t="s">
        <v>1220</v>
      </c>
      <c r="D388" s="27" t="s">
        <v>1221</v>
      </c>
      <c r="E388" s="28" t="s">
        <v>1222</v>
      </c>
      <c r="F388" s="29" t="s">
        <v>1223</v>
      </c>
      <c r="G388" s="30" t="s">
        <v>46</v>
      </c>
      <c r="H388" s="31"/>
      <c r="I388" s="31" t="s">
        <v>47</v>
      </c>
      <c r="J388" s="32" t="n">
        <v>1.0</v>
      </c>
      <c r="K388" s="33" t="n">
        <f>346000</f>
        <v>346000.0</v>
      </c>
      <c r="L388" s="34" t="s">
        <v>48</v>
      </c>
      <c r="M388" s="33" t="n">
        <f>352000</f>
        <v>352000.0</v>
      </c>
      <c r="N388" s="34" t="s">
        <v>213</v>
      </c>
      <c r="O388" s="33" t="n">
        <f>326000</f>
        <v>326000.0</v>
      </c>
      <c r="P388" s="34" t="s">
        <v>68</v>
      </c>
      <c r="Q388" s="33" t="n">
        <f>326000</f>
        <v>326000.0</v>
      </c>
      <c r="R388" s="34" t="s">
        <v>68</v>
      </c>
      <c r="S388" s="35" t="n">
        <f>342868.42</f>
        <v>342868.42</v>
      </c>
      <c r="T388" s="32" t="n">
        <f>440534</f>
        <v>440534.0</v>
      </c>
      <c r="U388" s="32" t="n">
        <f>195159</f>
        <v>195159.0</v>
      </c>
      <c r="V388" s="32" t="n">
        <f>146819620794</f>
        <v>1.46819620794E11</v>
      </c>
      <c r="W388" s="32" t="n">
        <f>64527802294</f>
        <v>6.4527802294E10</v>
      </c>
      <c r="X388" s="36" t="n">
        <f>19</f>
        <v>19.0</v>
      </c>
    </row>
    <row r="389">
      <c r="A389" s="27" t="s">
        <v>42</v>
      </c>
      <c r="B389" s="27" t="s">
        <v>1219</v>
      </c>
      <c r="C389" s="27" t="s">
        <v>1220</v>
      </c>
      <c r="D389" s="27" t="s">
        <v>1221</v>
      </c>
      <c r="E389" s="28" t="s">
        <v>1222</v>
      </c>
      <c r="F389" s="29" t="s">
        <v>1223</v>
      </c>
      <c r="G389" s="30" t="s">
        <v>46</v>
      </c>
      <c r="H389" s="31"/>
      <c r="I389" s="31" t="s">
        <v>47</v>
      </c>
      <c r="J389" s="32" t="n">
        <v>1.0</v>
      </c>
      <c r="K389" s="33" t="n">
        <f>159300</f>
        <v>159300.0</v>
      </c>
      <c r="L389" s="34" t="s">
        <v>90</v>
      </c>
      <c r="M389" s="33" t="n">
        <f>159400</f>
        <v>159400.0</v>
      </c>
      <c r="N389" s="34" t="s">
        <v>90</v>
      </c>
      <c r="O389" s="33" t="n">
        <f>152100</f>
        <v>152100.0</v>
      </c>
      <c r="P389" s="34" t="s">
        <v>90</v>
      </c>
      <c r="Q389" s="33" t="n">
        <f>157600</f>
        <v>157600.0</v>
      </c>
      <c r="R389" s="34" t="s">
        <v>50</v>
      </c>
      <c r="S389" s="35" t="n">
        <f>155900</f>
        <v>155900.0</v>
      </c>
      <c r="T389" s="32" t="n">
        <f>193514</f>
        <v>193514.0</v>
      </c>
      <c r="U389" s="32" t="n">
        <f>102114</f>
        <v>102114.0</v>
      </c>
      <c r="V389" s="32" t="n">
        <f>30352533455</f>
        <v>3.0352533455E10</v>
      </c>
      <c r="W389" s="32" t="n">
        <f>16154087455</f>
        <v>1.6154087455E10</v>
      </c>
      <c r="X389" s="36" t="n">
        <f>2</f>
        <v>2.0</v>
      </c>
    </row>
    <row r="390">
      <c r="A390" s="27" t="s">
        <v>42</v>
      </c>
      <c r="B390" s="27" t="s">
        <v>1224</v>
      </c>
      <c r="C390" s="27" t="s">
        <v>1225</v>
      </c>
      <c r="D390" s="27" t="s">
        <v>1226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87800</f>
        <v>87800.0</v>
      </c>
      <c r="L390" s="34" t="s">
        <v>48</v>
      </c>
      <c r="M390" s="33" t="n">
        <f>89200</f>
        <v>89200.0</v>
      </c>
      <c r="N390" s="34" t="s">
        <v>68</v>
      </c>
      <c r="O390" s="33" t="n">
        <f>83700</f>
        <v>83700.0</v>
      </c>
      <c r="P390" s="34" t="s">
        <v>90</v>
      </c>
      <c r="Q390" s="33" t="n">
        <f>84900</f>
        <v>84900.0</v>
      </c>
      <c r="R390" s="34" t="s">
        <v>50</v>
      </c>
      <c r="S390" s="35" t="n">
        <f>86657.14</f>
        <v>86657.14</v>
      </c>
      <c r="T390" s="32" t="n">
        <f>95618</f>
        <v>95618.0</v>
      </c>
      <c r="U390" s="32" t="n">
        <f>19641</f>
        <v>19641.0</v>
      </c>
      <c r="V390" s="32" t="n">
        <f>8301219179</f>
        <v>8.301219179E9</v>
      </c>
      <c r="W390" s="32" t="n">
        <f>1705546179</f>
        <v>1.705546179E9</v>
      </c>
      <c r="X390" s="36" t="n">
        <f>21</f>
        <v>21.0</v>
      </c>
    </row>
    <row r="391">
      <c r="A391" s="27" t="s">
        <v>42</v>
      </c>
      <c r="B391" s="27" t="s">
        <v>1227</v>
      </c>
      <c r="C391" s="27" t="s">
        <v>1228</v>
      </c>
      <c r="D391" s="27" t="s">
        <v>1229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670000</f>
        <v>670000.0</v>
      </c>
      <c r="L391" s="34" t="s">
        <v>48</v>
      </c>
      <c r="M391" s="33" t="n">
        <f>676000</f>
        <v>676000.0</v>
      </c>
      <c r="N391" s="34" t="s">
        <v>266</v>
      </c>
      <c r="O391" s="33" t="n">
        <f>644000</f>
        <v>644000.0</v>
      </c>
      <c r="P391" s="34" t="s">
        <v>241</v>
      </c>
      <c r="Q391" s="33" t="n">
        <f>661000</f>
        <v>661000.0</v>
      </c>
      <c r="R391" s="34" t="s">
        <v>50</v>
      </c>
      <c r="S391" s="35" t="n">
        <f>659190.48</f>
        <v>659190.48</v>
      </c>
      <c r="T391" s="32" t="n">
        <f>23602</f>
        <v>23602.0</v>
      </c>
      <c r="U391" s="32" t="n">
        <f>5471</f>
        <v>5471.0</v>
      </c>
      <c r="V391" s="32" t="n">
        <f>15554914358</f>
        <v>1.5554914358E10</v>
      </c>
      <c r="W391" s="32" t="n">
        <f>3603998358</f>
        <v>3.603998358E9</v>
      </c>
      <c r="X391" s="36" t="n">
        <f>21</f>
        <v>21.0</v>
      </c>
    </row>
    <row r="392">
      <c r="A392" s="27" t="s">
        <v>42</v>
      </c>
      <c r="B392" s="27" t="s">
        <v>1230</v>
      </c>
      <c r="C392" s="27" t="s">
        <v>1231</v>
      </c>
      <c r="D392" s="27" t="s">
        <v>1232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141200</f>
        <v>141200.0</v>
      </c>
      <c r="L392" s="34" t="s">
        <v>48</v>
      </c>
      <c r="M392" s="33" t="n">
        <f>149100</f>
        <v>149100.0</v>
      </c>
      <c r="N392" s="34" t="s">
        <v>73</v>
      </c>
      <c r="O392" s="33" t="n">
        <f>138100</f>
        <v>138100.0</v>
      </c>
      <c r="P392" s="34" t="s">
        <v>73</v>
      </c>
      <c r="Q392" s="33" t="n">
        <f>142000</f>
        <v>142000.0</v>
      </c>
      <c r="R392" s="34" t="s">
        <v>50</v>
      </c>
      <c r="S392" s="35" t="n">
        <f>140885.71</f>
        <v>140885.71</v>
      </c>
      <c r="T392" s="32" t="n">
        <f>35951</f>
        <v>35951.0</v>
      </c>
      <c r="U392" s="32" t="n">
        <f>7061</f>
        <v>7061.0</v>
      </c>
      <c r="V392" s="32" t="n">
        <f>5061802039</f>
        <v>5.061802039E9</v>
      </c>
      <c r="W392" s="32" t="n">
        <f>992919439</f>
        <v>9.92919439E8</v>
      </c>
      <c r="X392" s="36" t="n">
        <f>21</f>
        <v>21.0</v>
      </c>
    </row>
    <row r="393">
      <c r="A393" s="27" t="s">
        <v>42</v>
      </c>
      <c r="B393" s="27" t="s">
        <v>1233</v>
      </c>
      <c r="C393" s="27" t="s">
        <v>1234</v>
      </c>
      <c r="D393" s="27" t="s">
        <v>1235</v>
      </c>
      <c r="E393" s="28" t="s">
        <v>46</v>
      </c>
      <c r="F393" s="29" t="s">
        <v>46</v>
      </c>
      <c r="G393" s="30" t="s">
        <v>46</v>
      </c>
      <c r="H393" s="31"/>
      <c r="I393" s="31" t="s">
        <v>549</v>
      </c>
      <c r="J393" s="32" t="n">
        <v>1.0</v>
      </c>
      <c r="K393" s="33" t="n">
        <f>218500</f>
        <v>218500.0</v>
      </c>
      <c r="L393" s="34" t="s">
        <v>48</v>
      </c>
      <c r="M393" s="33" t="n">
        <f>221100</f>
        <v>221100.0</v>
      </c>
      <c r="N393" s="34" t="s">
        <v>48</v>
      </c>
      <c r="O393" s="33" t="n">
        <f>205700</f>
        <v>205700.0</v>
      </c>
      <c r="P393" s="34" t="s">
        <v>50</v>
      </c>
      <c r="Q393" s="33" t="n">
        <f>207700</f>
        <v>207700.0</v>
      </c>
      <c r="R393" s="34" t="s">
        <v>50</v>
      </c>
      <c r="S393" s="35" t="n">
        <f>213552.38</f>
        <v>213552.38</v>
      </c>
      <c r="T393" s="32" t="n">
        <f>17824</f>
        <v>17824.0</v>
      </c>
      <c r="U393" s="32" t="n">
        <f>2859</f>
        <v>2859.0</v>
      </c>
      <c r="V393" s="32" t="n">
        <f>3796258946</f>
        <v>3.796258946E9</v>
      </c>
      <c r="W393" s="32" t="n">
        <f>610161846</f>
        <v>6.10161846E8</v>
      </c>
      <c r="X393" s="36" t="n">
        <f>21</f>
        <v>21.0</v>
      </c>
    </row>
    <row r="394">
      <c r="A394" s="27" t="s">
        <v>42</v>
      </c>
      <c r="B394" s="27" t="s">
        <v>1236</v>
      </c>
      <c r="C394" s="27" t="s">
        <v>1237</v>
      </c>
      <c r="D394" s="27" t="s">
        <v>1238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263800</f>
        <v>263800.0</v>
      </c>
      <c r="L394" s="34" t="s">
        <v>48</v>
      </c>
      <c r="M394" s="33" t="n">
        <f>273600</f>
        <v>273600.0</v>
      </c>
      <c r="N394" s="34" t="s">
        <v>50</v>
      </c>
      <c r="O394" s="33" t="n">
        <f>253000</f>
        <v>253000.0</v>
      </c>
      <c r="P394" s="34" t="s">
        <v>73</v>
      </c>
      <c r="Q394" s="33" t="n">
        <f>267600</f>
        <v>267600.0</v>
      </c>
      <c r="R394" s="34" t="s">
        <v>50</v>
      </c>
      <c r="S394" s="35" t="n">
        <f>265109.52</f>
        <v>265109.52</v>
      </c>
      <c r="T394" s="32" t="n">
        <f>192972</f>
        <v>192972.0</v>
      </c>
      <c r="U394" s="32" t="n">
        <f>40451</f>
        <v>40451.0</v>
      </c>
      <c r="V394" s="32" t="n">
        <f>51201487413</f>
        <v>5.1201487413E10</v>
      </c>
      <c r="W394" s="32" t="n">
        <f>10727031913</f>
        <v>1.0727031913E10</v>
      </c>
      <c r="X394" s="36" t="n">
        <f>21</f>
        <v>21.0</v>
      </c>
    </row>
    <row r="395">
      <c r="A395" s="27" t="s">
        <v>42</v>
      </c>
      <c r="B395" s="27" t="s">
        <v>1239</v>
      </c>
      <c r="C395" s="27" t="s">
        <v>1240</v>
      </c>
      <c r="D395" s="27" t="s">
        <v>1241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78500</f>
        <v>78500.0</v>
      </c>
      <c r="L395" s="34" t="s">
        <v>48</v>
      </c>
      <c r="M395" s="33" t="n">
        <f>79000</f>
        <v>79000.0</v>
      </c>
      <c r="N395" s="34" t="s">
        <v>48</v>
      </c>
      <c r="O395" s="33" t="n">
        <f>67000</f>
        <v>67000.0</v>
      </c>
      <c r="P395" s="34" t="s">
        <v>50</v>
      </c>
      <c r="Q395" s="33" t="n">
        <f>68700</f>
        <v>68700.0</v>
      </c>
      <c r="R395" s="34" t="s">
        <v>50</v>
      </c>
      <c r="S395" s="35" t="n">
        <f>71128.57</f>
        <v>71128.57</v>
      </c>
      <c r="T395" s="32" t="n">
        <f>449127</f>
        <v>449127.0</v>
      </c>
      <c r="U395" s="32" t="n">
        <f>84832</f>
        <v>84832.0</v>
      </c>
      <c r="V395" s="32" t="n">
        <f>31973998324</f>
        <v>3.1973998324E10</v>
      </c>
      <c r="W395" s="32" t="n">
        <f>6065242524</f>
        <v>6.065242524E9</v>
      </c>
      <c r="X395" s="36" t="n">
        <f>21</f>
        <v>21.0</v>
      </c>
    </row>
    <row r="396">
      <c r="A396" s="27" t="s">
        <v>42</v>
      </c>
      <c r="B396" s="27" t="s">
        <v>1242</v>
      </c>
      <c r="C396" s="27" t="s">
        <v>1243</v>
      </c>
      <c r="D396" s="27" t="s">
        <v>1244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110600</f>
        <v>110600.0</v>
      </c>
      <c r="L396" s="34" t="s">
        <v>48</v>
      </c>
      <c r="M396" s="33" t="n">
        <f>115500</f>
        <v>115500.0</v>
      </c>
      <c r="N396" s="34" t="s">
        <v>68</v>
      </c>
      <c r="O396" s="33" t="n">
        <f>103800</f>
        <v>103800.0</v>
      </c>
      <c r="P396" s="34" t="s">
        <v>91</v>
      </c>
      <c r="Q396" s="33" t="n">
        <f>111800</f>
        <v>111800.0</v>
      </c>
      <c r="R396" s="34" t="s">
        <v>50</v>
      </c>
      <c r="S396" s="35" t="n">
        <f>109566.67</f>
        <v>109566.67</v>
      </c>
      <c r="T396" s="32" t="n">
        <f>403671</f>
        <v>403671.0</v>
      </c>
      <c r="U396" s="32" t="n">
        <f>66636</f>
        <v>66636.0</v>
      </c>
      <c r="V396" s="32" t="n">
        <f>43870569390</f>
        <v>4.387056939E10</v>
      </c>
      <c r="W396" s="32" t="n">
        <f>7288634990</f>
        <v>7.28863499E9</v>
      </c>
      <c r="X396" s="36" t="n">
        <f>21</f>
        <v>21.0</v>
      </c>
    </row>
    <row r="397">
      <c r="A397" s="27" t="s">
        <v>42</v>
      </c>
      <c r="B397" s="27" t="s">
        <v>1245</v>
      </c>
      <c r="C397" s="27" t="s">
        <v>1246</v>
      </c>
      <c r="D397" s="27" t="s">
        <v>1247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131900</f>
        <v>131900.0</v>
      </c>
      <c r="L397" s="34" t="s">
        <v>48</v>
      </c>
      <c r="M397" s="33" t="n">
        <f>136200</f>
        <v>136200.0</v>
      </c>
      <c r="N397" s="34" t="s">
        <v>116</v>
      </c>
      <c r="O397" s="33" t="n">
        <f>126300</f>
        <v>126300.0</v>
      </c>
      <c r="P397" s="34" t="s">
        <v>73</v>
      </c>
      <c r="Q397" s="33" t="n">
        <f>132600</f>
        <v>132600.0</v>
      </c>
      <c r="R397" s="34" t="s">
        <v>50</v>
      </c>
      <c r="S397" s="35" t="n">
        <f>131128.57</f>
        <v>131128.57</v>
      </c>
      <c r="T397" s="32" t="n">
        <f>91126</f>
        <v>91126.0</v>
      </c>
      <c r="U397" s="32" t="n">
        <f>22241</f>
        <v>22241.0</v>
      </c>
      <c r="V397" s="32" t="n">
        <f>11976011030</f>
        <v>1.197601103E10</v>
      </c>
      <c r="W397" s="32" t="n">
        <f>2924391730</f>
        <v>2.92439173E9</v>
      </c>
      <c r="X397" s="36" t="n">
        <f>21</f>
        <v>21.0</v>
      </c>
    </row>
    <row r="398">
      <c r="A398" s="27" t="s">
        <v>42</v>
      </c>
      <c r="B398" s="27" t="s">
        <v>1248</v>
      </c>
      <c r="C398" s="27" t="s">
        <v>1249</v>
      </c>
      <c r="D398" s="27" t="s">
        <v>1250</v>
      </c>
      <c r="E398" s="28" t="s">
        <v>46</v>
      </c>
      <c r="F398" s="29" t="s">
        <v>46</v>
      </c>
      <c r="G398" s="30" t="s">
        <v>46</v>
      </c>
      <c r="H398" s="31"/>
      <c r="I398" s="31" t="s">
        <v>549</v>
      </c>
      <c r="J398" s="32" t="n">
        <v>1.0</v>
      </c>
      <c r="K398" s="33" t="n">
        <f>72700</f>
        <v>72700.0</v>
      </c>
      <c r="L398" s="34" t="s">
        <v>48</v>
      </c>
      <c r="M398" s="33" t="n">
        <f>72700</f>
        <v>72700.0</v>
      </c>
      <c r="N398" s="34" t="s">
        <v>48</v>
      </c>
      <c r="O398" s="33" t="n">
        <f>70900</f>
        <v>70900.0</v>
      </c>
      <c r="P398" s="34" t="s">
        <v>741</v>
      </c>
      <c r="Q398" s="33" t="n">
        <f>71800</f>
        <v>71800.0</v>
      </c>
      <c r="R398" s="34" t="s">
        <v>50</v>
      </c>
      <c r="S398" s="35" t="n">
        <f>71580.95</f>
        <v>71580.95</v>
      </c>
      <c r="T398" s="32" t="n">
        <f>1204</f>
        <v>1204.0</v>
      </c>
      <c r="U398" s="32" t="n">
        <f>12</f>
        <v>12.0</v>
      </c>
      <c r="V398" s="32" t="n">
        <f>86028200</f>
        <v>8.60282E7</v>
      </c>
      <c r="W398" s="32" t="n">
        <f>855700</f>
        <v>855700.0</v>
      </c>
      <c r="X398" s="36" t="n">
        <f>21</f>
        <v>21.0</v>
      </c>
    </row>
    <row r="399">
      <c r="A399" s="27" t="s">
        <v>42</v>
      </c>
      <c r="B399" s="27" t="s">
        <v>1251</v>
      </c>
      <c r="C399" s="27" t="s">
        <v>1252</v>
      </c>
      <c r="D399" s="27" t="s">
        <v>1253</v>
      </c>
      <c r="E399" s="28" t="s">
        <v>46</v>
      </c>
      <c r="F399" s="29" t="s">
        <v>46</v>
      </c>
      <c r="G399" s="30" t="s">
        <v>46</v>
      </c>
      <c r="H399" s="31"/>
      <c r="I399" s="31" t="s">
        <v>549</v>
      </c>
      <c r="J399" s="32" t="n">
        <v>1.0</v>
      </c>
      <c r="K399" s="33" t="n">
        <f>121900</f>
        <v>121900.0</v>
      </c>
      <c r="L399" s="34" t="s">
        <v>48</v>
      </c>
      <c r="M399" s="33" t="n">
        <f>122300</f>
        <v>122300.0</v>
      </c>
      <c r="N399" s="34" t="s">
        <v>48</v>
      </c>
      <c r="O399" s="33" t="n">
        <f>119300</f>
        <v>119300.0</v>
      </c>
      <c r="P399" s="34" t="s">
        <v>73</v>
      </c>
      <c r="Q399" s="33" t="n">
        <f>119800</f>
        <v>119800.0</v>
      </c>
      <c r="R399" s="34" t="s">
        <v>50</v>
      </c>
      <c r="S399" s="35" t="n">
        <f>120242.86</f>
        <v>120242.86</v>
      </c>
      <c r="T399" s="32" t="n">
        <f>11495</f>
        <v>11495.0</v>
      </c>
      <c r="U399" s="32" t="n">
        <f>41</f>
        <v>41.0</v>
      </c>
      <c r="V399" s="32" t="n">
        <f>1382747949</f>
        <v>1.382747949E9</v>
      </c>
      <c r="W399" s="32" t="n">
        <f>4937349</f>
        <v>4937349.0</v>
      </c>
      <c r="X399" s="36" t="n">
        <f>21</f>
        <v>21.0</v>
      </c>
    </row>
    <row r="400">
      <c r="A400" s="27" t="s">
        <v>42</v>
      </c>
      <c r="B400" s="27" t="s">
        <v>1254</v>
      </c>
      <c r="C400" s="27" t="s">
        <v>1255</v>
      </c>
      <c r="D400" s="27" t="s">
        <v>1256</v>
      </c>
      <c r="E400" s="28" t="s">
        <v>46</v>
      </c>
      <c r="F400" s="29" t="s">
        <v>46</v>
      </c>
      <c r="G400" s="30" t="s">
        <v>46</v>
      </c>
      <c r="H400" s="31"/>
      <c r="I400" s="31" t="s">
        <v>549</v>
      </c>
      <c r="J400" s="32" t="n">
        <v>1.0</v>
      </c>
      <c r="K400" s="33" t="n">
        <f>92300</f>
        <v>92300.0</v>
      </c>
      <c r="L400" s="34" t="s">
        <v>48</v>
      </c>
      <c r="M400" s="33" t="n">
        <f>92600</f>
        <v>92600.0</v>
      </c>
      <c r="N400" s="34" t="s">
        <v>48</v>
      </c>
      <c r="O400" s="33" t="n">
        <f>91600</f>
        <v>91600.0</v>
      </c>
      <c r="P400" s="34" t="s">
        <v>206</v>
      </c>
      <c r="Q400" s="33" t="n">
        <f>92000</f>
        <v>92000.0</v>
      </c>
      <c r="R400" s="34" t="s">
        <v>50</v>
      </c>
      <c r="S400" s="35" t="n">
        <f>92014.29</f>
        <v>92014.29</v>
      </c>
      <c r="T400" s="32" t="n">
        <f>3173</f>
        <v>3173.0</v>
      </c>
      <c r="U400" s="32" t="n">
        <f>23</f>
        <v>23.0</v>
      </c>
      <c r="V400" s="32" t="n">
        <f>291904600</f>
        <v>2.919046E8</v>
      </c>
      <c r="W400" s="32" t="n">
        <f>2116200</f>
        <v>2116200.0</v>
      </c>
      <c r="X400" s="36" t="n">
        <f>21</f>
        <v>21.0</v>
      </c>
    </row>
    <row r="401">
      <c r="A401" s="27" t="s">
        <v>42</v>
      </c>
      <c r="B401" s="27" t="s">
        <v>1257</v>
      </c>
      <c r="C401" s="27" t="s">
        <v>1258</v>
      </c>
      <c r="D401" s="27" t="s">
        <v>1259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91800</f>
        <v>91800.0</v>
      </c>
      <c r="L401" s="34" t="s">
        <v>48</v>
      </c>
      <c r="M401" s="33" t="n">
        <f>92100</f>
        <v>92100.0</v>
      </c>
      <c r="N401" s="34" t="s">
        <v>48</v>
      </c>
      <c r="O401" s="33" t="n">
        <f>90400</f>
        <v>90400.0</v>
      </c>
      <c r="P401" s="34" t="s">
        <v>73</v>
      </c>
      <c r="Q401" s="33" t="n">
        <f>90900</f>
        <v>90900.0</v>
      </c>
      <c r="R401" s="34" t="s">
        <v>50</v>
      </c>
      <c r="S401" s="35" t="n">
        <f>91019.05</f>
        <v>91019.05</v>
      </c>
      <c r="T401" s="32" t="n">
        <f>27410</f>
        <v>27410.0</v>
      </c>
      <c r="U401" s="32" t="n">
        <f>11</f>
        <v>11.0</v>
      </c>
      <c r="V401" s="32" t="n">
        <f>2494942200</f>
        <v>2.4949422E9</v>
      </c>
      <c r="W401" s="32" t="n">
        <f>1002200</f>
        <v>1002200.0</v>
      </c>
      <c r="X401" s="36" t="n">
        <f>21</f>
        <v>21.0</v>
      </c>
    </row>
    <row r="402">
      <c r="A402" s="27" t="s">
        <v>42</v>
      </c>
      <c r="B402" s="27" t="s">
        <v>1260</v>
      </c>
      <c r="C402" s="27" t="s">
        <v>1261</v>
      </c>
      <c r="D402" s="27" t="s">
        <v>1262</v>
      </c>
      <c r="E402" s="28" t="s">
        <v>46</v>
      </c>
      <c r="F402" s="29" t="s">
        <v>46</v>
      </c>
      <c r="G402" s="30" t="s">
        <v>46</v>
      </c>
      <c r="H402" s="31"/>
      <c r="I402" s="31" t="s">
        <v>549</v>
      </c>
      <c r="J402" s="32" t="n">
        <v>1.0</v>
      </c>
      <c r="K402" s="33" t="n">
        <f>91800</f>
        <v>91800.0</v>
      </c>
      <c r="L402" s="34" t="s">
        <v>48</v>
      </c>
      <c r="M402" s="33" t="n">
        <f>92300</f>
        <v>92300.0</v>
      </c>
      <c r="N402" s="34" t="s">
        <v>48</v>
      </c>
      <c r="O402" s="33" t="n">
        <f>90700</f>
        <v>90700.0</v>
      </c>
      <c r="P402" s="34" t="s">
        <v>73</v>
      </c>
      <c r="Q402" s="33" t="n">
        <f>91000</f>
        <v>91000.0</v>
      </c>
      <c r="R402" s="34" t="s">
        <v>50</v>
      </c>
      <c r="S402" s="35" t="n">
        <f>91266.67</f>
        <v>91266.67</v>
      </c>
      <c r="T402" s="32" t="n">
        <f>11141</f>
        <v>11141.0</v>
      </c>
      <c r="U402" s="32" t="n">
        <f>23</f>
        <v>23.0</v>
      </c>
      <c r="V402" s="32" t="n">
        <f>1016641300</f>
        <v>1.0166413E9</v>
      </c>
      <c r="W402" s="32" t="n">
        <f>2092100</f>
        <v>2092100.0</v>
      </c>
      <c r="X402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