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<sst xmlns="http://schemas.openxmlformats.org/spreadsheetml/2006/main" count="4527" uniqueCount="1180">
  <si>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</si>
  <si>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</si>
  <si>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</si>
  <si>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</si>
  <si>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</si>
  <si>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</si>
  <si>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</si>
  <si>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</si>
  <si>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</si>
  <si>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</si>
  <si>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</si>
  <si>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</si>
  <si>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</si>
  <si>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</si>
  <si>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</si>
  <si>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</si>
  <si>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</si>
  <si>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</si>
  <si>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</si>
  <si>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</si>
  <si>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</si>
  <si>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</si>
  <si>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</si>
  <si>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</si>
  <si>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</si>
  <si>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</si>
  <si>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</si>
  <si>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</si>
  <si>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</si>
  <si>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</si>
  <si>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</si>
  <si>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</si>
  <si>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</si>
  <si>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</si>
  <si>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</si>
  <si>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</si>
  <si>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</si>
  <si>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</si>
  <si>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</si>
  <si>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</si>
  <si>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</si>
  <si>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</si>
  <si>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2022/10</t>
  </si>
  <si>
    <t>1305</t>
  </si>
  <si>
    <t>ダイワ上場投信－トピックス　受益証券</t>
  </si>
  <si>
    <t>Daiwa ETF-TOPIX</t>
  </si>
  <si>
    <t/>
  </si>
  <si>
    <t>貸借</t>
  </si>
  <si>
    <t>3</t>
  </si>
  <si>
    <t>6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</si>
  <si>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</si>
  <si>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</si>
  <si>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</si>
  <si>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</si>
  <si>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</si>
  <si>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</si>
  <si>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</si>
  <si>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</si>
  <si>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</si>
  <si>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</si>
  <si>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28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</si>
  <si>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</si>
  <si>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</si>
  <si>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</si>
  <si>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</si>
  <si>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</si>
  <si>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</si>
  <si>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7</t>
  </si>
  <si>
    <t>12</t>
  </si>
  <si>
    <t>1313</t>
  </si>
  <si>
    <t>サムスンＫＯＤＥＸ２００証券上場指数投資信託[株式]　受益証券</t>
  </si>
  <si>
    <t>SAMSUNG KODEX200 SECURITIES EXCHANGE TRADED FUND [STOCK]</t>
  </si>
  <si>
    <t>21</t>
  </si>
  <si>
    <t>1319</t>
  </si>
  <si>
    <t>ＮＥＸＴ　ＦＵＮＤＳ　日経３００株価指数連動型上場投信　受益証券</t>
  </si>
  <si>
    <t>NEXT FUNDS Nikkei 300 Index Exchange Traded Fund</t>
  </si>
  <si>
    <t>4</t>
  </si>
  <si>
    <t>18</t>
  </si>
  <si>
    <t>11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</si>
  <si>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</si>
  <si>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</si>
  <si>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</si>
  <si>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</si>
  <si>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</si>
  <si>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</si>
  <si>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</si>
  <si>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</si>
  <si>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</si>
  <si>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</si>
  <si>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</si>
  <si>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</si>
  <si>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</si>
  <si>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</si>
  <si>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</si>
  <si>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</si>
  <si>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</si>
  <si>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</si>
  <si>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</si>
  <si>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</si>
  <si>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</si>
  <si>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</si>
  <si>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</si>
  <si>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</si>
  <si>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</si>
  <si>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</si>
  <si>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</si>
  <si>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</si>
  <si>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</si>
  <si>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</si>
  <si>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5</t>
  </si>
  <si>
    <t>24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</si>
  <si>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</si>
  <si>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</si>
  <si>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</si>
  <si>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</si>
  <si>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</si>
  <si>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</si>
  <si>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</si>
  <si>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</si>
  <si>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</si>
  <si>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</si>
  <si>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</si>
  <si>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</si>
  <si>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</si>
  <si>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</si>
  <si>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</si>
  <si>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</si>
  <si>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</si>
  <si>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</si>
  <si>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26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</si>
  <si>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</si>
  <si>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</si>
  <si>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</si>
  <si>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</si>
  <si>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</si>
  <si>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</si>
  <si>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</si>
  <si>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</si>
  <si>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</si>
  <si>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</si>
  <si>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</si>
  <si>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</si>
  <si>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</si>
  <si>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</si>
  <si>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</si>
  <si>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</si>
  <si>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</si>
  <si>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</si>
  <si>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</si>
  <si>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</si>
  <si>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</si>
  <si>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</si>
  <si>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</si>
  <si>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</si>
  <si>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</si>
  <si>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</si>
  <si>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</si>
  <si>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</si>
  <si>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</si>
  <si>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</si>
  <si>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</si>
  <si>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</si>
  <si>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</si>
  <si>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27</t>
  </si>
  <si>
    <t>1388</t>
  </si>
  <si>
    <t>ＵＢＳ　ＥＴＦ　ユーロ圏小型株（ＭＳＣＩ　ＥＭＵ小型株）　受益証券</t>
  </si>
  <si>
    <t>UBS ETF MSCI EMU Small Cap UCITS ETF-JDR</t>
  </si>
  <si>
    <t>20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</si>
  <si>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</si>
  <si>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</si>
  <si>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</si>
  <si>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</si>
  <si>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</si>
  <si>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</si>
  <si>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</si>
  <si>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</si>
  <si>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</si>
  <si>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</si>
  <si>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</si>
  <si>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</si>
  <si>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</si>
  <si>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</si>
  <si>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</si>
  <si>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</si>
  <si>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</si>
  <si>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</si>
  <si>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</si>
  <si>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</si>
  <si>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</si>
  <si>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</si>
  <si>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</si>
  <si>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</si>
  <si>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</si>
  <si>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25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</si>
  <si>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</si>
  <si>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</si>
  <si>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</si>
  <si>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</si>
  <si>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</si>
  <si>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</si>
  <si>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</si>
  <si>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</si>
  <si>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</si>
  <si>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</si>
  <si>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</si>
  <si>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</si>
  <si>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</si>
  <si>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</si>
  <si>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</si>
  <si>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</si>
  <si>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</si>
  <si>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</si>
  <si>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</si>
  <si>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</si>
  <si>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</si>
  <si>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</si>
  <si>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</si>
  <si>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</si>
  <si>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</si>
  <si>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</si>
  <si>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</si>
  <si>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</si>
  <si>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</si>
  <si>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</si>
  <si>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</si>
  <si>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</si>
  <si>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</si>
  <si>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</si>
  <si>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</si>
  <si>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</si>
  <si>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</si>
  <si>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</si>
  <si>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</si>
  <si>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</si>
  <si>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</si>
  <si>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</si>
  <si>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</si>
  <si>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</si>
  <si>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</si>
  <si>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</si>
  <si>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</si>
  <si>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</si>
  <si>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</si>
  <si>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</si>
  <si>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</si>
  <si>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</si>
  <si>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</si>
  <si>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</si>
  <si>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</si>
  <si>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</si>
  <si>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</si>
  <si>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</si>
  <si>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</si>
  <si>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</si>
  <si>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</si>
  <si>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</si>
  <si>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</si>
  <si>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</si>
  <si>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</si>
  <si>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</si>
  <si>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</si>
  <si>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</si>
  <si>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</si>
  <si>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19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</si>
  <si>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</si>
  <si>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</si>
  <si>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</si>
  <si>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</si>
  <si>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</si>
  <si>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</si>
  <si>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17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</si>
  <si>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</si>
  <si>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</si>
  <si>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</si>
  <si>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</si>
  <si>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</si>
  <si>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</si>
  <si>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</si>
  <si>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</si>
  <si>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</si>
  <si>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</si>
  <si>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</si>
  <si>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</si>
  <si>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</si>
  <si>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</si>
  <si>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</si>
  <si>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</si>
  <si>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</si>
  <si>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</si>
  <si>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</si>
  <si>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</si>
  <si>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</si>
  <si>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</si>
  <si>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</si>
  <si>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</si>
  <si>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</si>
  <si>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</si>
  <si>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</si>
  <si>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</si>
  <si>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</si>
  <si>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</si>
  <si>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</si>
  <si>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</si>
  <si>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</si>
  <si>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</si>
  <si>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</si>
  <si>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</si>
  <si>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</si>
  <si>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</si>
  <si>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</si>
  <si>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</si>
  <si>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</si>
  <si>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</si>
  <si>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</si>
  <si>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</si>
  <si>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</si>
  <si>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</si>
  <si>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</si>
  <si>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</si>
  <si>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</si>
  <si>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</si>
  <si>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</si>
  <si>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</si>
  <si>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</si>
  <si>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</si>
  <si>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</si>
  <si>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</si>
  <si>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</si>
  <si>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</si>
  <si>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</si>
  <si>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</si>
  <si>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</si>
  <si>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</si>
  <si>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</si>
  <si>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</si>
  <si>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</si>
  <si>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</si>
  <si>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</si>
  <si>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</si>
  <si>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</si>
  <si>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</si>
  <si>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</si>
  <si>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</si>
  <si>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</si>
  <si>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</si>
  <si>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</si>
  <si>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</si>
  <si>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</si>
  <si>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</si>
  <si>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</si>
  <si>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</si>
  <si>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</si>
  <si>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</si>
  <si>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</si>
  <si>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</si>
  <si>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</si>
  <si>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</si>
  <si>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</si>
  <si>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</si>
  <si>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</si>
  <si>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</si>
  <si>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</si>
  <si>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</si>
  <si>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</si>
  <si>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</si>
  <si>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</si>
  <si>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</si>
  <si>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</si>
  <si>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</si>
  <si>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</si>
  <si>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</si>
  <si>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</si>
  <si>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</si>
  <si>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</si>
  <si>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</si>
  <si>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</si>
  <si>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</si>
  <si>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</si>
  <si>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</si>
  <si>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</si>
  <si>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</si>
  <si>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</si>
  <si>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</si>
  <si>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整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</si>
  <si>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</si>
  <si>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</si>
  <si>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</si>
  <si>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</si>
  <si>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</si>
  <si>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</si>
  <si>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</si>
  <si>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</si>
  <si>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</si>
  <si>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</si>
  <si>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</si>
  <si>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</si>
  <si>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</si>
  <si>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</si>
  <si>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</si>
  <si>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</si>
  <si>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</si>
  <si>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</si>
  <si>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</si>
  <si>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</si>
  <si>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</si>
  <si>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</si>
  <si>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</si>
  <si>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</si>
  <si>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</si>
  <si>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</si>
  <si>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</si>
  <si>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</si>
  <si>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</si>
  <si>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</si>
  <si>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</si>
  <si>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</si>
  <si>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</si>
  <si>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</si>
  <si>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</si>
  <si>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</si>
  <si>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</si>
  <si>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</si>
  <si>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</si>
  <si>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</si>
  <si>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</si>
  <si>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</si>
  <si>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</si>
  <si>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</si>
  <si>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</si>
  <si>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</si>
  <si>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</si>
  <si>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</si>
  <si>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</si>
  <si>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</si>
  <si>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</si>
  <si>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</si>
  <si>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</si>
  <si>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</si>
  <si>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</si>
  <si>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</si>
  <si>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</si>
  <si>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</si>
  <si>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</si>
  <si>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</si>
  <si>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</si>
  <si>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</si>
  <si>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</si>
  <si>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</si>
  <si>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</si>
  <si>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</si>
  <si>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</si>
  <si>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</si>
  <si>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</si>
  <si>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</si>
  <si>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</si>
  <si>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</si>
  <si>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</si>
  <si>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</si>
  <si>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</si>
  <si>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</si>
  <si>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</si>
  <si>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</si>
  <si>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</si>
  <si>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</si>
  <si>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</si>
  <si>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</si>
  <si>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</si>
  <si>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</si>
  <si>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</si>
  <si>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</si>
  <si>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</si>
  <si>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</si>
  <si>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</si>
  <si>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</si>
  <si>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</si>
  <si>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</si>
  <si>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</si>
  <si>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</si>
  <si>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</si>
  <si>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</si>
  <si>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</si>
  <si>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</si>
  <si>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</si>
  <si>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</si>
  <si>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</si>
  <si>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</si>
  <si>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</si>
  <si>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</si>
  <si>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</si>
  <si>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</si>
  <si>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</si>
  <si>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</si>
  <si>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</si>
  <si>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</si>
  <si>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</si>
  <si>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</si>
  <si>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</si>
  <si>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</si>
  <si>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 xml:space="preserve">新株落ち  </t>
  </si>
  <si>
    <t xml:space="preserve">ex-subscription right  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</si>
  <si>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</si>
  <si>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</si>
  <si>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</si>
  <si>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</si>
  <si>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</si>
  <si>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</si>
  <si>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</si>
  <si>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</si>
  <si>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</si>
  <si>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</si>
  <si>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</si>
  <si>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</si>
  <si>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</si>
  <si>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</si>
  <si>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</si>
  <si>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</si>
  <si>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</si>
  <si>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</si>
  <si>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</si>
  <si>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</si>
  <si>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</si>
  <si>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</si>
  <si>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</si>
  <si>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</si>
  <si>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</si>
  <si>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</si>
  <si>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</si>
  <si>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</si>
  <si>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</si>
  <si>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</si>
  <si>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</si>
  <si>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</si>
  <si>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</si>
  <si>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</si>
  <si>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</si>
  <si>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</si>
  <si>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</si>
  <si>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</si>
  <si>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</si>
  <si>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</si>
  <si>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</si>
  <si>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</si>
  <si>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</si>
  <si>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</si>
  <si>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</si>
  <si>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</si>
  <si>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</si>
  <si>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</si>
  <si>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</si>
  <si>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</si>
  <si>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</si>
  <si>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</si>
  <si>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</si>
  <si>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</si>
  <si>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14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</si>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</sst>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7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1925.5</f>
        <v>1925.5</v>
      </c>
      <c r="L7" s="34" t="s">
        <v>48</v>
      </c>
      <c r="M7" s="33" t="n">
        <f>2035</f>
        <v>2035.0</v>
      </c>
      <c r="N7" s="34" t="s">
        <v>49</v>
      </c>
      <c r="O7" s="33" t="n">
        <f>1912.5</f>
        <v>1912.5</v>
      </c>
      <c r="P7" s="34" t="s">
        <v>48</v>
      </c>
      <c r="Q7" s="33" t="n">
        <f>2031.5</f>
        <v>2031.5</v>
      </c>
      <c r="R7" s="34" t="s">
        <v>50</v>
      </c>
      <c r="S7" s="35" t="n">
        <f>1996.3</f>
        <v>1996.3</v>
      </c>
      <c r="T7" s="32" t="n">
        <f>3833650</f>
        <v>3833650.0</v>
      </c>
      <c r="U7" s="32" t="n">
        <f>1088750</f>
        <v>1088750.0</v>
      </c>
      <c r="V7" s="32" t="n">
        <f>7683993682</f>
        <v>7.683993682E9</v>
      </c>
      <c r="W7" s="32" t="n">
        <f>2201661032</f>
        <v>2.201661032E9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1905.5</f>
        <v>1905.5</v>
      </c>
      <c r="L8" s="34" t="s">
        <v>48</v>
      </c>
      <c r="M8" s="33" t="n">
        <f>2012</f>
        <v>2012.0</v>
      </c>
      <c r="N8" s="34" t="s">
        <v>49</v>
      </c>
      <c r="O8" s="33" t="n">
        <f>1892</f>
        <v>1892.0</v>
      </c>
      <c r="P8" s="34" t="s">
        <v>48</v>
      </c>
      <c r="Q8" s="33" t="n">
        <f>2007</f>
        <v>2007.0</v>
      </c>
      <c r="R8" s="34" t="s">
        <v>50</v>
      </c>
      <c r="S8" s="35" t="n">
        <f>1974.8</f>
        <v>1974.8</v>
      </c>
      <c r="T8" s="32" t="n">
        <f>34722750</f>
        <v>3.472275E7</v>
      </c>
      <c r="U8" s="32" t="n">
        <f>1924020</f>
        <v>1924020.0</v>
      </c>
      <c r="V8" s="32" t="n">
        <f>68479457307</f>
        <v>6.8479457307E10</v>
      </c>
      <c r="W8" s="32" t="n">
        <f>3745634597</f>
        <v>3.745634597E9</v>
      </c>
      <c r="X8" s="36" t="n">
        <f>20</f>
        <v>20.0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1882</f>
        <v>1882.0</v>
      </c>
      <c r="L9" s="34" t="s">
        <v>48</v>
      </c>
      <c r="M9" s="33" t="n">
        <f>1989</f>
        <v>1989.0</v>
      </c>
      <c r="N9" s="34" t="s">
        <v>49</v>
      </c>
      <c r="O9" s="33" t="n">
        <f>1869</f>
        <v>1869.0</v>
      </c>
      <c r="P9" s="34" t="s">
        <v>48</v>
      </c>
      <c r="Q9" s="33" t="n">
        <f>1985.5</f>
        <v>1985.5</v>
      </c>
      <c r="R9" s="34" t="s">
        <v>50</v>
      </c>
      <c r="S9" s="35" t="n">
        <f>1951.18</f>
        <v>1951.18</v>
      </c>
      <c r="T9" s="32" t="n">
        <f>4009000</f>
        <v>4009000.0</v>
      </c>
      <c r="U9" s="32" t="n">
        <f>595700</f>
        <v>595700.0</v>
      </c>
      <c r="V9" s="32" t="n">
        <f>7844564060</f>
        <v>7.84456406E9</v>
      </c>
      <c r="W9" s="32" t="n">
        <f>1175879610</f>
        <v>1.17587961E9</v>
      </c>
      <c r="X9" s="36" t="n">
        <f>20</f>
        <v>20.0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40000</f>
        <v>40000.0</v>
      </c>
      <c r="L10" s="34" t="s">
        <v>48</v>
      </c>
      <c r="M10" s="33" t="n">
        <f>42700</f>
        <v>42700.0</v>
      </c>
      <c r="N10" s="34" t="s">
        <v>49</v>
      </c>
      <c r="O10" s="33" t="n">
        <f>37150</f>
        <v>37150.0</v>
      </c>
      <c r="P10" s="34" t="s">
        <v>60</v>
      </c>
      <c r="Q10" s="33" t="n">
        <f>37800</f>
        <v>37800.0</v>
      </c>
      <c r="R10" s="34" t="s">
        <v>50</v>
      </c>
      <c r="S10" s="35" t="n">
        <f>39969.5</f>
        <v>39969.5</v>
      </c>
      <c r="T10" s="32" t="n">
        <f>4969</f>
        <v>4969.0</v>
      </c>
      <c r="U10" s="32" t="str">
        <f>"－"</f>
        <v>－</v>
      </c>
      <c r="V10" s="32" t="n">
        <f>194480850</f>
        <v>1.9448085E8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868.4</f>
        <v>868.4</v>
      </c>
      <c r="L11" s="34" t="s">
        <v>48</v>
      </c>
      <c r="M11" s="33" t="n">
        <f>932.1</f>
        <v>932.1</v>
      </c>
      <c r="N11" s="34" t="s">
        <v>50</v>
      </c>
      <c r="O11" s="33" t="n">
        <f>865</f>
        <v>865.0</v>
      </c>
      <c r="P11" s="34" t="s">
        <v>48</v>
      </c>
      <c r="Q11" s="33" t="n">
        <f>926</f>
        <v>926.0</v>
      </c>
      <c r="R11" s="34" t="s">
        <v>50</v>
      </c>
      <c r="S11" s="35" t="n">
        <f>905.7</f>
        <v>905.7</v>
      </c>
      <c r="T11" s="32" t="n">
        <f>87270</f>
        <v>87270.0</v>
      </c>
      <c r="U11" s="32" t="n">
        <f>10</f>
        <v>10.0</v>
      </c>
      <c r="V11" s="32" t="n">
        <f>79151227</f>
        <v>7.9151227E7</v>
      </c>
      <c r="W11" s="32" t="n">
        <f>9870</f>
        <v>9870.0</v>
      </c>
      <c r="X11" s="36" t="n">
        <f>20</f>
        <v>20.0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19605</f>
        <v>19605.0</v>
      </c>
      <c r="L12" s="34" t="s">
        <v>48</v>
      </c>
      <c r="M12" s="33" t="n">
        <f>20700</f>
        <v>20700.0</v>
      </c>
      <c r="N12" s="34" t="s">
        <v>67</v>
      </c>
      <c r="O12" s="33" t="n">
        <f>19400</f>
        <v>19400.0</v>
      </c>
      <c r="P12" s="34" t="s">
        <v>68</v>
      </c>
      <c r="Q12" s="33" t="n">
        <f>20145</f>
        <v>20145.0</v>
      </c>
      <c r="R12" s="34" t="s">
        <v>50</v>
      </c>
      <c r="S12" s="35" t="n">
        <f>20092.11</f>
        <v>20092.11</v>
      </c>
      <c r="T12" s="32" t="n">
        <f>583</f>
        <v>583.0</v>
      </c>
      <c r="U12" s="32" t="str">
        <f>"－"</f>
        <v>－</v>
      </c>
      <c r="V12" s="32" t="n">
        <f>11635070</f>
        <v>1.163507E7</v>
      </c>
      <c r="W12" s="32" t="str">
        <f>"－"</f>
        <v>－</v>
      </c>
      <c r="X12" s="36" t="n">
        <f>19</f>
        <v>19.0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2868</f>
        <v>2868.0</v>
      </c>
      <c r="L13" s="34" t="s">
        <v>48</v>
      </c>
      <c r="M13" s="33" t="n">
        <f>3355</f>
        <v>3355.0</v>
      </c>
      <c r="N13" s="34" t="s">
        <v>72</v>
      </c>
      <c r="O13" s="33" t="n">
        <f>2868</f>
        <v>2868.0</v>
      </c>
      <c r="P13" s="34" t="s">
        <v>48</v>
      </c>
      <c r="Q13" s="33" t="n">
        <f>3126</f>
        <v>3126.0</v>
      </c>
      <c r="R13" s="34" t="s">
        <v>50</v>
      </c>
      <c r="S13" s="35" t="n">
        <f>3117.11</f>
        <v>3117.11</v>
      </c>
      <c r="T13" s="32" t="n">
        <f>2340</f>
        <v>2340.0</v>
      </c>
      <c r="U13" s="32" t="n">
        <f>10</f>
        <v>10.0</v>
      </c>
      <c r="V13" s="32" t="n">
        <f>7280740</f>
        <v>7280740.0</v>
      </c>
      <c r="W13" s="32" t="n">
        <f>33550</f>
        <v>33550.0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347.3</f>
        <v>347.3</v>
      </c>
      <c r="L14" s="34" t="s">
        <v>76</v>
      </c>
      <c r="M14" s="33" t="n">
        <f>352.8</f>
        <v>352.8</v>
      </c>
      <c r="N14" s="34" t="s">
        <v>77</v>
      </c>
      <c r="O14" s="33" t="n">
        <f>341.5</f>
        <v>341.5</v>
      </c>
      <c r="P14" s="34" t="s">
        <v>78</v>
      </c>
      <c r="Q14" s="33" t="n">
        <f>346.6</f>
        <v>346.6</v>
      </c>
      <c r="R14" s="34" t="s">
        <v>50</v>
      </c>
      <c r="S14" s="35" t="n">
        <f>347.04</f>
        <v>347.04</v>
      </c>
      <c r="T14" s="32" t="n">
        <f>24000</f>
        <v>24000.0</v>
      </c>
      <c r="U14" s="32" t="n">
        <f>2000</f>
        <v>2000.0</v>
      </c>
      <c r="V14" s="32" t="n">
        <f>8328800</f>
        <v>8328800.0</v>
      </c>
      <c r="W14" s="32" t="n">
        <f>700600</f>
        <v>700600.0</v>
      </c>
      <c r="X14" s="36" t="n">
        <f>9</f>
        <v>9.0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26520</f>
        <v>26520.0</v>
      </c>
      <c r="L15" s="34" t="s">
        <v>48</v>
      </c>
      <c r="M15" s="33" t="n">
        <f>28420</f>
        <v>28420.0</v>
      </c>
      <c r="N15" s="34" t="s">
        <v>50</v>
      </c>
      <c r="O15" s="33" t="n">
        <f>26390</f>
        <v>26390.0</v>
      </c>
      <c r="P15" s="34" t="s">
        <v>48</v>
      </c>
      <c r="Q15" s="33" t="n">
        <f>28400</f>
        <v>28400.0</v>
      </c>
      <c r="R15" s="34" t="s">
        <v>50</v>
      </c>
      <c r="S15" s="35" t="n">
        <f>27793.5</f>
        <v>27793.5</v>
      </c>
      <c r="T15" s="32" t="n">
        <f>1065296</f>
        <v>1065296.0</v>
      </c>
      <c r="U15" s="32" t="n">
        <f>183565</f>
        <v>183565.0</v>
      </c>
      <c r="V15" s="32" t="n">
        <f>29630488223</f>
        <v>2.9630488223E10</v>
      </c>
      <c r="W15" s="32" t="n">
        <f>5103809628</f>
        <v>5.103809628E9</v>
      </c>
      <c r="X15" s="36" t="n">
        <f>20</f>
        <v>20.0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26600</f>
        <v>26600.0</v>
      </c>
      <c r="L16" s="34" t="s">
        <v>48</v>
      </c>
      <c r="M16" s="33" t="n">
        <f>28495</f>
        <v>28495.0</v>
      </c>
      <c r="N16" s="34" t="s">
        <v>50</v>
      </c>
      <c r="O16" s="33" t="n">
        <f>26465</f>
        <v>26465.0</v>
      </c>
      <c r="P16" s="34" t="s">
        <v>48</v>
      </c>
      <c r="Q16" s="33" t="n">
        <f>28485</f>
        <v>28485.0</v>
      </c>
      <c r="R16" s="34" t="s">
        <v>50</v>
      </c>
      <c r="S16" s="35" t="n">
        <f>27875.75</f>
        <v>27875.75</v>
      </c>
      <c r="T16" s="32" t="n">
        <f>5132135</f>
        <v>5132135.0</v>
      </c>
      <c r="U16" s="32" t="n">
        <f>458803</f>
        <v>458803.0</v>
      </c>
      <c r="V16" s="32" t="n">
        <f>142795075024</f>
        <v>1.42795075024E11</v>
      </c>
      <c r="W16" s="32" t="n">
        <f>12747609254</f>
        <v>1.2747609254E10</v>
      </c>
      <c r="X16" s="36" t="n">
        <f>20</f>
        <v>20.0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7670</f>
        <v>7670.0</v>
      </c>
      <c r="L17" s="34" t="s">
        <v>48</v>
      </c>
      <c r="M17" s="33" t="n">
        <f>8160</f>
        <v>8160.0</v>
      </c>
      <c r="N17" s="34" t="s">
        <v>49</v>
      </c>
      <c r="O17" s="33" t="n">
        <f>7106</f>
        <v>7106.0</v>
      </c>
      <c r="P17" s="34" t="s">
        <v>50</v>
      </c>
      <c r="Q17" s="33" t="n">
        <f>7135</f>
        <v>7135.0</v>
      </c>
      <c r="R17" s="34" t="s">
        <v>50</v>
      </c>
      <c r="S17" s="35" t="n">
        <f>7688</f>
        <v>7688.0</v>
      </c>
      <c r="T17" s="32" t="n">
        <f>8120</f>
        <v>8120.0</v>
      </c>
      <c r="U17" s="32" t="str">
        <f>"－"</f>
        <v>－</v>
      </c>
      <c r="V17" s="32" t="n">
        <f>61872980</f>
        <v>6.187298E7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str">
        <f>"－"</f>
        <v>－</v>
      </c>
      <c r="L18" s="34"/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5" t="str">
        <f>"－"</f>
        <v>－</v>
      </c>
      <c r="T18" s="32" t="str">
        <f>"－"</f>
        <v>－</v>
      </c>
      <c r="U18" s="32" t="str">
        <f>"－"</f>
        <v>－</v>
      </c>
      <c r="V18" s="32" t="str">
        <f>"－"</f>
        <v>－</v>
      </c>
      <c r="W18" s="32" t="str">
        <f>"－"</f>
        <v>－</v>
      </c>
      <c r="X18" s="36" t="str">
        <f>"－"</f>
        <v>－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190.1</f>
        <v>190.1</v>
      </c>
      <c r="L19" s="34" t="s">
        <v>48</v>
      </c>
      <c r="M19" s="33" t="n">
        <f>214</f>
        <v>214.0</v>
      </c>
      <c r="N19" s="34" t="s">
        <v>76</v>
      </c>
      <c r="O19" s="33" t="n">
        <f>190</f>
        <v>190.0</v>
      </c>
      <c r="P19" s="34" t="s">
        <v>48</v>
      </c>
      <c r="Q19" s="33" t="n">
        <f>210</f>
        <v>210.0</v>
      </c>
      <c r="R19" s="34" t="s">
        <v>50</v>
      </c>
      <c r="S19" s="35" t="n">
        <f>205.67</f>
        <v>205.67</v>
      </c>
      <c r="T19" s="32" t="n">
        <f>578700</f>
        <v>578700.0</v>
      </c>
      <c r="U19" s="32" t="n">
        <f>300</f>
        <v>300.0</v>
      </c>
      <c r="V19" s="32" t="n">
        <f>119885270</f>
        <v>1.1988527E8</v>
      </c>
      <c r="W19" s="32" t="n">
        <f>61800</f>
        <v>61800.0</v>
      </c>
      <c r="X19" s="36" t="n">
        <f>20</f>
        <v>20.0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22450</f>
        <v>22450.0</v>
      </c>
      <c r="L20" s="34" t="s">
        <v>48</v>
      </c>
      <c r="M20" s="33" t="n">
        <f>23205</f>
        <v>23205.0</v>
      </c>
      <c r="N20" s="34" t="s">
        <v>49</v>
      </c>
      <c r="O20" s="33" t="n">
        <f>22415</f>
        <v>22415.0</v>
      </c>
      <c r="P20" s="34" t="s">
        <v>48</v>
      </c>
      <c r="Q20" s="33" t="n">
        <f>22600</f>
        <v>22600.0</v>
      </c>
      <c r="R20" s="34" t="s">
        <v>50</v>
      </c>
      <c r="S20" s="35" t="n">
        <f>22829.25</f>
        <v>22829.25</v>
      </c>
      <c r="T20" s="32" t="n">
        <f>133407</f>
        <v>133407.0</v>
      </c>
      <c r="U20" s="32" t="n">
        <f>24</f>
        <v>24.0</v>
      </c>
      <c r="V20" s="32" t="n">
        <f>3040533255</f>
        <v>3.040533255E9</v>
      </c>
      <c r="W20" s="32" t="n">
        <f>570600</f>
        <v>570600.0</v>
      </c>
      <c r="X20" s="36" t="n">
        <f>20</f>
        <v>20.0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6030</f>
        <v>6030.0</v>
      </c>
      <c r="L21" s="34" t="s">
        <v>48</v>
      </c>
      <c r="M21" s="33" t="n">
        <f>6231</f>
        <v>6231.0</v>
      </c>
      <c r="N21" s="34" t="s">
        <v>49</v>
      </c>
      <c r="O21" s="33" t="n">
        <f>6019</f>
        <v>6019.0</v>
      </c>
      <c r="P21" s="34" t="s">
        <v>48</v>
      </c>
      <c r="Q21" s="33" t="n">
        <f>6060</f>
        <v>6060.0</v>
      </c>
      <c r="R21" s="34" t="s">
        <v>50</v>
      </c>
      <c r="S21" s="35" t="n">
        <f>6124.35</f>
        <v>6124.35</v>
      </c>
      <c r="T21" s="32" t="n">
        <f>76510</f>
        <v>76510.0</v>
      </c>
      <c r="U21" s="32" t="n">
        <f>80</f>
        <v>80.0</v>
      </c>
      <c r="V21" s="32" t="n">
        <f>469515660</f>
        <v>4.6951566E8</v>
      </c>
      <c r="W21" s="32" t="n">
        <f>492720</f>
        <v>492720.0</v>
      </c>
      <c r="X21" s="36" t="n">
        <f>20</f>
        <v>20.0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26740</f>
        <v>26740.0</v>
      </c>
      <c r="L22" s="34" t="s">
        <v>48</v>
      </c>
      <c r="M22" s="33" t="n">
        <f>28670</f>
        <v>28670.0</v>
      </c>
      <c r="N22" s="34" t="s">
        <v>50</v>
      </c>
      <c r="O22" s="33" t="n">
        <f>26625</f>
        <v>26625.0</v>
      </c>
      <c r="P22" s="34" t="s">
        <v>48</v>
      </c>
      <c r="Q22" s="33" t="n">
        <f>28645</f>
        <v>28645.0</v>
      </c>
      <c r="R22" s="34" t="s">
        <v>50</v>
      </c>
      <c r="S22" s="35" t="n">
        <f>28034</f>
        <v>28034.0</v>
      </c>
      <c r="T22" s="32" t="n">
        <f>547717</f>
        <v>547717.0</v>
      </c>
      <c r="U22" s="32" t="n">
        <f>207520</f>
        <v>207520.0</v>
      </c>
      <c r="V22" s="32" t="n">
        <f>15407094912</f>
        <v>1.5407094912E10</v>
      </c>
      <c r="W22" s="32" t="n">
        <f>5893847697</f>
        <v>5.893847697E9</v>
      </c>
      <c r="X22" s="36" t="n">
        <f>20</f>
        <v>20.0</v>
      </c>
    </row>
    <row r="23">
      <c r="A23" s="27" t="s">
        <v>42</v>
      </c>
      <c r="B23" s="27" t="s">
        <v>103</v>
      </c>
      <c r="C23" s="27" t="s">
        <v>104</v>
      </c>
      <c r="D23" s="27" t="s">
        <v>105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26630</f>
        <v>26630.0</v>
      </c>
      <c r="L23" s="34" t="s">
        <v>48</v>
      </c>
      <c r="M23" s="33" t="n">
        <f>28530</f>
        <v>28530.0</v>
      </c>
      <c r="N23" s="34" t="s">
        <v>50</v>
      </c>
      <c r="O23" s="33" t="n">
        <f>26515</f>
        <v>26515.0</v>
      </c>
      <c r="P23" s="34" t="s">
        <v>48</v>
      </c>
      <c r="Q23" s="33" t="n">
        <f>28515</f>
        <v>28515.0</v>
      </c>
      <c r="R23" s="34" t="s">
        <v>50</v>
      </c>
      <c r="S23" s="35" t="n">
        <f>27907.5</f>
        <v>27907.5</v>
      </c>
      <c r="T23" s="32" t="n">
        <f>964470</f>
        <v>964470.0</v>
      </c>
      <c r="U23" s="32" t="n">
        <f>91900</f>
        <v>91900.0</v>
      </c>
      <c r="V23" s="32" t="n">
        <f>26927171552</f>
        <v>2.6927171552E10</v>
      </c>
      <c r="W23" s="32" t="n">
        <f>2569565102</f>
        <v>2.569565102E9</v>
      </c>
      <c r="X23" s="36" t="n">
        <f>20</f>
        <v>20.0</v>
      </c>
    </row>
    <row r="24">
      <c r="A24" s="27" t="s">
        <v>42</v>
      </c>
      <c r="B24" s="27" t="s">
        <v>106</v>
      </c>
      <c r="C24" s="27" t="s">
        <v>107</v>
      </c>
      <c r="D24" s="27" t="s">
        <v>108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2102.5</f>
        <v>2102.5</v>
      </c>
      <c r="L24" s="34" t="s">
        <v>48</v>
      </c>
      <c r="M24" s="33" t="n">
        <f>2143</f>
        <v>2143.0</v>
      </c>
      <c r="N24" s="34" t="s">
        <v>109</v>
      </c>
      <c r="O24" s="33" t="n">
        <f>1996</f>
        <v>1996.0</v>
      </c>
      <c r="P24" s="34" t="s">
        <v>110</v>
      </c>
      <c r="Q24" s="33" t="n">
        <f>2127</f>
        <v>2127.0</v>
      </c>
      <c r="R24" s="34" t="s">
        <v>50</v>
      </c>
      <c r="S24" s="35" t="n">
        <f>2070.05</f>
        <v>2070.05</v>
      </c>
      <c r="T24" s="32" t="n">
        <f>11196420</f>
        <v>1.119642E7</v>
      </c>
      <c r="U24" s="32" t="n">
        <f>2025120</f>
        <v>2025120.0</v>
      </c>
      <c r="V24" s="32" t="n">
        <f>23157053834</f>
        <v>2.3157053834E10</v>
      </c>
      <c r="W24" s="32" t="n">
        <f>4187040544</f>
        <v>4.187040544E9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100.0</v>
      </c>
      <c r="K25" s="33" t="n">
        <f>1973.5</f>
        <v>1973.5</v>
      </c>
      <c r="L25" s="34" t="s">
        <v>48</v>
      </c>
      <c r="M25" s="33" t="n">
        <f>2010.5</f>
        <v>2010.5</v>
      </c>
      <c r="N25" s="34" t="s">
        <v>50</v>
      </c>
      <c r="O25" s="33" t="n">
        <f>1875</f>
        <v>1875.0</v>
      </c>
      <c r="P25" s="34" t="s">
        <v>110</v>
      </c>
      <c r="Q25" s="33" t="n">
        <f>1997.5</f>
        <v>1997.5</v>
      </c>
      <c r="R25" s="34" t="s">
        <v>50</v>
      </c>
      <c r="S25" s="35" t="n">
        <f>1943.53</f>
        <v>1943.53</v>
      </c>
      <c r="T25" s="32" t="n">
        <f>1277300</f>
        <v>1277300.0</v>
      </c>
      <c r="U25" s="32" t="n">
        <f>394600</f>
        <v>394600.0</v>
      </c>
      <c r="V25" s="32" t="n">
        <f>2477996356</f>
        <v>2.477996356E9</v>
      </c>
      <c r="W25" s="32" t="n">
        <f>773220006</f>
        <v>7.73220006E8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26780</f>
        <v>26780.0</v>
      </c>
      <c r="L26" s="34" t="s">
        <v>48</v>
      </c>
      <c r="M26" s="33" t="n">
        <f>28625</f>
        <v>28625.0</v>
      </c>
      <c r="N26" s="34" t="s">
        <v>50</v>
      </c>
      <c r="O26" s="33" t="n">
        <f>26640</f>
        <v>26640.0</v>
      </c>
      <c r="P26" s="34" t="s">
        <v>48</v>
      </c>
      <c r="Q26" s="33" t="n">
        <f>28605</f>
        <v>28605.0</v>
      </c>
      <c r="R26" s="34" t="s">
        <v>50</v>
      </c>
      <c r="S26" s="35" t="n">
        <f>28003.25</f>
        <v>28003.25</v>
      </c>
      <c r="T26" s="32" t="n">
        <f>709424</f>
        <v>709424.0</v>
      </c>
      <c r="U26" s="32" t="n">
        <f>296830</f>
        <v>296830.0</v>
      </c>
      <c r="V26" s="32" t="n">
        <f>19757362911</f>
        <v>1.9757362911E10</v>
      </c>
      <c r="W26" s="32" t="n">
        <f>8174693486</f>
        <v>8.174693486E9</v>
      </c>
      <c r="X26" s="36" t="n">
        <f>20</f>
        <v>20.0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1905.5</f>
        <v>1905.5</v>
      </c>
      <c r="L27" s="34" t="s">
        <v>48</v>
      </c>
      <c r="M27" s="33" t="n">
        <f>2014.5</f>
        <v>2014.5</v>
      </c>
      <c r="N27" s="34" t="s">
        <v>49</v>
      </c>
      <c r="O27" s="33" t="n">
        <f>1893</f>
        <v>1893.0</v>
      </c>
      <c r="P27" s="34" t="s">
        <v>48</v>
      </c>
      <c r="Q27" s="33" t="n">
        <f>2011.5</f>
        <v>2011.5</v>
      </c>
      <c r="R27" s="34" t="s">
        <v>50</v>
      </c>
      <c r="S27" s="35" t="n">
        <f>1976.8</f>
        <v>1976.8</v>
      </c>
      <c r="T27" s="32" t="n">
        <f>1755340</f>
        <v>1755340.0</v>
      </c>
      <c r="U27" s="32" t="n">
        <f>218250</f>
        <v>218250.0</v>
      </c>
      <c r="V27" s="32" t="n">
        <f>3457326705</f>
        <v>3.457326705E9</v>
      </c>
      <c r="W27" s="32" t="n">
        <f>431153955</f>
        <v>4.31153955E8</v>
      </c>
      <c r="X27" s="36" t="n">
        <f>20</f>
        <v>20.0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14435</f>
        <v>14435.0</v>
      </c>
      <c r="L28" s="34" t="s">
        <v>48</v>
      </c>
      <c r="M28" s="33" t="n">
        <f>14885</f>
        <v>14885.0</v>
      </c>
      <c r="N28" s="34" t="s">
        <v>77</v>
      </c>
      <c r="O28" s="33" t="n">
        <f>14435</f>
        <v>14435.0</v>
      </c>
      <c r="P28" s="34" t="s">
        <v>48</v>
      </c>
      <c r="Q28" s="33" t="n">
        <f>14665</f>
        <v>14665.0</v>
      </c>
      <c r="R28" s="34" t="s">
        <v>50</v>
      </c>
      <c r="S28" s="35" t="n">
        <f>14612.5</f>
        <v>14612.5</v>
      </c>
      <c r="T28" s="32" t="n">
        <f>379</f>
        <v>379.0</v>
      </c>
      <c r="U28" s="32" t="str">
        <f>"－"</f>
        <v>－</v>
      </c>
      <c r="V28" s="32" t="n">
        <f>5548650</f>
        <v>5548650.0</v>
      </c>
      <c r="W28" s="32" t="str">
        <f>"－"</f>
        <v>－</v>
      </c>
      <c r="X28" s="36" t="n">
        <f>18</f>
        <v>18.0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10.0</v>
      </c>
      <c r="K29" s="33" t="n">
        <f>1054.5</f>
        <v>1054.5</v>
      </c>
      <c r="L29" s="34" t="s">
        <v>48</v>
      </c>
      <c r="M29" s="33" t="n">
        <f>1067.5</f>
        <v>1067.5</v>
      </c>
      <c r="N29" s="34" t="s">
        <v>48</v>
      </c>
      <c r="O29" s="33" t="n">
        <f>935.1</f>
        <v>935.1</v>
      </c>
      <c r="P29" s="34" t="s">
        <v>50</v>
      </c>
      <c r="Q29" s="33" t="n">
        <f>935.1</f>
        <v>935.1</v>
      </c>
      <c r="R29" s="34" t="s">
        <v>50</v>
      </c>
      <c r="S29" s="35" t="n">
        <f>974.02</f>
        <v>974.02</v>
      </c>
      <c r="T29" s="32" t="n">
        <f>8294590</f>
        <v>8294590.0</v>
      </c>
      <c r="U29" s="32" t="str">
        <f>"－"</f>
        <v>－</v>
      </c>
      <c r="V29" s="32" t="n">
        <f>8079853005</f>
        <v>8.079853005E9</v>
      </c>
      <c r="W29" s="32" t="str">
        <f>"－"</f>
        <v>－</v>
      </c>
      <c r="X29" s="36" t="n">
        <f>20</f>
        <v>20.0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415</f>
        <v>415.0</v>
      </c>
      <c r="L30" s="34" t="s">
        <v>48</v>
      </c>
      <c r="M30" s="33" t="n">
        <f>419</f>
        <v>419.0</v>
      </c>
      <c r="N30" s="34" t="s">
        <v>48</v>
      </c>
      <c r="O30" s="33" t="n">
        <f>356</f>
        <v>356.0</v>
      </c>
      <c r="P30" s="34" t="s">
        <v>129</v>
      </c>
      <c r="Q30" s="33" t="n">
        <f>356</f>
        <v>356.0</v>
      </c>
      <c r="R30" s="34" t="s">
        <v>50</v>
      </c>
      <c r="S30" s="35" t="n">
        <f>374.3</f>
        <v>374.3</v>
      </c>
      <c r="T30" s="32" t="n">
        <f>1888993299</f>
        <v>1.888993299E9</v>
      </c>
      <c r="U30" s="32" t="n">
        <f>6239252</f>
        <v>6239252.0</v>
      </c>
      <c r="V30" s="32" t="n">
        <f>709348693733</f>
        <v>7.09348693733E11</v>
      </c>
      <c r="W30" s="32" t="n">
        <f>2304768949</f>
        <v>2.304768949E9</v>
      </c>
      <c r="X30" s="36" t="n">
        <f>20</f>
        <v>20.0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23165</f>
        <v>23165.0</v>
      </c>
      <c r="L31" s="34" t="s">
        <v>48</v>
      </c>
      <c r="M31" s="33" t="n">
        <f>26510</f>
        <v>26510.0</v>
      </c>
      <c r="N31" s="34" t="s">
        <v>50</v>
      </c>
      <c r="O31" s="33" t="n">
        <f>22970</f>
        <v>22970.0</v>
      </c>
      <c r="P31" s="34" t="s">
        <v>48</v>
      </c>
      <c r="Q31" s="33" t="n">
        <f>26500</f>
        <v>26500.0</v>
      </c>
      <c r="R31" s="34" t="s">
        <v>50</v>
      </c>
      <c r="S31" s="35" t="n">
        <f>25404.5</f>
        <v>25404.5</v>
      </c>
      <c r="T31" s="32" t="n">
        <f>603792</f>
        <v>603792.0</v>
      </c>
      <c r="U31" s="32" t="str">
        <f>"－"</f>
        <v>－</v>
      </c>
      <c r="V31" s="32" t="n">
        <f>15353309830</f>
        <v>1.535330983E10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1012</f>
        <v>1012.0</v>
      </c>
      <c r="L32" s="34" t="s">
        <v>48</v>
      </c>
      <c r="M32" s="33" t="n">
        <f>1021</f>
        <v>1021.0</v>
      </c>
      <c r="N32" s="34" t="s">
        <v>48</v>
      </c>
      <c r="O32" s="33" t="n">
        <f>870.1</f>
        <v>870.1</v>
      </c>
      <c r="P32" s="34" t="s">
        <v>50</v>
      </c>
      <c r="Q32" s="33" t="n">
        <f>870.5</f>
        <v>870.5</v>
      </c>
      <c r="R32" s="34" t="s">
        <v>50</v>
      </c>
      <c r="S32" s="35" t="n">
        <f>914.54</f>
        <v>914.54</v>
      </c>
      <c r="T32" s="32" t="n">
        <f>262489650</f>
        <v>2.6248965E8</v>
      </c>
      <c r="U32" s="32" t="n">
        <f>1072750</f>
        <v>1072750.0</v>
      </c>
      <c r="V32" s="32" t="n">
        <f>240649984150</f>
        <v>2.4064998415E11</v>
      </c>
      <c r="W32" s="32" t="n">
        <f>997258185</f>
        <v>9.97258185E8</v>
      </c>
      <c r="X32" s="36" t="n">
        <f>20</f>
        <v>20.0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16855</f>
        <v>16855.0</v>
      </c>
      <c r="L33" s="34" t="s">
        <v>48</v>
      </c>
      <c r="M33" s="33" t="n">
        <f>17865</f>
        <v>17865.0</v>
      </c>
      <c r="N33" s="34" t="s">
        <v>49</v>
      </c>
      <c r="O33" s="33" t="n">
        <f>16780</f>
        <v>16780.0</v>
      </c>
      <c r="P33" s="34" t="s">
        <v>48</v>
      </c>
      <c r="Q33" s="33" t="n">
        <f>17765</f>
        <v>17765.0</v>
      </c>
      <c r="R33" s="34" t="s">
        <v>50</v>
      </c>
      <c r="S33" s="35" t="n">
        <f>17486.5</f>
        <v>17486.5</v>
      </c>
      <c r="T33" s="32" t="n">
        <f>6312</f>
        <v>6312.0</v>
      </c>
      <c r="U33" s="32" t="n">
        <f>2</f>
        <v>2.0</v>
      </c>
      <c r="V33" s="32" t="n">
        <f>109444070</f>
        <v>1.0944407E8</v>
      </c>
      <c r="W33" s="32" t="n">
        <f>34795</f>
        <v>34795.0</v>
      </c>
      <c r="X33" s="36" t="n">
        <f>20</f>
        <v>20.0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19335</f>
        <v>19335.0</v>
      </c>
      <c r="L34" s="34" t="s">
        <v>48</v>
      </c>
      <c r="M34" s="33" t="n">
        <f>22090</f>
        <v>22090.0</v>
      </c>
      <c r="N34" s="34" t="s">
        <v>129</v>
      </c>
      <c r="O34" s="33" t="n">
        <f>19135</f>
        <v>19135.0</v>
      </c>
      <c r="P34" s="34" t="s">
        <v>48</v>
      </c>
      <c r="Q34" s="33" t="n">
        <f>22080</f>
        <v>22080.0</v>
      </c>
      <c r="R34" s="34" t="s">
        <v>50</v>
      </c>
      <c r="S34" s="35" t="n">
        <f>21176.25</f>
        <v>21176.25</v>
      </c>
      <c r="T34" s="32" t="n">
        <f>1172610</f>
        <v>1172610.0</v>
      </c>
      <c r="U34" s="32" t="str">
        <f>"－"</f>
        <v>－</v>
      </c>
      <c r="V34" s="32" t="n">
        <f>24761861505</f>
        <v>2.4761861505E10</v>
      </c>
      <c r="W34" s="32" t="str">
        <f>"－"</f>
        <v>－</v>
      </c>
      <c r="X34" s="36" t="n">
        <f>20</f>
        <v>20.0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1080</f>
        <v>1080.0</v>
      </c>
      <c r="L35" s="34" t="s">
        <v>48</v>
      </c>
      <c r="M35" s="33" t="n">
        <f>1089</f>
        <v>1089.0</v>
      </c>
      <c r="N35" s="34" t="s">
        <v>48</v>
      </c>
      <c r="O35" s="33" t="n">
        <f>927</f>
        <v>927.0</v>
      </c>
      <c r="P35" s="34" t="s">
        <v>50</v>
      </c>
      <c r="Q35" s="33" t="n">
        <f>929</f>
        <v>929.0</v>
      </c>
      <c r="R35" s="34" t="s">
        <v>50</v>
      </c>
      <c r="S35" s="35" t="n">
        <f>974.65</f>
        <v>974.65</v>
      </c>
      <c r="T35" s="32" t="n">
        <f>34623751</f>
        <v>3.4623751E7</v>
      </c>
      <c r="U35" s="32" t="n">
        <f>81</f>
        <v>81.0</v>
      </c>
      <c r="V35" s="32" t="n">
        <f>33954751121</f>
        <v>3.3954751121E10</v>
      </c>
      <c r="W35" s="32" t="n">
        <f>77746</f>
        <v>77746.0</v>
      </c>
      <c r="X35" s="36" t="n">
        <f>20</f>
        <v>20.0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16690</f>
        <v>16690.0</v>
      </c>
      <c r="L36" s="34" t="s">
        <v>48</v>
      </c>
      <c r="M36" s="33" t="n">
        <f>18600</f>
        <v>18600.0</v>
      </c>
      <c r="N36" s="34" t="s">
        <v>49</v>
      </c>
      <c r="O36" s="33" t="n">
        <f>16470</f>
        <v>16470.0</v>
      </c>
      <c r="P36" s="34" t="s">
        <v>48</v>
      </c>
      <c r="Q36" s="33" t="n">
        <f>18515</f>
        <v>18515.0</v>
      </c>
      <c r="R36" s="34" t="s">
        <v>50</v>
      </c>
      <c r="S36" s="35" t="n">
        <f>17902.5</f>
        <v>17902.5</v>
      </c>
      <c r="T36" s="32" t="n">
        <f>144568</f>
        <v>144568.0</v>
      </c>
      <c r="U36" s="32" t="n">
        <f>2</f>
        <v>2.0</v>
      </c>
      <c r="V36" s="32" t="n">
        <f>2592604290</f>
        <v>2.59260429E9</v>
      </c>
      <c r="W36" s="32" t="n">
        <f>36350</f>
        <v>36350.0</v>
      </c>
      <c r="X36" s="36" t="n">
        <f>20</f>
        <v>20.0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1527</f>
        <v>1527.0</v>
      </c>
      <c r="L37" s="34" t="s">
        <v>48</v>
      </c>
      <c r="M37" s="33" t="n">
        <f>1546</f>
        <v>1546.0</v>
      </c>
      <c r="N37" s="34" t="s">
        <v>48</v>
      </c>
      <c r="O37" s="33" t="n">
        <f>1356</f>
        <v>1356.0</v>
      </c>
      <c r="P37" s="34" t="s">
        <v>50</v>
      </c>
      <c r="Q37" s="33" t="n">
        <f>1356</f>
        <v>1356.0</v>
      </c>
      <c r="R37" s="34" t="s">
        <v>50</v>
      </c>
      <c r="S37" s="35" t="n">
        <f>1410.1</f>
        <v>1410.1</v>
      </c>
      <c r="T37" s="32" t="n">
        <f>1119688</f>
        <v>1119688.0</v>
      </c>
      <c r="U37" s="32" t="str">
        <f>"－"</f>
        <v>－</v>
      </c>
      <c r="V37" s="32" t="n">
        <f>1584600709</f>
        <v>1.584600709E9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25960</f>
        <v>25960.0</v>
      </c>
      <c r="L38" s="34" t="s">
        <v>48</v>
      </c>
      <c r="M38" s="33" t="n">
        <f>27800</f>
        <v>27800.0</v>
      </c>
      <c r="N38" s="34" t="s">
        <v>50</v>
      </c>
      <c r="O38" s="33" t="n">
        <f>25835</f>
        <v>25835.0</v>
      </c>
      <c r="P38" s="34" t="s">
        <v>48</v>
      </c>
      <c r="Q38" s="33" t="n">
        <f>27755</f>
        <v>27755.0</v>
      </c>
      <c r="R38" s="34" t="s">
        <v>50</v>
      </c>
      <c r="S38" s="35" t="n">
        <f>27197.75</f>
        <v>27197.75</v>
      </c>
      <c r="T38" s="32" t="n">
        <f>101223</f>
        <v>101223.0</v>
      </c>
      <c r="U38" s="32" t="n">
        <f>21103</f>
        <v>21103.0</v>
      </c>
      <c r="V38" s="32" t="n">
        <f>2725061692</f>
        <v>2.725061692E9</v>
      </c>
      <c r="W38" s="32" t="n">
        <f>559147692</f>
        <v>5.59147692E8</v>
      </c>
      <c r="X38" s="36" t="n">
        <f>20</f>
        <v>20.0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4815</f>
        <v>4815.0</v>
      </c>
      <c r="L39" s="34" t="s">
        <v>48</v>
      </c>
      <c r="M39" s="33" t="n">
        <f>5400</f>
        <v>5400.0</v>
      </c>
      <c r="N39" s="34" t="s">
        <v>50</v>
      </c>
      <c r="O39" s="33" t="n">
        <f>4770</f>
        <v>4770.0</v>
      </c>
      <c r="P39" s="34" t="s">
        <v>48</v>
      </c>
      <c r="Q39" s="33" t="n">
        <f>5370</f>
        <v>5370.0</v>
      </c>
      <c r="R39" s="34" t="s">
        <v>50</v>
      </c>
      <c r="S39" s="35" t="n">
        <f>5102</f>
        <v>5102.0</v>
      </c>
      <c r="T39" s="32" t="n">
        <f>4601</f>
        <v>4601.0</v>
      </c>
      <c r="U39" s="32" t="str">
        <f>"－"</f>
        <v>－</v>
      </c>
      <c r="V39" s="32" t="n">
        <f>23362045</f>
        <v>2.3362045E7</v>
      </c>
      <c r="W39" s="32" t="str">
        <f>"－"</f>
        <v>－</v>
      </c>
      <c r="X39" s="36" t="n">
        <f>20</f>
        <v>20.0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9070</f>
        <v>9070.0</v>
      </c>
      <c r="L40" s="34" t="s">
        <v>48</v>
      </c>
      <c r="M40" s="33" t="n">
        <f>10000</f>
        <v>10000.0</v>
      </c>
      <c r="N40" s="34" t="s">
        <v>50</v>
      </c>
      <c r="O40" s="33" t="n">
        <f>8851</f>
        <v>8851.0</v>
      </c>
      <c r="P40" s="34" t="s">
        <v>48</v>
      </c>
      <c r="Q40" s="33" t="n">
        <f>9930</f>
        <v>9930.0</v>
      </c>
      <c r="R40" s="34" t="s">
        <v>50</v>
      </c>
      <c r="S40" s="35" t="n">
        <f>9527.4</f>
        <v>9527.4</v>
      </c>
      <c r="T40" s="32" t="n">
        <f>1850</f>
        <v>1850.0</v>
      </c>
      <c r="U40" s="32" t="str">
        <f>"－"</f>
        <v>－</v>
      </c>
      <c r="V40" s="32" t="n">
        <f>17480226</f>
        <v>1.7480226E7</v>
      </c>
      <c r="W40" s="32" t="str">
        <f>"－"</f>
        <v>－</v>
      </c>
      <c r="X40" s="36" t="n">
        <f>20</f>
        <v>20.0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16400</f>
        <v>16400.0</v>
      </c>
      <c r="L41" s="34" t="s">
        <v>48</v>
      </c>
      <c r="M41" s="33" t="n">
        <f>18110</f>
        <v>18110.0</v>
      </c>
      <c r="N41" s="34" t="s">
        <v>163</v>
      </c>
      <c r="O41" s="33" t="n">
        <f>16065</f>
        <v>16065.0</v>
      </c>
      <c r="P41" s="34" t="s">
        <v>68</v>
      </c>
      <c r="Q41" s="33" t="n">
        <f>18110</f>
        <v>18110.0</v>
      </c>
      <c r="R41" s="34" t="s">
        <v>163</v>
      </c>
      <c r="S41" s="35" t="n">
        <f>17063.18</f>
        <v>17063.18</v>
      </c>
      <c r="T41" s="32" t="n">
        <f>158</f>
        <v>158.0</v>
      </c>
      <c r="U41" s="32" t="str">
        <f>"－"</f>
        <v>－</v>
      </c>
      <c r="V41" s="32" t="n">
        <f>2669865</f>
        <v>2669865.0</v>
      </c>
      <c r="W41" s="32" t="str">
        <f>"－"</f>
        <v>－</v>
      </c>
      <c r="X41" s="36" t="n">
        <f>11</f>
        <v>11.0</v>
      </c>
    </row>
    <row r="42">
      <c r="A42" s="27" t="s">
        <v>42</v>
      </c>
      <c r="B42" s="27" t="s">
        <v>164</v>
      </c>
      <c r="C42" s="27" t="s">
        <v>165</v>
      </c>
      <c r="D42" s="27" t="s">
        <v>166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13580</f>
        <v>13580.0</v>
      </c>
      <c r="L42" s="34" t="s">
        <v>48</v>
      </c>
      <c r="M42" s="33" t="n">
        <f>14740</f>
        <v>14740.0</v>
      </c>
      <c r="N42" s="34" t="s">
        <v>167</v>
      </c>
      <c r="O42" s="33" t="n">
        <f>13500</f>
        <v>13500.0</v>
      </c>
      <c r="P42" s="34" t="s">
        <v>48</v>
      </c>
      <c r="Q42" s="33" t="n">
        <f>14110</f>
        <v>14110.0</v>
      </c>
      <c r="R42" s="34" t="s">
        <v>72</v>
      </c>
      <c r="S42" s="35" t="n">
        <f>14036.67</f>
        <v>14036.67</v>
      </c>
      <c r="T42" s="32" t="n">
        <f>21</f>
        <v>21.0</v>
      </c>
      <c r="U42" s="32" t="str">
        <f>"－"</f>
        <v>－</v>
      </c>
      <c r="V42" s="32" t="n">
        <f>293315</f>
        <v>293315.0</v>
      </c>
      <c r="W42" s="32" t="str">
        <f>"－"</f>
        <v>－</v>
      </c>
      <c r="X42" s="36" t="n">
        <f>6</f>
        <v>6.0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10270</f>
        <v>10270.0</v>
      </c>
      <c r="L43" s="34" t="s">
        <v>48</v>
      </c>
      <c r="M43" s="33" t="n">
        <f>11170</f>
        <v>11170.0</v>
      </c>
      <c r="N43" s="34" t="s">
        <v>50</v>
      </c>
      <c r="O43" s="33" t="n">
        <f>10220</f>
        <v>10220.0</v>
      </c>
      <c r="P43" s="34" t="s">
        <v>48</v>
      </c>
      <c r="Q43" s="33" t="n">
        <f>11140</f>
        <v>11140.0</v>
      </c>
      <c r="R43" s="34" t="s">
        <v>50</v>
      </c>
      <c r="S43" s="35" t="n">
        <f>10730.25</f>
        <v>10730.25</v>
      </c>
      <c r="T43" s="32" t="n">
        <f>1489</f>
        <v>1489.0</v>
      </c>
      <c r="U43" s="32" t="str">
        <f>"－"</f>
        <v>－</v>
      </c>
      <c r="V43" s="32" t="n">
        <f>16041265</f>
        <v>1.6041265E7</v>
      </c>
      <c r="W43" s="32" t="str">
        <f>"－"</f>
        <v>－</v>
      </c>
      <c r="X43" s="36" t="n">
        <f>20</f>
        <v>20.0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5470</f>
        <v>5470.0</v>
      </c>
      <c r="L44" s="34" t="s">
        <v>48</v>
      </c>
      <c r="M44" s="33" t="n">
        <f>5660</f>
        <v>5660.0</v>
      </c>
      <c r="N44" s="34" t="s">
        <v>49</v>
      </c>
      <c r="O44" s="33" t="n">
        <f>5280</f>
        <v>5280.0</v>
      </c>
      <c r="P44" s="34" t="s">
        <v>48</v>
      </c>
      <c r="Q44" s="33" t="n">
        <f>5540</f>
        <v>5540.0</v>
      </c>
      <c r="R44" s="34" t="s">
        <v>50</v>
      </c>
      <c r="S44" s="35" t="n">
        <f>5468.5</f>
        <v>5468.5</v>
      </c>
      <c r="T44" s="32" t="n">
        <f>1926</f>
        <v>1926.0</v>
      </c>
      <c r="U44" s="32" t="str">
        <f>"－"</f>
        <v>－</v>
      </c>
      <c r="V44" s="32" t="n">
        <f>10522450</f>
        <v>1.052245E7</v>
      </c>
      <c r="W44" s="32" t="str">
        <f>"－"</f>
        <v>－</v>
      </c>
      <c r="X44" s="36" t="n">
        <f>20</f>
        <v>20.0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2931</f>
        <v>2931.0</v>
      </c>
      <c r="L45" s="34" t="s">
        <v>48</v>
      </c>
      <c r="M45" s="33" t="n">
        <f>3120</f>
        <v>3120.0</v>
      </c>
      <c r="N45" s="34" t="s">
        <v>50</v>
      </c>
      <c r="O45" s="33" t="n">
        <f>2871</f>
        <v>2871.0</v>
      </c>
      <c r="P45" s="34" t="s">
        <v>48</v>
      </c>
      <c r="Q45" s="33" t="n">
        <f>3115</f>
        <v>3115.0</v>
      </c>
      <c r="R45" s="34" t="s">
        <v>50</v>
      </c>
      <c r="S45" s="35" t="n">
        <f>2985.75</f>
        <v>2985.75</v>
      </c>
      <c r="T45" s="32" t="n">
        <f>3731</f>
        <v>3731.0</v>
      </c>
      <c r="U45" s="32" t="str">
        <f>"－"</f>
        <v>－</v>
      </c>
      <c r="V45" s="32" t="n">
        <f>11139143</f>
        <v>1.1139143E7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2869</f>
        <v>2869.0</v>
      </c>
      <c r="L46" s="34" t="s">
        <v>48</v>
      </c>
      <c r="M46" s="33" t="n">
        <f>3075</f>
        <v>3075.0</v>
      </c>
      <c r="N46" s="34" t="s">
        <v>50</v>
      </c>
      <c r="O46" s="33" t="n">
        <f>2805</f>
        <v>2805.0</v>
      </c>
      <c r="P46" s="34" t="s">
        <v>180</v>
      </c>
      <c r="Q46" s="33" t="n">
        <f>3075</f>
        <v>3075.0</v>
      </c>
      <c r="R46" s="34" t="s">
        <v>50</v>
      </c>
      <c r="S46" s="35" t="n">
        <f>2951.7</f>
        <v>2951.7</v>
      </c>
      <c r="T46" s="32" t="n">
        <f>2206</f>
        <v>2206.0</v>
      </c>
      <c r="U46" s="32" t="str">
        <f>"－"</f>
        <v>－</v>
      </c>
      <c r="V46" s="32" t="n">
        <f>6489394</f>
        <v>6489394.0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51630</f>
        <v>51630.0</v>
      </c>
      <c r="L47" s="34" t="s">
        <v>48</v>
      </c>
      <c r="M47" s="33" t="n">
        <f>55280</f>
        <v>55280.0</v>
      </c>
      <c r="N47" s="34" t="s">
        <v>50</v>
      </c>
      <c r="O47" s="33" t="n">
        <f>50350</f>
        <v>50350.0</v>
      </c>
      <c r="P47" s="34" t="s">
        <v>48</v>
      </c>
      <c r="Q47" s="33" t="n">
        <f>55130</f>
        <v>55130.0</v>
      </c>
      <c r="R47" s="34" t="s">
        <v>50</v>
      </c>
      <c r="S47" s="35" t="n">
        <f>52918</f>
        <v>52918.0</v>
      </c>
      <c r="T47" s="32" t="n">
        <f>1124</f>
        <v>1124.0</v>
      </c>
      <c r="U47" s="32" t="str">
        <f>"－"</f>
        <v>－</v>
      </c>
      <c r="V47" s="32" t="n">
        <f>59269800</f>
        <v>5.92698E7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37300</f>
        <v>37300.0</v>
      </c>
      <c r="L48" s="34" t="s">
        <v>49</v>
      </c>
      <c r="M48" s="33" t="n">
        <f>37780</f>
        <v>37780.0</v>
      </c>
      <c r="N48" s="34" t="s">
        <v>50</v>
      </c>
      <c r="O48" s="33" t="n">
        <f>36070</f>
        <v>36070.0</v>
      </c>
      <c r="P48" s="34" t="s">
        <v>68</v>
      </c>
      <c r="Q48" s="33" t="n">
        <f>37780</f>
        <v>37780.0</v>
      </c>
      <c r="R48" s="34" t="s">
        <v>50</v>
      </c>
      <c r="S48" s="35" t="n">
        <f>37120</f>
        <v>37120.0</v>
      </c>
      <c r="T48" s="32" t="n">
        <f>200</f>
        <v>200.0</v>
      </c>
      <c r="U48" s="32" t="str">
        <f>"－"</f>
        <v>－</v>
      </c>
      <c r="V48" s="32" t="n">
        <f>7362230</f>
        <v>7362230.0</v>
      </c>
      <c r="W48" s="32" t="str">
        <f>"－"</f>
        <v>－</v>
      </c>
      <c r="X48" s="36" t="n">
        <f>7</f>
        <v>7.0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26620</f>
        <v>26620.0</v>
      </c>
      <c r="L49" s="34" t="s">
        <v>48</v>
      </c>
      <c r="M49" s="33" t="n">
        <f>28000</f>
        <v>28000.0</v>
      </c>
      <c r="N49" s="34" t="s">
        <v>109</v>
      </c>
      <c r="O49" s="33" t="n">
        <f>26500</f>
        <v>26500.0</v>
      </c>
      <c r="P49" s="34" t="s">
        <v>180</v>
      </c>
      <c r="Q49" s="33" t="n">
        <f>27695</f>
        <v>27695.0</v>
      </c>
      <c r="R49" s="34" t="s">
        <v>50</v>
      </c>
      <c r="S49" s="35" t="n">
        <f>27236.67</f>
        <v>27236.67</v>
      </c>
      <c r="T49" s="32" t="n">
        <f>117546</f>
        <v>117546.0</v>
      </c>
      <c r="U49" s="32" t="n">
        <f>56000</f>
        <v>56000.0</v>
      </c>
      <c r="V49" s="32" t="n">
        <f>3189149780</f>
        <v>3.18914978E9</v>
      </c>
      <c r="W49" s="32" t="n">
        <f>1490960800</f>
        <v>1.4909608E9</v>
      </c>
      <c r="X49" s="36" t="n">
        <f>15</f>
        <v>15.0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1996</f>
        <v>1996.0</v>
      </c>
      <c r="L50" s="34" t="s">
        <v>48</v>
      </c>
      <c r="M50" s="33" t="n">
        <f>2030.5</f>
        <v>2030.5</v>
      </c>
      <c r="N50" s="34" t="s">
        <v>109</v>
      </c>
      <c r="O50" s="33" t="n">
        <f>1895</f>
        <v>1895.0</v>
      </c>
      <c r="P50" s="34" t="s">
        <v>193</v>
      </c>
      <c r="Q50" s="33" t="n">
        <f>2017.5</f>
        <v>2017.5</v>
      </c>
      <c r="R50" s="34" t="s">
        <v>50</v>
      </c>
      <c r="S50" s="35" t="n">
        <f>1961.48</f>
        <v>1961.48</v>
      </c>
      <c r="T50" s="32" t="n">
        <f>571880</f>
        <v>571880.0</v>
      </c>
      <c r="U50" s="32" t="n">
        <f>489430</f>
        <v>489430.0</v>
      </c>
      <c r="V50" s="32" t="n">
        <f>1135064879</f>
        <v>1.135064879E9</v>
      </c>
      <c r="W50" s="32" t="n">
        <f>976002559</f>
        <v>9.76002559E8</v>
      </c>
      <c r="X50" s="36" t="n">
        <f>20</f>
        <v>20.0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1599</f>
        <v>1599.0</v>
      </c>
      <c r="L51" s="34" t="s">
        <v>48</v>
      </c>
      <c r="M51" s="33" t="n">
        <f>1656.5</f>
        <v>1656.5</v>
      </c>
      <c r="N51" s="34" t="s">
        <v>109</v>
      </c>
      <c r="O51" s="33" t="n">
        <f>1585</f>
        <v>1585.0</v>
      </c>
      <c r="P51" s="34" t="s">
        <v>48</v>
      </c>
      <c r="Q51" s="33" t="n">
        <f>1618.5</f>
        <v>1618.5</v>
      </c>
      <c r="R51" s="34" t="s">
        <v>50</v>
      </c>
      <c r="S51" s="35" t="n">
        <f>1617.76</f>
        <v>1617.76</v>
      </c>
      <c r="T51" s="32" t="n">
        <f>3360</f>
        <v>3360.0</v>
      </c>
      <c r="U51" s="32" t="str">
        <f>"－"</f>
        <v>－</v>
      </c>
      <c r="V51" s="32" t="n">
        <f>5471165</f>
        <v>5471165.0</v>
      </c>
      <c r="W51" s="32" t="str">
        <f>"－"</f>
        <v>－</v>
      </c>
      <c r="X51" s="36" t="n">
        <f>19</f>
        <v>19.0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4440</f>
        <v>4440.0</v>
      </c>
      <c r="L52" s="34" t="s">
        <v>48</v>
      </c>
      <c r="M52" s="33" t="n">
        <f>4455</f>
        <v>4455.0</v>
      </c>
      <c r="N52" s="34" t="s">
        <v>48</v>
      </c>
      <c r="O52" s="33" t="n">
        <f>4115</f>
        <v>4115.0</v>
      </c>
      <c r="P52" s="34" t="s">
        <v>50</v>
      </c>
      <c r="Q52" s="33" t="n">
        <f>4115</f>
        <v>4115.0</v>
      </c>
      <c r="R52" s="34" t="s">
        <v>50</v>
      </c>
      <c r="S52" s="35" t="n">
        <f>4217.25</f>
        <v>4217.25</v>
      </c>
      <c r="T52" s="32" t="n">
        <f>146683</f>
        <v>146683.0</v>
      </c>
      <c r="U52" s="32" t="str">
        <f>"－"</f>
        <v>－</v>
      </c>
      <c r="V52" s="32" t="n">
        <f>623138625</f>
        <v>6.23138625E8</v>
      </c>
      <c r="W52" s="32" t="str">
        <f>"－"</f>
        <v>－</v>
      </c>
      <c r="X52" s="36" t="n">
        <f>20</f>
        <v>20.0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5190</f>
        <v>5190.0</v>
      </c>
      <c r="L53" s="34" t="s">
        <v>48</v>
      </c>
      <c r="M53" s="33" t="n">
        <f>5210</f>
        <v>5210.0</v>
      </c>
      <c r="N53" s="34" t="s">
        <v>48</v>
      </c>
      <c r="O53" s="33" t="n">
        <f>4885</f>
        <v>4885.0</v>
      </c>
      <c r="P53" s="34" t="s">
        <v>50</v>
      </c>
      <c r="Q53" s="33" t="n">
        <f>4885</f>
        <v>4885.0</v>
      </c>
      <c r="R53" s="34" t="s">
        <v>50</v>
      </c>
      <c r="S53" s="35" t="n">
        <f>4983.75</f>
        <v>4983.75</v>
      </c>
      <c r="T53" s="32" t="n">
        <f>151313</f>
        <v>151313.0</v>
      </c>
      <c r="U53" s="32" t="n">
        <f>80001</f>
        <v>80001.0</v>
      </c>
      <c r="V53" s="32" t="n">
        <f>762540445</f>
        <v>7.62540445E8</v>
      </c>
      <c r="W53" s="32" t="n">
        <f>402028960</f>
        <v>4.0202896E8</v>
      </c>
      <c r="X53" s="36" t="n">
        <f>20</f>
        <v>20.0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14675</f>
        <v>14675.0</v>
      </c>
      <c r="L54" s="34" t="s">
        <v>48</v>
      </c>
      <c r="M54" s="33" t="n">
        <f>16800</f>
        <v>16800.0</v>
      </c>
      <c r="N54" s="34" t="s">
        <v>129</v>
      </c>
      <c r="O54" s="33" t="n">
        <f>14545</f>
        <v>14545.0</v>
      </c>
      <c r="P54" s="34" t="s">
        <v>48</v>
      </c>
      <c r="Q54" s="33" t="n">
        <f>16795</f>
        <v>16795.0</v>
      </c>
      <c r="R54" s="34" t="s">
        <v>50</v>
      </c>
      <c r="S54" s="35" t="n">
        <f>16097.75</f>
        <v>16097.75</v>
      </c>
      <c r="T54" s="32" t="n">
        <f>22058219</f>
        <v>2.2058219E7</v>
      </c>
      <c r="U54" s="32" t="n">
        <f>82025</f>
        <v>82025.0</v>
      </c>
      <c r="V54" s="32" t="n">
        <f>354722400385</f>
        <v>3.54722400385E11</v>
      </c>
      <c r="W54" s="32" t="n">
        <f>1316547140</f>
        <v>1.31654714E9</v>
      </c>
      <c r="X54" s="36" t="n">
        <f>20</f>
        <v>20.0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1663</f>
        <v>1663.0</v>
      </c>
      <c r="L55" s="34" t="s">
        <v>48</v>
      </c>
      <c r="M55" s="33" t="n">
        <f>1678</f>
        <v>1678.0</v>
      </c>
      <c r="N55" s="34" t="s">
        <v>48</v>
      </c>
      <c r="O55" s="33" t="n">
        <f>1428</f>
        <v>1428.0</v>
      </c>
      <c r="P55" s="34" t="s">
        <v>50</v>
      </c>
      <c r="Q55" s="33" t="n">
        <f>1429</f>
        <v>1429.0</v>
      </c>
      <c r="R55" s="34" t="s">
        <v>50</v>
      </c>
      <c r="S55" s="35" t="n">
        <f>1502</f>
        <v>1502.0</v>
      </c>
      <c r="T55" s="32" t="n">
        <f>207715288</f>
        <v>2.07715288E8</v>
      </c>
      <c r="U55" s="32" t="n">
        <f>400</f>
        <v>400.0</v>
      </c>
      <c r="V55" s="32" t="n">
        <f>313254737548</f>
        <v>3.13254737548E11</v>
      </c>
      <c r="W55" s="32" t="n">
        <f>580750</f>
        <v>580750.0</v>
      </c>
      <c r="X55" s="36" t="n">
        <f>20</f>
        <v>20.0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13165</f>
        <v>13165.0</v>
      </c>
      <c r="L56" s="34" t="s">
        <v>48</v>
      </c>
      <c r="M56" s="33" t="n">
        <f>14730</f>
        <v>14730.0</v>
      </c>
      <c r="N56" s="34" t="s">
        <v>49</v>
      </c>
      <c r="O56" s="33" t="n">
        <f>13055</f>
        <v>13055.0</v>
      </c>
      <c r="P56" s="34" t="s">
        <v>48</v>
      </c>
      <c r="Q56" s="33" t="n">
        <f>14545</f>
        <v>14545.0</v>
      </c>
      <c r="R56" s="34" t="s">
        <v>50</v>
      </c>
      <c r="S56" s="35" t="n">
        <f>14161.75</f>
        <v>14161.75</v>
      </c>
      <c r="T56" s="32" t="n">
        <f>4125</f>
        <v>4125.0</v>
      </c>
      <c r="U56" s="32" t="str">
        <f>"－"</f>
        <v>－</v>
      </c>
      <c r="V56" s="32" t="n">
        <f>58750345</f>
        <v>5.8750345E7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4975</f>
        <v>4975.0</v>
      </c>
      <c r="L57" s="34" t="s">
        <v>48</v>
      </c>
      <c r="M57" s="33" t="n">
        <f>4980</f>
        <v>4980.0</v>
      </c>
      <c r="N57" s="34" t="s">
        <v>180</v>
      </c>
      <c r="O57" s="33" t="n">
        <f>4735</f>
        <v>4735.0</v>
      </c>
      <c r="P57" s="34" t="s">
        <v>109</v>
      </c>
      <c r="Q57" s="33" t="n">
        <f>4780</f>
        <v>4780.0</v>
      </c>
      <c r="R57" s="34" t="s">
        <v>50</v>
      </c>
      <c r="S57" s="35" t="n">
        <f>4849.06</f>
        <v>4849.06</v>
      </c>
      <c r="T57" s="32" t="n">
        <f>317</f>
        <v>317.0</v>
      </c>
      <c r="U57" s="32" t="str">
        <f>"－"</f>
        <v>－</v>
      </c>
      <c r="V57" s="32" t="n">
        <f>1538760</f>
        <v>1538760.0</v>
      </c>
      <c r="W57" s="32" t="str">
        <f>"－"</f>
        <v>－</v>
      </c>
      <c r="X57" s="36" t="n">
        <f>16</f>
        <v>16.0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2029</f>
        <v>2029.0</v>
      </c>
      <c r="L58" s="34" t="s">
        <v>48</v>
      </c>
      <c r="M58" s="33" t="n">
        <f>2029</f>
        <v>2029.0</v>
      </c>
      <c r="N58" s="34" t="s">
        <v>48</v>
      </c>
      <c r="O58" s="33" t="n">
        <f>1762</f>
        <v>1762.0</v>
      </c>
      <c r="P58" s="34" t="s">
        <v>49</v>
      </c>
      <c r="Q58" s="33" t="n">
        <f>1775</f>
        <v>1775.0</v>
      </c>
      <c r="R58" s="34" t="s">
        <v>50</v>
      </c>
      <c r="S58" s="35" t="n">
        <f>1831.95</f>
        <v>1831.95</v>
      </c>
      <c r="T58" s="32" t="n">
        <f>38560</f>
        <v>38560.0</v>
      </c>
      <c r="U58" s="32" t="str">
        <f>"－"</f>
        <v>－</v>
      </c>
      <c r="V58" s="32" t="n">
        <f>70695749</f>
        <v>7.0695749E7</v>
      </c>
      <c r="W58" s="32" t="str">
        <f>"－"</f>
        <v>－</v>
      </c>
      <c r="X58" s="36" t="n">
        <f>20</f>
        <v>20.0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12440</f>
        <v>12440.0</v>
      </c>
      <c r="L59" s="34" t="s">
        <v>48</v>
      </c>
      <c r="M59" s="33" t="n">
        <f>13900</f>
        <v>13900.0</v>
      </c>
      <c r="N59" s="34" t="s">
        <v>49</v>
      </c>
      <c r="O59" s="33" t="n">
        <f>12050</f>
        <v>12050.0</v>
      </c>
      <c r="P59" s="34" t="s">
        <v>48</v>
      </c>
      <c r="Q59" s="33" t="n">
        <f>13370</f>
        <v>13370.0</v>
      </c>
      <c r="R59" s="34" t="s">
        <v>50</v>
      </c>
      <c r="S59" s="35" t="n">
        <f>13181.32</f>
        <v>13181.32</v>
      </c>
      <c r="T59" s="32" t="n">
        <f>5740</f>
        <v>5740.0</v>
      </c>
      <c r="U59" s="32" t="str">
        <f>"－"</f>
        <v>－</v>
      </c>
      <c r="V59" s="32" t="n">
        <f>75835900</f>
        <v>7.58359E7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4346</f>
        <v>4346.0</v>
      </c>
      <c r="L60" s="34" t="s">
        <v>109</v>
      </c>
      <c r="M60" s="33" t="n">
        <f>4435</f>
        <v>4435.0</v>
      </c>
      <c r="N60" s="34" t="s">
        <v>78</v>
      </c>
      <c r="O60" s="33" t="n">
        <f>4346</f>
        <v>4346.0</v>
      </c>
      <c r="P60" s="34" t="s">
        <v>109</v>
      </c>
      <c r="Q60" s="33" t="n">
        <f>4435</f>
        <v>4435.0</v>
      </c>
      <c r="R60" s="34" t="s">
        <v>78</v>
      </c>
      <c r="S60" s="35" t="n">
        <f>4390.5</f>
        <v>4390.5</v>
      </c>
      <c r="T60" s="32" t="n">
        <f>20</f>
        <v>20.0</v>
      </c>
      <c r="U60" s="32" t="str">
        <f>"－"</f>
        <v>－</v>
      </c>
      <c r="V60" s="32" t="n">
        <f>87810</f>
        <v>87810.0</v>
      </c>
      <c r="W60" s="32" t="str">
        <f>"－"</f>
        <v>－</v>
      </c>
      <c r="X60" s="36" t="n">
        <f>2</f>
        <v>2.0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1955</f>
        <v>1955.0</v>
      </c>
      <c r="L61" s="34" t="s">
        <v>48</v>
      </c>
      <c r="M61" s="33" t="n">
        <f>1979.5</f>
        <v>1979.5</v>
      </c>
      <c r="N61" s="34" t="s">
        <v>48</v>
      </c>
      <c r="O61" s="33" t="n">
        <f>1741.5</f>
        <v>1741.5</v>
      </c>
      <c r="P61" s="34" t="s">
        <v>50</v>
      </c>
      <c r="Q61" s="33" t="n">
        <f>1741.5</f>
        <v>1741.5</v>
      </c>
      <c r="R61" s="34" t="s">
        <v>50</v>
      </c>
      <c r="S61" s="35" t="n">
        <f>1803.78</f>
        <v>1803.78</v>
      </c>
      <c r="T61" s="32" t="n">
        <f>62570</f>
        <v>62570.0</v>
      </c>
      <c r="U61" s="32" t="str">
        <f>"－"</f>
        <v>－</v>
      </c>
      <c r="V61" s="32" t="n">
        <f>113238560</f>
        <v>1.1323856E8</v>
      </c>
      <c r="W61" s="32" t="str">
        <f>"－"</f>
        <v>－</v>
      </c>
      <c r="X61" s="36" t="n">
        <f>20</f>
        <v>20.0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776</f>
        <v>776.0</v>
      </c>
      <c r="L62" s="34" t="s">
        <v>48</v>
      </c>
      <c r="M62" s="33" t="n">
        <f>803</f>
        <v>803.0</v>
      </c>
      <c r="N62" s="34" t="s">
        <v>48</v>
      </c>
      <c r="O62" s="33" t="n">
        <f>706</f>
        <v>706.0</v>
      </c>
      <c r="P62" s="34" t="s">
        <v>49</v>
      </c>
      <c r="Q62" s="33" t="n">
        <f>711</f>
        <v>711.0</v>
      </c>
      <c r="R62" s="34" t="s">
        <v>50</v>
      </c>
      <c r="S62" s="35" t="n">
        <f>734</f>
        <v>734.0</v>
      </c>
      <c r="T62" s="32" t="n">
        <f>44125</f>
        <v>44125.0</v>
      </c>
      <c r="U62" s="32" t="str">
        <f>"－"</f>
        <v>－</v>
      </c>
      <c r="V62" s="32" t="n">
        <f>32418943</f>
        <v>3.2418943E7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1873</f>
        <v>1873.0</v>
      </c>
      <c r="L63" s="34" t="s">
        <v>48</v>
      </c>
      <c r="M63" s="33" t="n">
        <f>1974</f>
        <v>1974.0</v>
      </c>
      <c r="N63" s="34" t="s">
        <v>49</v>
      </c>
      <c r="O63" s="33" t="n">
        <f>1856</f>
        <v>1856.0</v>
      </c>
      <c r="P63" s="34" t="s">
        <v>48</v>
      </c>
      <c r="Q63" s="33" t="n">
        <f>1971.5</f>
        <v>1971.5</v>
      </c>
      <c r="R63" s="34" t="s">
        <v>50</v>
      </c>
      <c r="S63" s="35" t="n">
        <f>1938.75</f>
        <v>1938.75</v>
      </c>
      <c r="T63" s="32" t="n">
        <f>439380</f>
        <v>439380.0</v>
      </c>
      <c r="U63" s="32" t="n">
        <f>30000</f>
        <v>30000.0</v>
      </c>
      <c r="V63" s="32" t="n">
        <f>849421190</f>
        <v>8.4942119E8</v>
      </c>
      <c r="W63" s="32" t="n">
        <f>57990000</f>
        <v>5.799E7</v>
      </c>
      <c r="X63" s="36" t="n">
        <f>20</f>
        <v>20.0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16805</f>
        <v>16805.0</v>
      </c>
      <c r="L64" s="34" t="s">
        <v>48</v>
      </c>
      <c r="M64" s="33" t="n">
        <f>17670</f>
        <v>17670.0</v>
      </c>
      <c r="N64" s="34" t="s">
        <v>49</v>
      </c>
      <c r="O64" s="33" t="n">
        <f>16805</f>
        <v>16805.0</v>
      </c>
      <c r="P64" s="34" t="s">
        <v>48</v>
      </c>
      <c r="Q64" s="33" t="n">
        <f>17600</f>
        <v>17600.0</v>
      </c>
      <c r="R64" s="34" t="s">
        <v>50</v>
      </c>
      <c r="S64" s="35" t="n">
        <f>17325.25</f>
        <v>17325.25</v>
      </c>
      <c r="T64" s="32" t="n">
        <f>4494</f>
        <v>4494.0</v>
      </c>
      <c r="U64" s="32" t="str">
        <f>"－"</f>
        <v>－</v>
      </c>
      <c r="V64" s="32" t="n">
        <f>77954685</f>
        <v>7.7954685E7</v>
      </c>
      <c r="W64" s="32" t="str">
        <f>"－"</f>
        <v>－</v>
      </c>
      <c r="X64" s="36" t="n">
        <f>20</f>
        <v>20.0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1880</f>
        <v>1880.0</v>
      </c>
      <c r="L65" s="34" t="s">
        <v>48</v>
      </c>
      <c r="M65" s="33" t="n">
        <f>1987</f>
        <v>1987.0</v>
      </c>
      <c r="N65" s="34" t="s">
        <v>49</v>
      </c>
      <c r="O65" s="33" t="n">
        <f>1867</f>
        <v>1867.0</v>
      </c>
      <c r="P65" s="34" t="s">
        <v>48</v>
      </c>
      <c r="Q65" s="33" t="n">
        <f>1985</f>
        <v>1985.0</v>
      </c>
      <c r="R65" s="34" t="s">
        <v>50</v>
      </c>
      <c r="S65" s="35" t="n">
        <f>1949.5</f>
        <v>1949.5</v>
      </c>
      <c r="T65" s="32" t="n">
        <f>4196536</f>
        <v>4196536.0</v>
      </c>
      <c r="U65" s="32" t="n">
        <f>332545</f>
        <v>332545.0</v>
      </c>
      <c r="V65" s="32" t="n">
        <f>8194112847</f>
        <v>8.194112847E9</v>
      </c>
      <c r="W65" s="32" t="n">
        <f>646369215</f>
        <v>6.46369215E8</v>
      </c>
      <c r="X65" s="36" t="n">
        <f>20</f>
        <v>20.0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2017</f>
        <v>2017.0</v>
      </c>
      <c r="L66" s="34" t="s">
        <v>48</v>
      </c>
      <c r="M66" s="33" t="n">
        <f>2058</f>
        <v>2058.0</v>
      </c>
      <c r="N66" s="34" t="s">
        <v>109</v>
      </c>
      <c r="O66" s="33" t="n">
        <f>1916</f>
        <v>1916.0</v>
      </c>
      <c r="P66" s="34" t="s">
        <v>110</v>
      </c>
      <c r="Q66" s="33" t="n">
        <f>2045</f>
        <v>2045.0</v>
      </c>
      <c r="R66" s="34" t="s">
        <v>50</v>
      </c>
      <c r="S66" s="35" t="n">
        <f>1986.95</f>
        <v>1986.95</v>
      </c>
      <c r="T66" s="32" t="n">
        <f>8632586</f>
        <v>8632586.0</v>
      </c>
      <c r="U66" s="32" t="n">
        <f>3424026</f>
        <v>3424026.0</v>
      </c>
      <c r="V66" s="32" t="n">
        <f>17181183067</f>
        <v>1.7181183067E10</v>
      </c>
      <c r="W66" s="32" t="n">
        <f>6847836624</f>
        <v>6.847836624E9</v>
      </c>
      <c r="X66" s="36" t="n">
        <f>20</f>
        <v>20.0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1835</f>
        <v>1835.0</v>
      </c>
      <c r="L67" s="34" t="s">
        <v>48</v>
      </c>
      <c r="M67" s="33" t="n">
        <f>1918</f>
        <v>1918.0</v>
      </c>
      <c r="N67" s="34" t="s">
        <v>67</v>
      </c>
      <c r="O67" s="33" t="n">
        <f>1819</f>
        <v>1819.0</v>
      </c>
      <c r="P67" s="34" t="s">
        <v>48</v>
      </c>
      <c r="Q67" s="33" t="n">
        <f>1894</f>
        <v>1894.0</v>
      </c>
      <c r="R67" s="34" t="s">
        <v>50</v>
      </c>
      <c r="S67" s="35" t="n">
        <f>1880.6</f>
        <v>1880.6</v>
      </c>
      <c r="T67" s="32" t="n">
        <f>167068</f>
        <v>167068.0</v>
      </c>
      <c r="U67" s="32" t="n">
        <f>126292</f>
        <v>126292.0</v>
      </c>
      <c r="V67" s="32" t="n">
        <f>310954577</f>
        <v>3.10954577E8</v>
      </c>
      <c r="W67" s="32" t="n">
        <f>235537977</f>
        <v>2.35537977E8</v>
      </c>
      <c r="X67" s="36" t="n">
        <f>20</f>
        <v>20.0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2295</f>
        <v>2295.0</v>
      </c>
      <c r="L68" s="34" t="s">
        <v>48</v>
      </c>
      <c r="M68" s="33" t="n">
        <f>2407</f>
        <v>2407.0</v>
      </c>
      <c r="N68" s="34" t="s">
        <v>129</v>
      </c>
      <c r="O68" s="33" t="n">
        <f>2271</f>
        <v>2271.0</v>
      </c>
      <c r="P68" s="34" t="s">
        <v>48</v>
      </c>
      <c r="Q68" s="33" t="n">
        <f>2386</f>
        <v>2386.0</v>
      </c>
      <c r="R68" s="34" t="s">
        <v>50</v>
      </c>
      <c r="S68" s="35" t="n">
        <f>2365.85</f>
        <v>2365.85</v>
      </c>
      <c r="T68" s="32" t="n">
        <f>193269</f>
        <v>193269.0</v>
      </c>
      <c r="U68" s="32" t="n">
        <f>21000</f>
        <v>21000.0</v>
      </c>
      <c r="V68" s="32" t="n">
        <f>457558099</f>
        <v>4.57558099E8</v>
      </c>
      <c r="W68" s="32" t="n">
        <f>49896000</f>
        <v>4.9896E7</v>
      </c>
      <c r="X68" s="36" t="n">
        <f>20</f>
        <v>20.0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22590</f>
        <v>22590.0</v>
      </c>
      <c r="L69" s="34" t="s">
        <v>48</v>
      </c>
      <c r="M69" s="33" t="n">
        <f>23930</f>
        <v>23930.0</v>
      </c>
      <c r="N69" s="34" t="s">
        <v>129</v>
      </c>
      <c r="O69" s="33" t="n">
        <f>22590</f>
        <v>22590.0</v>
      </c>
      <c r="P69" s="34" t="s">
        <v>48</v>
      </c>
      <c r="Q69" s="33" t="n">
        <f>23930</f>
        <v>23930.0</v>
      </c>
      <c r="R69" s="34" t="s">
        <v>129</v>
      </c>
      <c r="S69" s="35" t="n">
        <f>23571.67</f>
        <v>23571.67</v>
      </c>
      <c r="T69" s="32" t="n">
        <f>15</f>
        <v>15.0</v>
      </c>
      <c r="U69" s="32" t="str">
        <f>"－"</f>
        <v>－</v>
      </c>
      <c r="V69" s="32" t="n">
        <f>354290</f>
        <v>354290.0</v>
      </c>
      <c r="W69" s="32" t="str">
        <f>"－"</f>
        <v>－</v>
      </c>
      <c r="X69" s="36" t="n">
        <f>9</f>
        <v>9.0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19205</f>
        <v>19205.0</v>
      </c>
      <c r="L70" s="34" t="s">
        <v>76</v>
      </c>
      <c r="M70" s="33" t="n">
        <f>19665</f>
        <v>19665.0</v>
      </c>
      <c r="N70" s="34" t="s">
        <v>49</v>
      </c>
      <c r="O70" s="33" t="n">
        <f>18870</f>
        <v>18870.0</v>
      </c>
      <c r="P70" s="34" t="s">
        <v>180</v>
      </c>
      <c r="Q70" s="33" t="n">
        <f>19290</f>
        <v>19290.0</v>
      </c>
      <c r="R70" s="34" t="s">
        <v>50</v>
      </c>
      <c r="S70" s="35" t="n">
        <f>19235.91</f>
        <v>19235.91</v>
      </c>
      <c r="T70" s="32" t="n">
        <f>139</f>
        <v>139.0</v>
      </c>
      <c r="U70" s="32" t="str">
        <f>"－"</f>
        <v>－</v>
      </c>
      <c r="V70" s="32" t="n">
        <f>2683175</f>
        <v>2683175.0</v>
      </c>
      <c r="W70" s="32" t="str">
        <f>"－"</f>
        <v>－</v>
      </c>
      <c r="X70" s="36" t="n">
        <f>11</f>
        <v>11.0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1938</f>
        <v>1938.0</v>
      </c>
      <c r="L71" s="34" t="s">
        <v>48</v>
      </c>
      <c r="M71" s="33" t="n">
        <f>2026</f>
        <v>2026.0</v>
      </c>
      <c r="N71" s="34" t="s">
        <v>49</v>
      </c>
      <c r="O71" s="33" t="n">
        <f>1929</f>
        <v>1929.0</v>
      </c>
      <c r="P71" s="34" t="s">
        <v>48</v>
      </c>
      <c r="Q71" s="33" t="n">
        <f>2025</f>
        <v>2025.0</v>
      </c>
      <c r="R71" s="34" t="s">
        <v>50</v>
      </c>
      <c r="S71" s="35" t="n">
        <f>1993.6</f>
        <v>1993.6</v>
      </c>
      <c r="T71" s="32" t="n">
        <f>6277</f>
        <v>6277.0</v>
      </c>
      <c r="U71" s="32" t="str">
        <f>"－"</f>
        <v>－</v>
      </c>
      <c r="V71" s="32" t="n">
        <f>12612776</f>
        <v>1.2612776E7</v>
      </c>
      <c r="W71" s="32" t="str">
        <f>"－"</f>
        <v>－</v>
      </c>
      <c r="X71" s="36" t="n">
        <f>20</f>
        <v>20.0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1907</f>
        <v>1907.0</v>
      </c>
      <c r="L72" s="34" t="s">
        <v>48</v>
      </c>
      <c r="M72" s="33" t="n">
        <f>1944</f>
        <v>1944.0</v>
      </c>
      <c r="N72" s="34" t="s">
        <v>109</v>
      </c>
      <c r="O72" s="33" t="n">
        <f>1836</f>
        <v>1836.0</v>
      </c>
      <c r="P72" s="34" t="s">
        <v>72</v>
      </c>
      <c r="Q72" s="33" t="n">
        <f>1875</f>
        <v>1875.0</v>
      </c>
      <c r="R72" s="34" t="s">
        <v>50</v>
      </c>
      <c r="S72" s="35" t="n">
        <f>1885.15</f>
        <v>1885.15</v>
      </c>
      <c r="T72" s="32" t="n">
        <f>6842247</f>
        <v>6842247.0</v>
      </c>
      <c r="U72" s="32" t="n">
        <f>5146687</f>
        <v>5146687.0</v>
      </c>
      <c r="V72" s="32" t="n">
        <f>12846216377</f>
        <v>1.2846216377E10</v>
      </c>
      <c r="W72" s="32" t="n">
        <f>9668632619</f>
        <v>9.668632619E9</v>
      </c>
      <c r="X72" s="36" t="n">
        <f>20</f>
        <v>20.0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1991</f>
        <v>1991.0</v>
      </c>
      <c r="L73" s="34" t="s">
        <v>48</v>
      </c>
      <c r="M73" s="33" t="n">
        <f>2334</f>
        <v>2334.0</v>
      </c>
      <c r="N73" s="34" t="s">
        <v>263</v>
      </c>
      <c r="O73" s="33" t="n">
        <f>1991</f>
        <v>1991.0</v>
      </c>
      <c r="P73" s="34" t="s">
        <v>48</v>
      </c>
      <c r="Q73" s="33" t="n">
        <f>2091</f>
        <v>2091.0</v>
      </c>
      <c r="R73" s="34" t="s">
        <v>50</v>
      </c>
      <c r="S73" s="35" t="n">
        <f>2070</f>
        <v>2070.0</v>
      </c>
      <c r="T73" s="32" t="n">
        <f>36701</f>
        <v>36701.0</v>
      </c>
      <c r="U73" s="32" t="n">
        <f>13000</f>
        <v>13000.0</v>
      </c>
      <c r="V73" s="32" t="n">
        <f>76205298</f>
        <v>7.6205298E7</v>
      </c>
      <c r="W73" s="32" t="n">
        <f>25978030</f>
        <v>2.597803E7</v>
      </c>
      <c r="X73" s="36" t="n">
        <f>20</f>
        <v>20.0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10.0</v>
      </c>
      <c r="K74" s="33" t="n">
        <f>1895.5</f>
        <v>1895.5</v>
      </c>
      <c r="L74" s="34" t="s">
        <v>48</v>
      </c>
      <c r="M74" s="33" t="n">
        <f>2001</f>
        <v>2001.0</v>
      </c>
      <c r="N74" s="34" t="s">
        <v>49</v>
      </c>
      <c r="O74" s="33" t="n">
        <f>1892.5</f>
        <v>1892.5</v>
      </c>
      <c r="P74" s="34" t="s">
        <v>48</v>
      </c>
      <c r="Q74" s="33" t="n">
        <f>1999</f>
        <v>1999.0</v>
      </c>
      <c r="R74" s="34" t="s">
        <v>50</v>
      </c>
      <c r="S74" s="35" t="n">
        <f>1968.13</f>
        <v>1968.13</v>
      </c>
      <c r="T74" s="32" t="n">
        <f>56510</f>
        <v>56510.0</v>
      </c>
      <c r="U74" s="32" t="str">
        <f>"－"</f>
        <v>－</v>
      </c>
      <c r="V74" s="32" t="n">
        <f>109328020</f>
        <v>1.0932802E8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32190</f>
        <v>32190.0</v>
      </c>
      <c r="L75" s="34" t="s">
        <v>270</v>
      </c>
      <c r="M75" s="33" t="n">
        <f>32190</f>
        <v>32190.0</v>
      </c>
      <c r="N75" s="34" t="s">
        <v>270</v>
      </c>
      <c r="O75" s="33" t="n">
        <f>30790</f>
        <v>30790.0</v>
      </c>
      <c r="P75" s="34" t="s">
        <v>163</v>
      </c>
      <c r="Q75" s="33" t="n">
        <f>30790</f>
        <v>30790.0</v>
      </c>
      <c r="R75" s="34" t="s">
        <v>163</v>
      </c>
      <c r="S75" s="35" t="n">
        <f>31490</f>
        <v>31490.0</v>
      </c>
      <c r="T75" s="32" t="n">
        <f>7</f>
        <v>7.0</v>
      </c>
      <c r="U75" s="32" t="str">
        <f>"－"</f>
        <v>－</v>
      </c>
      <c r="V75" s="32" t="n">
        <f>223930</f>
        <v>223930.0</v>
      </c>
      <c r="W75" s="32" t="str">
        <f>"－"</f>
        <v>－</v>
      </c>
      <c r="X75" s="36" t="n">
        <f>2</f>
        <v>2.0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23180</f>
        <v>23180.0</v>
      </c>
      <c r="L76" s="34" t="s">
        <v>48</v>
      </c>
      <c r="M76" s="33" t="n">
        <f>23570</f>
        <v>23570.0</v>
      </c>
      <c r="N76" s="34" t="s">
        <v>263</v>
      </c>
      <c r="O76" s="33" t="n">
        <f>22865</f>
        <v>22865.0</v>
      </c>
      <c r="P76" s="34" t="s">
        <v>78</v>
      </c>
      <c r="Q76" s="33" t="n">
        <f>23240</f>
        <v>23240.0</v>
      </c>
      <c r="R76" s="34" t="s">
        <v>50</v>
      </c>
      <c r="S76" s="35" t="n">
        <f>23198.75</f>
        <v>23198.75</v>
      </c>
      <c r="T76" s="32" t="n">
        <f>108195</f>
        <v>108195.0</v>
      </c>
      <c r="U76" s="32" t="n">
        <f>93003</f>
        <v>93003.0</v>
      </c>
      <c r="V76" s="32" t="n">
        <f>2511752781</f>
        <v>2.511752781E9</v>
      </c>
      <c r="W76" s="32" t="n">
        <f>2159899641</f>
        <v>2.159899641E9</v>
      </c>
      <c r="X76" s="36" t="n">
        <f>20</f>
        <v>20.0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14805</f>
        <v>14805.0</v>
      </c>
      <c r="L77" s="34" t="s">
        <v>48</v>
      </c>
      <c r="M77" s="33" t="n">
        <f>15045</f>
        <v>15045.0</v>
      </c>
      <c r="N77" s="34" t="s">
        <v>76</v>
      </c>
      <c r="O77" s="33" t="n">
        <f>14240</f>
        <v>14240.0</v>
      </c>
      <c r="P77" s="34" t="s">
        <v>72</v>
      </c>
      <c r="Q77" s="33" t="n">
        <f>14520</f>
        <v>14520.0</v>
      </c>
      <c r="R77" s="34" t="s">
        <v>50</v>
      </c>
      <c r="S77" s="35" t="n">
        <f>14605.25</f>
        <v>14605.25</v>
      </c>
      <c r="T77" s="32" t="n">
        <f>278686</f>
        <v>278686.0</v>
      </c>
      <c r="U77" s="32" t="n">
        <f>114249</f>
        <v>114249.0</v>
      </c>
      <c r="V77" s="32" t="n">
        <f>4047783505</f>
        <v>4.047783505E9</v>
      </c>
      <c r="W77" s="32" t="n">
        <f>1659227265</f>
        <v>1.659227265E9</v>
      </c>
      <c r="X77" s="36" t="n">
        <f>20</f>
        <v>20.0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2018.5</f>
        <v>2018.5</v>
      </c>
      <c r="L78" s="34" t="s">
        <v>48</v>
      </c>
      <c r="M78" s="33" t="n">
        <f>2048.5</f>
        <v>2048.5</v>
      </c>
      <c r="N78" s="34" t="s">
        <v>109</v>
      </c>
      <c r="O78" s="33" t="n">
        <f>1907.5</f>
        <v>1907.5</v>
      </c>
      <c r="P78" s="34" t="s">
        <v>110</v>
      </c>
      <c r="Q78" s="33" t="n">
        <f>2030</f>
        <v>2030.0</v>
      </c>
      <c r="R78" s="34" t="s">
        <v>50</v>
      </c>
      <c r="S78" s="35" t="n">
        <f>1975.88</f>
        <v>1975.88</v>
      </c>
      <c r="T78" s="32" t="n">
        <f>1066870</f>
        <v>1066870.0</v>
      </c>
      <c r="U78" s="32" t="n">
        <f>586760</f>
        <v>586760.0</v>
      </c>
      <c r="V78" s="32" t="n">
        <f>2110544487</f>
        <v>2.110544487E9</v>
      </c>
      <c r="W78" s="32" t="n">
        <f>1170289312</f>
        <v>1.170289312E9</v>
      </c>
      <c r="X78" s="36" t="n">
        <f>20</f>
        <v>20.0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39640</f>
        <v>39640.0</v>
      </c>
      <c r="L79" s="34" t="s">
        <v>48</v>
      </c>
      <c r="M79" s="33" t="n">
        <f>41380</f>
        <v>41380.0</v>
      </c>
      <c r="N79" s="34" t="s">
        <v>109</v>
      </c>
      <c r="O79" s="33" t="n">
        <f>39250</f>
        <v>39250.0</v>
      </c>
      <c r="P79" s="34" t="s">
        <v>48</v>
      </c>
      <c r="Q79" s="33" t="n">
        <f>40130</f>
        <v>40130.0</v>
      </c>
      <c r="R79" s="34" t="s">
        <v>50</v>
      </c>
      <c r="S79" s="35" t="n">
        <f>40105</f>
        <v>40105.0</v>
      </c>
      <c r="T79" s="32" t="n">
        <f>133413</f>
        <v>133413.0</v>
      </c>
      <c r="U79" s="32" t="n">
        <f>10711</f>
        <v>10711.0</v>
      </c>
      <c r="V79" s="32" t="n">
        <f>5358621960</f>
        <v>5.35862196E9</v>
      </c>
      <c r="W79" s="32" t="n">
        <f>429011840</f>
        <v>4.2901184E8</v>
      </c>
      <c r="X79" s="36" t="n">
        <f>20</f>
        <v>20.0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7757</f>
        <v>7757.0</v>
      </c>
      <c r="L80" s="34" t="s">
        <v>129</v>
      </c>
      <c r="M80" s="33" t="n">
        <f>7757</f>
        <v>7757.0</v>
      </c>
      <c r="N80" s="34" t="s">
        <v>129</v>
      </c>
      <c r="O80" s="33" t="n">
        <f>7757</f>
        <v>7757.0</v>
      </c>
      <c r="P80" s="34" t="s">
        <v>129</v>
      </c>
      <c r="Q80" s="33" t="n">
        <f>7757</f>
        <v>7757.0</v>
      </c>
      <c r="R80" s="34" t="s">
        <v>129</v>
      </c>
      <c r="S80" s="35" t="n">
        <f>7757</f>
        <v>7757.0</v>
      </c>
      <c r="T80" s="32" t="n">
        <f>20</f>
        <v>20.0</v>
      </c>
      <c r="U80" s="32" t="str">
        <f>"－"</f>
        <v>－</v>
      </c>
      <c r="V80" s="32" t="n">
        <f>155140</f>
        <v>155140.0</v>
      </c>
      <c r="W80" s="32" t="str">
        <f>"－"</f>
        <v>－</v>
      </c>
      <c r="X80" s="36" t="n">
        <f>1</f>
        <v>1.0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15030</f>
        <v>15030.0</v>
      </c>
      <c r="L81" s="34" t="s">
        <v>48</v>
      </c>
      <c r="M81" s="33" t="n">
        <f>15800</f>
        <v>15800.0</v>
      </c>
      <c r="N81" s="34" t="s">
        <v>49</v>
      </c>
      <c r="O81" s="33" t="n">
        <f>14935</f>
        <v>14935.0</v>
      </c>
      <c r="P81" s="34" t="s">
        <v>48</v>
      </c>
      <c r="Q81" s="33" t="n">
        <f>15745</f>
        <v>15745.0</v>
      </c>
      <c r="R81" s="34" t="s">
        <v>50</v>
      </c>
      <c r="S81" s="35" t="n">
        <f>15483.75</f>
        <v>15483.75</v>
      </c>
      <c r="T81" s="32" t="n">
        <f>376</f>
        <v>376.0</v>
      </c>
      <c r="U81" s="32" t="str">
        <f>"－"</f>
        <v>－</v>
      </c>
      <c r="V81" s="32" t="n">
        <f>5782895</f>
        <v>5782895.0</v>
      </c>
      <c r="W81" s="32" t="str">
        <f>"－"</f>
        <v>－</v>
      </c>
      <c r="X81" s="36" t="n">
        <f>20</f>
        <v>20.0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14805</f>
        <v>14805.0</v>
      </c>
      <c r="L82" s="34" t="s">
        <v>48</v>
      </c>
      <c r="M82" s="33" t="n">
        <f>15725</f>
        <v>15725.0</v>
      </c>
      <c r="N82" s="34" t="s">
        <v>49</v>
      </c>
      <c r="O82" s="33" t="n">
        <f>14760</f>
        <v>14760.0</v>
      </c>
      <c r="P82" s="34" t="s">
        <v>48</v>
      </c>
      <c r="Q82" s="33" t="n">
        <f>15710</f>
        <v>15710.0</v>
      </c>
      <c r="R82" s="34" t="s">
        <v>50</v>
      </c>
      <c r="S82" s="35" t="n">
        <f>15426.25</f>
        <v>15426.25</v>
      </c>
      <c r="T82" s="32" t="n">
        <f>1792</f>
        <v>1792.0</v>
      </c>
      <c r="U82" s="32" t="str">
        <f>"－"</f>
        <v>－</v>
      </c>
      <c r="V82" s="32" t="n">
        <f>27615240</f>
        <v>2.761524E7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19955</f>
        <v>19955.0</v>
      </c>
      <c r="L83" s="34" t="s">
        <v>48</v>
      </c>
      <c r="M83" s="33" t="n">
        <f>20870</f>
        <v>20870.0</v>
      </c>
      <c r="N83" s="34" t="s">
        <v>109</v>
      </c>
      <c r="O83" s="33" t="n">
        <f>19780</f>
        <v>19780.0</v>
      </c>
      <c r="P83" s="34" t="s">
        <v>48</v>
      </c>
      <c r="Q83" s="33" t="n">
        <f>20075</f>
        <v>20075.0</v>
      </c>
      <c r="R83" s="34" t="s">
        <v>50</v>
      </c>
      <c r="S83" s="35" t="n">
        <f>20115.75</f>
        <v>20115.75</v>
      </c>
      <c r="T83" s="32" t="n">
        <f>15007</f>
        <v>15007.0</v>
      </c>
      <c r="U83" s="32" t="n">
        <f>1</f>
        <v>1.0</v>
      </c>
      <c r="V83" s="32" t="n">
        <f>302660000</f>
        <v>3.0266E8</v>
      </c>
      <c r="W83" s="32" t="n">
        <f>20025</f>
        <v>20025.0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11070</f>
        <v>11070.0</v>
      </c>
      <c r="L84" s="34" t="s">
        <v>48</v>
      </c>
      <c r="M84" s="33" t="n">
        <f>11310</f>
        <v>11310.0</v>
      </c>
      <c r="N84" s="34" t="s">
        <v>76</v>
      </c>
      <c r="O84" s="33" t="n">
        <f>10000</f>
        <v>10000.0</v>
      </c>
      <c r="P84" s="34" t="s">
        <v>163</v>
      </c>
      <c r="Q84" s="33" t="n">
        <f>10310</f>
        <v>10310.0</v>
      </c>
      <c r="R84" s="34" t="s">
        <v>50</v>
      </c>
      <c r="S84" s="35" t="n">
        <f>10822.89</f>
        <v>10822.89</v>
      </c>
      <c r="T84" s="32" t="n">
        <f>8860</f>
        <v>8860.0</v>
      </c>
      <c r="U84" s="32" t="str">
        <f>"－"</f>
        <v>－</v>
      </c>
      <c r="V84" s="32" t="n">
        <f>93653400</f>
        <v>9.36534E7</v>
      </c>
      <c r="W84" s="32" t="str">
        <f>"－"</f>
        <v>－</v>
      </c>
      <c r="X84" s="36" t="n">
        <f>19</f>
        <v>19.0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1941</f>
        <v>1941.0</v>
      </c>
      <c r="L85" s="34" t="s">
        <v>48</v>
      </c>
      <c r="M85" s="33" t="n">
        <f>1996</f>
        <v>1996.0</v>
      </c>
      <c r="N85" s="34" t="s">
        <v>49</v>
      </c>
      <c r="O85" s="33" t="n">
        <f>1853</f>
        <v>1853.0</v>
      </c>
      <c r="P85" s="34" t="s">
        <v>72</v>
      </c>
      <c r="Q85" s="33" t="n">
        <f>1901</f>
        <v>1901.0</v>
      </c>
      <c r="R85" s="34" t="s">
        <v>50</v>
      </c>
      <c r="S85" s="35" t="n">
        <f>1911.45</f>
        <v>1911.45</v>
      </c>
      <c r="T85" s="32" t="n">
        <f>459144</f>
        <v>459144.0</v>
      </c>
      <c r="U85" s="32" t="n">
        <f>156607</f>
        <v>156607.0</v>
      </c>
      <c r="V85" s="32" t="n">
        <f>875350079</f>
        <v>8.75350079E8</v>
      </c>
      <c r="W85" s="32" t="n">
        <f>298567711</f>
        <v>2.98567711E8</v>
      </c>
      <c r="X85" s="36" t="n">
        <f>20</f>
        <v>20.0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1900</f>
        <v>1900.0</v>
      </c>
      <c r="L86" s="34" t="s">
        <v>48</v>
      </c>
      <c r="M86" s="33" t="n">
        <f>1961</f>
        <v>1961.0</v>
      </c>
      <c r="N86" s="34" t="s">
        <v>50</v>
      </c>
      <c r="O86" s="33" t="n">
        <f>1860</f>
        <v>1860.0</v>
      </c>
      <c r="P86" s="34" t="s">
        <v>78</v>
      </c>
      <c r="Q86" s="33" t="n">
        <f>1952</f>
        <v>1952.0</v>
      </c>
      <c r="R86" s="34" t="s">
        <v>50</v>
      </c>
      <c r="S86" s="35" t="n">
        <f>1909.9</f>
        <v>1909.9</v>
      </c>
      <c r="T86" s="32" t="n">
        <f>270212</f>
        <v>270212.0</v>
      </c>
      <c r="U86" s="32" t="n">
        <f>240</f>
        <v>240.0</v>
      </c>
      <c r="V86" s="32" t="n">
        <f>514727584</f>
        <v>5.14727584E8</v>
      </c>
      <c r="W86" s="32" t="n">
        <f>420600</f>
        <v>420600.0</v>
      </c>
      <c r="X86" s="36" t="n">
        <f>20</f>
        <v>20.0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13970</f>
        <v>13970.0</v>
      </c>
      <c r="L87" s="34" t="s">
        <v>48</v>
      </c>
      <c r="M87" s="33" t="n">
        <f>14745</f>
        <v>14745.0</v>
      </c>
      <c r="N87" s="34" t="s">
        <v>49</v>
      </c>
      <c r="O87" s="33" t="n">
        <f>13880</f>
        <v>13880.0</v>
      </c>
      <c r="P87" s="34" t="s">
        <v>48</v>
      </c>
      <c r="Q87" s="33" t="n">
        <f>14715</f>
        <v>14715.0</v>
      </c>
      <c r="R87" s="34" t="s">
        <v>50</v>
      </c>
      <c r="S87" s="35" t="n">
        <f>14499.25</f>
        <v>14499.25</v>
      </c>
      <c r="T87" s="32" t="n">
        <f>6629</f>
        <v>6629.0</v>
      </c>
      <c r="U87" s="32" t="str">
        <f>"－"</f>
        <v>－</v>
      </c>
      <c r="V87" s="32" t="n">
        <f>94843975</f>
        <v>9.4843975E7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8900</f>
        <v>8900.0</v>
      </c>
      <c r="L88" s="34" t="s">
        <v>48</v>
      </c>
      <c r="M88" s="33" t="n">
        <f>9210</f>
        <v>9210.0</v>
      </c>
      <c r="N88" s="34" t="s">
        <v>67</v>
      </c>
      <c r="O88" s="33" t="n">
        <f>8850</f>
        <v>8850.0</v>
      </c>
      <c r="P88" s="34" t="s">
        <v>50</v>
      </c>
      <c r="Q88" s="33" t="n">
        <f>8850</f>
        <v>8850.0</v>
      </c>
      <c r="R88" s="34" t="s">
        <v>50</v>
      </c>
      <c r="S88" s="35" t="n">
        <f>8910.65</f>
        <v>8910.65</v>
      </c>
      <c r="T88" s="32" t="n">
        <f>1319</f>
        <v>1319.0</v>
      </c>
      <c r="U88" s="32" t="n">
        <f>1</f>
        <v>1.0</v>
      </c>
      <c r="V88" s="32" t="n">
        <f>11763593</f>
        <v>1.1763593E7</v>
      </c>
      <c r="W88" s="32" t="n">
        <f>8957</f>
        <v>8957.0</v>
      </c>
      <c r="X88" s="36" t="n">
        <f>20</f>
        <v>20.0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7349</f>
        <v>7349.0</v>
      </c>
      <c r="L89" s="34" t="s">
        <v>48</v>
      </c>
      <c r="M89" s="33" t="n">
        <f>7603</f>
        <v>7603.0</v>
      </c>
      <c r="N89" s="34" t="s">
        <v>49</v>
      </c>
      <c r="O89" s="33" t="n">
        <f>7344</f>
        <v>7344.0</v>
      </c>
      <c r="P89" s="34" t="s">
        <v>48</v>
      </c>
      <c r="Q89" s="33" t="n">
        <f>7429</f>
        <v>7429.0</v>
      </c>
      <c r="R89" s="34" t="s">
        <v>50</v>
      </c>
      <c r="S89" s="35" t="n">
        <f>7489.55</f>
        <v>7489.55</v>
      </c>
      <c r="T89" s="32" t="n">
        <f>1453072</f>
        <v>1453072.0</v>
      </c>
      <c r="U89" s="32" t="n">
        <f>62840</f>
        <v>62840.0</v>
      </c>
      <c r="V89" s="32" t="n">
        <f>10875229306</f>
        <v>1.0875229306E10</v>
      </c>
      <c r="W89" s="32" t="n">
        <f>471143905</f>
        <v>4.71143905E8</v>
      </c>
      <c r="X89" s="36" t="n">
        <f>20</f>
        <v>20.0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3690</f>
        <v>3690.0</v>
      </c>
      <c r="L90" s="34" t="s">
        <v>48</v>
      </c>
      <c r="M90" s="33" t="n">
        <f>4090</f>
        <v>4090.0</v>
      </c>
      <c r="N90" s="34" t="s">
        <v>60</v>
      </c>
      <c r="O90" s="33" t="n">
        <f>3680</f>
        <v>3680.0</v>
      </c>
      <c r="P90" s="34" t="s">
        <v>48</v>
      </c>
      <c r="Q90" s="33" t="n">
        <f>4035</f>
        <v>4035.0</v>
      </c>
      <c r="R90" s="34" t="s">
        <v>50</v>
      </c>
      <c r="S90" s="35" t="n">
        <f>3885.75</f>
        <v>3885.75</v>
      </c>
      <c r="T90" s="32" t="n">
        <f>840269</f>
        <v>840269.0</v>
      </c>
      <c r="U90" s="32" t="str">
        <f>"－"</f>
        <v>－</v>
      </c>
      <c r="V90" s="32" t="n">
        <f>3296122515</f>
        <v>3.296122515E9</v>
      </c>
      <c r="W90" s="32" t="str">
        <f>"－"</f>
        <v>－</v>
      </c>
      <c r="X90" s="36" t="n">
        <f>20</f>
        <v>20.0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8196</f>
        <v>8196.0</v>
      </c>
      <c r="L91" s="34" t="s">
        <v>48</v>
      </c>
      <c r="M91" s="33" t="n">
        <f>8899</f>
        <v>8899.0</v>
      </c>
      <c r="N91" s="34" t="s">
        <v>109</v>
      </c>
      <c r="O91" s="33" t="n">
        <f>8055</f>
        <v>8055.0</v>
      </c>
      <c r="P91" s="34" t="s">
        <v>270</v>
      </c>
      <c r="Q91" s="33" t="n">
        <f>8316</f>
        <v>8316.0</v>
      </c>
      <c r="R91" s="34" t="s">
        <v>50</v>
      </c>
      <c r="S91" s="35" t="n">
        <f>8405.1</f>
        <v>8405.1</v>
      </c>
      <c r="T91" s="32" t="n">
        <f>233121</f>
        <v>233121.0</v>
      </c>
      <c r="U91" s="32" t="n">
        <f>1001</f>
        <v>1001.0</v>
      </c>
      <c r="V91" s="32" t="n">
        <f>1968657147</f>
        <v>1.968657147E9</v>
      </c>
      <c r="W91" s="32" t="n">
        <f>8960861</f>
        <v>8960861.0</v>
      </c>
      <c r="X91" s="36" t="n">
        <f>20</f>
        <v>20.0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88000</f>
        <v>88000.0</v>
      </c>
      <c r="L92" s="34" t="s">
        <v>48</v>
      </c>
      <c r="M92" s="33" t="n">
        <f>93200</f>
        <v>93200.0</v>
      </c>
      <c r="N92" s="34" t="s">
        <v>109</v>
      </c>
      <c r="O92" s="33" t="n">
        <f>83500</f>
        <v>83500.0</v>
      </c>
      <c r="P92" s="34" t="s">
        <v>50</v>
      </c>
      <c r="Q92" s="33" t="n">
        <f>84550</f>
        <v>84550.0</v>
      </c>
      <c r="R92" s="34" t="s">
        <v>50</v>
      </c>
      <c r="S92" s="35" t="n">
        <f>88031</f>
        <v>88031.0</v>
      </c>
      <c r="T92" s="32" t="n">
        <f>8023</f>
        <v>8023.0</v>
      </c>
      <c r="U92" s="32" t="n">
        <f>8</f>
        <v>8.0</v>
      </c>
      <c r="V92" s="32" t="n">
        <f>704981280</f>
        <v>7.0498128E8</v>
      </c>
      <c r="W92" s="32" t="n">
        <f>703300</f>
        <v>703300.0</v>
      </c>
      <c r="X92" s="36" t="n">
        <f>20</f>
        <v>20.0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15980</f>
        <v>15980.0</v>
      </c>
      <c r="L93" s="34" t="s">
        <v>48</v>
      </c>
      <c r="M93" s="33" t="n">
        <f>17300</f>
        <v>17300.0</v>
      </c>
      <c r="N93" s="34" t="s">
        <v>50</v>
      </c>
      <c r="O93" s="33" t="n">
        <f>15905</f>
        <v>15905.0</v>
      </c>
      <c r="P93" s="34" t="s">
        <v>48</v>
      </c>
      <c r="Q93" s="33" t="n">
        <f>17250</f>
        <v>17250.0</v>
      </c>
      <c r="R93" s="34" t="s">
        <v>50</v>
      </c>
      <c r="S93" s="35" t="n">
        <f>16717</f>
        <v>16717.0</v>
      </c>
      <c r="T93" s="32" t="n">
        <f>2122289</f>
        <v>2122289.0</v>
      </c>
      <c r="U93" s="32" t="n">
        <f>25471</f>
        <v>25471.0</v>
      </c>
      <c r="V93" s="32" t="n">
        <f>35550801688</f>
        <v>3.5550801688E10</v>
      </c>
      <c r="W93" s="32" t="n">
        <f>434738228</f>
        <v>4.34738228E8</v>
      </c>
      <c r="X93" s="36" t="n">
        <f>20</f>
        <v>20.0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40410</f>
        <v>40410.0</v>
      </c>
      <c r="L94" s="34" t="s">
        <v>48</v>
      </c>
      <c r="M94" s="33" t="n">
        <f>47330</f>
        <v>47330.0</v>
      </c>
      <c r="N94" s="34" t="s">
        <v>50</v>
      </c>
      <c r="O94" s="33" t="n">
        <f>40220</f>
        <v>40220.0</v>
      </c>
      <c r="P94" s="34" t="s">
        <v>48</v>
      </c>
      <c r="Q94" s="33" t="n">
        <f>47210</f>
        <v>47210.0</v>
      </c>
      <c r="R94" s="34" t="s">
        <v>50</v>
      </c>
      <c r="S94" s="35" t="n">
        <f>43628</f>
        <v>43628.0</v>
      </c>
      <c r="T94" s="32" t="n">
        <f>222495</f>
        <v>222495.0</v>
      </c>
      <c r="U94" s="32" t="n">
        <f>28008</f>
        <v>28008.0</v>
      </c>
      <c r="V94" s="32" t="n">
        <f>9748127130</f>
        <v>9.74812713E9</v>
      </c>
      <c r="W94" s="32" t="n">
        <f>1222521060</f>
        <v>1.22252106E9</v>
      </c>
      <c r="X94" s="36" t="n">
        <f>20</f>
        <v>20.0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5659</f>
        <v>5659.0</v>
      </c>
      <c r="L95" s="34" t="s">
        <v>48</v>
      </c>
      <c r="M95" s="33" t="n">
        <f>6309</f>
        <v>6309.0</v>
      </c>
      <c r="N95" s="34" t="s">
        <v>50</v>
      </c>
      <c r="O95" s="33" t="n">
        <f>5633</f>
        <v>5633.0</v>
      </c>
      <c r="P95" s="34" t="s">
        <v>48</v>
      </c>
      <c r="Q95" s="33" t="n">
        <f>6299</f>
        <v>6299.0</v>
      </c>
      <c r="R95" s="34" t="s">
        <v>50</v>
      </c>
      <c r="S95" s="35" t="n">
        <f>5987.65</f>
        <v>5987.65</v>
      </c>
      <c r="T95" s="32" t="n">
        <f>1940790</f>
        <v>1940790.0</v>
      </c>
      <c r="U95" s="32" t="n">
        <f>40850</f>
        <v>40850.0</v>
      </c>
      <c r="V95" s="32" t="n">
        <f>11620463316</f>
        <v>1.1620463316E10</v>
      </c>
      <c r="W95" s="32" t="n">
        <f>250071626</f>
        <v>2.50071626E8</v>
      </c>
      <c r="X95" s="36" t="n">
        <f>20</f>
        <v>20.0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3548</f>
        <v>3548.0</v>
      </c>
      <c r="L96" s="34" t="s">
        <v>48</v>
      </c>
      <c r="M96" s="33" t="n">
        <f>3940</f>
        <v>3940.0</v>
      </c>
      <c r="N96" s="34" t="s">
        <v>50</v>
      </c>
      <c r="O96" s="33" t="n">
        <f>3533</f>
        <v>3533.0</v>
      </c>
      <c r="P96" s="34" t="s">
        <v>48</v>
      </c>
      <c r="Q96" s="33" t="n">
        <f>3930</f>
        <v>3930.0</v>
      </c>
      <c r="R96" s="34" t="s">
        <v>50</v>
      </c>
      <c r="S96" s="35" t="n">
        <f>3749.65</f>
        <v>3749.65</v>
      </c>
      <c r="T96" s="32" t="n">
        <f>93060</f>
        <v>93060.0</v>
      </c>
      <c r="U96" s="32" t="str">
        <f>"－"</f>
        <v>－</v>
      </c>
      <c r="V96" s="32" t="n">
        <f>348262670</f>
        <v>3.4826267E8</v>
      </c>
      <c r="W96" s="32" t="str">
        <f>"－"</f>
        <v>－</v>
      </c>
      <c r="X96" s="36" t="n">
        <f>20</f>
        <v>20.0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4063</f>
        <v>4063.0</v>
      </c>
      <c r="L97" s="34" t="s">
        <v>48</v>
      </c>
      <c r="M97" s="33" t="n">
        <f>4259</f>
        <v>4259.0</v>
      </c>
      <c r="N97" s="34" t="s">
        <v>50</v>
      </c>
      <c r="O97" s="33" t="n">
        <f>4030</f>
        <v>4030.0</v>
      </c>
      <c r="P97" s="34" t="s">
        <v>48</v>
      </c>
      <c r="Q97" s="33" t="n">
        <f>4255</f>
        <v>4255.0</v>
      </c>
      <c r="R97" s="34" t="s">
        <v>50</v>
      </c>
      <c r="S97" s="35" t="n">
        <f>4153.5</f>
        <v>4153.5</v>
      </c>
      <c r="T97" s="32" t="n">
        <f>7060</f>
        <v>7060.0</v>
      </c>
      <c r="U97" s="32" t="str">
        <f>"－"</f>
        <v>－</v>
      </c>
      <c r="V97" s="32" t="n">
        <f>29305340</f>
        <v>2.930534E7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 t="s">
        <v>340</v>
      </c>
      <c r="I98" s="31" t="s">
        <v>47</v>
      </c>
      <c r="J98" s="32" t="n">
        <v>1.0</v>
      </c>
      <c r="K98" s="33" t="n">
        <f>2468</f>
        <v>2468.0</v>
      </c>
      <c r="L98" s="34" t="s">
        <v>48</v>
      </c>
      <c r="M98" s="33" t="n">
        <f>2539</f>
        <v>2539.0</v>
      </c>
      <c r="N98" s="34" t="s">
        <v>68</v>
      </c>
      <c r="O98" s="33" t="n">
        <f>2122</f>
        <v>2122.0</v>
      </c>
      <c r="P98" s="34" t="s">
        <v>50</v>
      </c>
      <c r="Q98" s="33" t="n">
        <f>2135</f>
        <v>2135.0</v>
      </c>
      <c r="R98" s="34" t="s">
        <v>50</v>
      </c>
      <c r="S98" s="35" t="n">
        <f>2364.8</f>
        <v>2364.8</v>
      </c>
      <c r="T98" s="32" t="n">
        <f>29563580</f>
        <v>2.956358E7</v>
      </c>
      <c r="U98" s="32" t="n">
        <f>19619</f>
        <v>19619.0</v>
      </c>
      <c r="V98" s="32" t="n">
        <f>70208675787</f>
        <v>7.0208675787E10</v>
      </c>
      <c r="W98" s="32" t="n">
        <f>48714076</f>
        <v>4.8714076E7</v>
      </c>
      <c r="X98" s="36" t="n">
        <f>20</f>
        <v>20.0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3015</f>
        <v>3015.0</v>
      </c>
      <c r="L99" s="34" t="s">
        <v>48</v>
      </c>
      <c r="M99" s="33" t="n">
        <f>3300</f>
        <v>3300.0</v>
      </c>
      <c r="N99" s="34" t="s">
        <v>50</v>
      </c>
      <c r="O99" s="33" t="n">
        <f>2996</f>
        <v>2996.0</v>
      </c>
      <c r="P99" s="34" t="s">
        <v>48</v>
      </c>
      <c r="Q99" s="33" t="n">
        <f>3291</f>
        <v>3291.0</v>
      </c>
      <c r="R99" s="34" t="s">
        <v>50</v>
      </c>
      <c r="S99" s="35" t="n">
        <f>3165.8</f>
        <v>3165.8</v>
      </c>
      <c r="T99" s="32" t="n">
        <f>116360</f>
        <v>116360.0</v>
      </c>
      <c r="U99" s="32" t="str">
        <f>"－"</f>
        <v>－</v>
      </c>
      <c r="V99" s="32" t="n">
        <f>366541270</f>
        <v>3.6654127E8</v>
      </c>
      <c r="W99" s="32" t="str">
        <f>"－"</f>
        <v>－</v>
      </c>
      <c r="X99" s="36" t="n">
        <f>20</f>
        <v>20.0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1528.5</f>
        <v>1528.5</v>
      </c>
      <c r="L100" s="34" t="s">
        <v>48</v>
      </c>
      <c r="M100" s="33" t="n">
        <f>1684.5</f>
        <v>1684.5</v>
      </c>
      <c r="N100" s="34" t="s">
        <v>50</v>
      </c>
      <c r="O100" s="33" t="n">
        <f>1495</f>
        <v>1495.0</v>
      </c>
      <c r="P100" s="34" t="s">
        <v>78</v>
      </c>
      <c r="Q100" s="33" t="n">
        <f>1681</f>
        <v>1681.0</v>
      </c>
      <c r="R100" s="34" t="s">
        <v>50</v>
      </c>
      <c r="S100" s="35" t="n">
        <f>1585.25</f>
        <v>1585.25</v>
      </c>
      <c r="T100" s="32" t="n">
        <f>166660</f>
        <v>166660.0</v>
      </c>
      <c r="U100" s="32" t="str">
        <f>"－"</f>
        <v>－</v>
      </c>
      <c r="V100" s="32" t="n">
        <f>263038595</f>
        <v>2.63038595E8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51570</f>
        <v>51570.0</v>
      </c>
      <c r="L101" s="34" t="s">
        <v>48</v>
      </c>
      <c r="M101" s="33" t="n">
        <f>57530</f>
        <v>57530.0</v>
      </c>
      <c r="N101" s="34" t="s">
        <v>50</v>
      </c>
      <c r="O101" s="33" t="n">
        <f>51360</f>
        <v>51360.0</v>
      </c>
      <c r="P101" s="34" t="s">
        <v>48</v>
      </c>
      <c r="Q101" s="33" t="n">
        <f>57450</f>
        <v>57450.0</v>
      </c>
      <c r="R101" s="34" t="s">
        <v>50</v>
      </c>
      <c r="S101" s="35" t="n">
        <f>54597</f>
        <v>54597.0</v>
      </c>
      <c r="T101" s="32" t="n">
        <f>172505</f>
        <v>172505.0</v>
      </c>
      <c r="U101" s="32" t="n">
        <f>18055</f>
        <v>18055.0</v>
      </c>
      <c r="V101" s="32" t="n">
        <f>9429257303</f>
        <v>9.429257303E9</v>
      </c>
      <c r="W101" s="32" t="n">
        <f>1009045223</f>
        <v>1.009045223E9</v>
      </c>
      <c r="X101" s="36" t="n">
        <f>20</f>
        <v>20.0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3175</f>
        <v>3175.0</v>
      </c>
      <c r="L102" s="34" t="s">
        <v>48</v>
      </c>
      <c r="M102" s="33" t="n">
        <f>3290</f>
        <v>3290.0</v>
      </c>
      <c r="N102" s="34" t="s">
        <v>77</v>
      </c>
      <c r="O102" s="33" t="n">
        <f>3140</f>
        <v>3140.0</v>
      </c>
      <c r="P102" s="34" t="s">
        <v>78</v>
      </c>
      <c r="Q102" s="33" t="n">
        <f>3185</f>
        <v>3185.0</v>
      </c>
      <c r="R102" s="34" t="s">
        <v>50</v>
      </c>
      <c r="S102" s="35" t="n">
        <f>3174</f>
        <v>3174.0</v>
      </c>
      <c r="T102" s="32" t="n">
        <f>15961</f>
        <v>15961.0</v>
      </c>
      <c r="U102" s="32" t="str">
        <f>"－"</f>
        <v>－</v>
      </c>
      <c r="V102" s="32" t="n">
        <f>50460660</f>
        <v>5.046066E7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4230</f>
        <v>4230.0</v>
      </c>
      <c r="L103" s="34" t="s">
        <v>48</v>
      </c>
      <c r="M103" s="33" t="n">
        <f>4250</f>
        <v>4250.0</v>
      </c>
      <c r="N103" s="34" t="s">
        <v>193</v>
      </c>
      <c r="O103" s="33" t="n">
        <f>4080</f>
        <v>4080.0</v>
      </c>
      <c r="P103" s="34" t="s">
        <v>68</v>
      </c>
      <c r="Q103" s="33" t="n">
        <f>4235</f>
        <v>4235.0</v>
      </c>
      <c r="R103" s="34" t="s">
        <v>50</v>
      </c>
      <c r="S103" s="35" t="n">
        <f>4150.25</f>
        <v>4150.25</v>
      </c>
      <c r="T103" s="32" t="n">
        <f>9727</f>
        <v>9727.0</v>
      </c>
      <c r="U103" s="32" t="str">
        <f>"－"</f>
        <v>－</v>
      </c>
      <c r="V103" s="32" t="n">
        <f>40071270</f>
        <v>4.007127E7</v>
      </c>
      <c r="W103" s="32" t="str">
        <f>"－"</f>
        <v>－</v>
      </c>
      <c r="X103" s="36" t="n">
        <f>20</f>
        <v>20.0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2186</f>
        <v>2186.0</v>
      </c>
      <c r="L104" s="34" t="s">
        <v>48</v>
      </c>
      <c r="M104" s="33" t="n">
        <f>2420</f>
        <v>2420.0</v>
      </c>
      <c r="N104" s="34" t="s">
        <v>50</v>
      </c>
      <c r="O104" s="33" t="n">
        <f>2151</f>
        <v>2151.0</v>
      </c>
      <c r="P104" s="34" t="s">
        <v>180</v>
      </c>
      <c r="Q104" s="33" t="n">
        <f>2359</f>
        <v>2359.0</v>
      </c>
      <c r="R104" s="34" t="s">
        <v>50</v>
      </c>
      <c r="S104" s="35" t="n">
        <f>2279.9</f>
        <v>2279.9</v>
      </c>
      <c r="T104" s="32" t="n">
        <f>759033</f>
        <v>759033.0</v>
      </c>
      <c r="U104" s="32" t="n">
        <f>20</f>
        <v>20.0</v>
      </c>
      <c r="V104" s="32" t="n">
        <f>1730456661</f>
        <v>1.730456661E9</v>
      </c>
      <c r="W104" s="32" t="n">
        <f>45515</f>
        <v>45515.0</v>
      </c>
      <c r="X104" s="36" t="n">
        <f>20</f>
        <v>20.0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42950</f>
        <v>42950.0</v>
      </c>
      <c r="L105" s="34" t="s">
        <v>48</v>
      </c>
      <c r="M105" s="33" t="n">
        <f>44100</f>
        <v>44100.0</v>
      </c>
      <c r="N105" s="34" t="s">
        <v>263</v>
      </c>
      <c r="O105" s="33" t="n">
        <f>42850</f>
        <v>42850.0</v>
      </c>
      <c r="P105" s="34" t="s">
        <v>48</v>
      </c>
      <c r="Q105" s="33" t="n">
        <f>43560</f>
        <v>43560.0</v>
      </c>
      <c r="R105" s="34" t="s">
        <v>50</v>
      </c>
      <c r="S105" s="35" t="n">
        <f>43510</f>
        <v>43510.0</v>
      </c>
      <c r="T105" s="32" t="n">
        <f>7187</f>
        <v>7187.0</v>
      </c>
      <c r="U105" s="32" t="n">
        <f>1148</f>
        <v>1148.0</v>
      </c>
      <c r="V105" s="32" t="n">
        <f>312524441</f>
        <v>3.12524441E8</v>
      </c>
      <c r="W105" s="32" t="n">
        <f>49937081</f>
        <v>4.9937081E7</v>
      </c>
      <c r="X105" s="36" t="n">
        <f>20</f>
        <v>20.0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21475</f>
        <v>21475.0</v>
      </c>
      <c r="L106" s="34" t="s">
        <v>48</v>
      </c>
      <c r="M106" s="33" t="n">
        <f>23960</f>
        <v>23960.0</v>
      </c>
      <c r="N106" s="34" t="s">
        <v>49</v>
      </c>
      <c r="O106" s="33" t="n">
        <f>21180</f>
        <v>21180.0</v>
      </c>
      <c r="P106" s="34" t="s">
        <v>48</v>
      </c>
      <c r="Q106" s="33" t="n">
        <f>23800</f>
        <v>23800.0</v>
      </c>
      <c r="R106" s="34" t="s">
        <v>50</v>
      </c>
      <c r="S106" s="35" t="n">
        <f>23038.75</f>
        <v>23038.75</v>
      </c>
      <c r="T106" s="32" t="n">
        <f>2845670</f>
        <v>2845670.0</v>
      </c>
      <c r="U106" s="32" t="n">
        <f>260</f>
        <v>260.0</v>
      </c>
      <c r="V106" s="32" t="n">
        <f>65448303750</f>
        <v>6.544830375E10</v>
      </c>
      <c r="W106" s="32" t="n">
        <f>6008450</f>
        <v>6008450.0</v>
      </c>
      <c r="X106" s="36" t="n">
        <f>20</f>
        <v>20.0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2170</f>
        <v>2170.0</v>
      </c>
      <c r="L107" s="34" t="s">
        <v>48</v>
      </c>
      <c r="M107" s="33" t="n">
        <f>2180</f>
        <v>2180.0</v>
      </c>
      <c r="N107" s="34" t="s">
        <v>48</v>
      </c>
      <c r="O107" s="33" t="n">
        <f>2047</f>
        <v>2047.0</v>
      </c>
      <c r="P107" s="34" t="s">
        <v>50</v>
      </c>
      <c r="Q107" s="33" t="n">
        <f>2047</f>
        <v>2047.0</v>
      </c>
      <c r="R107" s="34" t="s">
        <v>50</v>
      </c>
      <c r="S107" s="35" t="n">
        <f>2086.5</f>
        <v>2086.5</v>
      </c>
      <c r="T107" s="32" t="n">
        <f>118640</f>
        <v>118640.0</v>
      </c>
      <c r="U107" s="32" t="str">
        <f>"－"</f>
        <v>－</v>
      </c>
      <c r="V107" s="32" t="n">
        <f>247325520</f>
        <v>2.4732552E8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12490</f>
        <v>12490.0</v>
      </c>
      <c r="L108" s="34" t="s">
        <v>48</v>
      </c>
      <c r="M108" s="33" t="n">
        <f>14290</f>
        <v>14290.0</v>
      </c>
      <c r="N108" s="34" t="s">
        <v>129</v>
      </c>
      <c r="O108" s="33" t="n">
        <f>12380</f>
        <v>12380.0</v>
      </c>
      <c r="P108" s="34" t="s">
        <v>48</v>
      </c>
      <c r="Q108" s="33" t="n">
        <f>14275</f>
        <v>14275.0</v>
      </c>
      <c r="R108" s="34" t="s">
        <v>50</v>
      </c>
      <c r="S108" s="35" t="n">
        <f>13700.25</f>
        <v>13700.25</v>
      </c>
      <c r="T108" s="32" t="n">
        <f>230710620</f>
        <v>2.3071062E8</v>
      </c>
      <c r="U108" s="32" t="n">
        <f>208340</f>
        <v>208340.0</v>
      </c>
      <c r="V108" s="32" t="n">
        <f>3156571240078</f>
        <v>3.156571240078E12</v>
      </c>
      <c r="W108" s="32" t="n">
        <f>2860317853</f>
        <v>2.860317853E9</v>
      </c>
      <c r="X108" s="36" t="n">
        <f>20</f>
        <v>20.0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1034</f>
        <v>1034.0</v>
      </c>
      <c r="L109" s="34" t="s">
        <v>48</v>
      </c>
      <c r="M109" s="33" t="n">
        <f>1039</f>
        <v>1039.0</v>
      </c>
      <c r="N109" s="34" t="s">
        <v>48</v>
      </c>
      <c r="O109" s="33" t="n">
        <f>959</f>
        <v>959.0</v>
      </c>
      <c r="P109" s="34" t="s">
        <v>50</v>
      </c>
      <c r="Q109" s="33" t="n">
        <f>960</f>
        <v>960.0</v>
      </c>
      <c r="R109" s="34" t="s">
        <v>50</v>
      </c>
      <c r="S109" s="35" t="n">
        <f>983.05</f>
        <v>983.05</v>
      </c>
      <c r="T109" s="32" t="n">
        <f>48603967</f>
        <v>4.8603967E7</v>
      </c>
      <c r="U109" s="32" t="n">
        <f>1100000</f>
        <v>1100000.0</v>
      </c>
      <c r="V109" s="32" t="n">
        <f>47754904263</f>
        <v>4.7754904263E10</v>
      </c>
      <c r="W109" s="32" t="n">
        <f>1104290000</f>
        <v>1.10429E9</v>
      </c>
      <c r="X109" s="36" t="n">
        <f>20</f>
        <v>20.0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4234</f>
        <v>4234.0</v>
      </c>
      <c r="L110" s="34" t="s">
        <v>48</v>
      </c>
      <c r="M110" s="33" t="n">
        <f>4790</f>
        <v>4790.0</v>
      </c>
      <c r="N110" s="34" t="s">
        <v>49</v>
      </c>
      <c r="O110" s="33" t="n">
        <f>3010</f>
        <v>3010.0</v>
      </c>
      <c r="P110" s="34" t="s">
        <v>50</v>
      </c>
      <c r="Q110" s="33" t="n">
        <f>3162</f>
        <v>3162.0</v>
      </c>
      <c r="R110" s="34" t="s">
        <v>50</v>
      </c>
      <c r="S110" s="35" t="n">
        <f>3909.25</f>
        <v>3909.25</v>
      </c>
      <c r="T110" s="32" t="n">
        <f>492190</f>
        <v>492190.0</v>
      </c>
      <c r="U110" s="32" t="str">
        <f>"－"</f>
        <v>－</v>
      </c>
      <c r="V110" s="32" t="n">
        <f>1788573330</f>
        <v>1.78857333E9</v>
      </c>
      <c r="W110" s="32" t="str">
        <f>"－"</f>
        <v>－</v>
      </c>
      <c r="X110" s="36" t="n">
        <f>20</f>
        <v>20.0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13315</f>
        <v>13315.0</v>
      </c>
      <c r="L111" s="34" t="s">
        <v>48</v>
      </c>
      <c r="M111" s="33" t="n">
        <f>15995</f>
        <v>15995.0</v>
      </c>
      <c r="N111" s="34" t="s">
        <v>193</v>
      </c>
      <c r="O111" s="33" t="n">
        <f>12365</f>
        <v>12365.0</v>
      </c>
      <c r="P111" s="34" t="s">
        <v>109</v>
      </c>
      <c r="Q111" s="33" t="n">
        <f>15710</f>
        <v>15710.0</v>
      </c>
      <c r="R111" s="34" t="s">
        <v>50</v>
      </c>
      <c r="S111" s="35" t="n">
        <f>14163</f>
        <v>14163.0</v>
      </c>
      <c r="T111" s="32" t="n">
        <f>71620</f>
        <v>71620.0</v>
      </c>
      <c r="U111" s="32" t="str">
        <f>"－"</f>
        <v>－</v>
      </c>
      <c r="V111" s="32" t="n">
        <f>1043316800</f>
        <v>1.0433168E9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 t="s">
        <v>383</v>
      </c>
      <c r="I112" s="31"/>
      <c r="J112" s="32" t="n">
        <v>10.0</v>
      </c>
      <c r="K112" s="33" t="n">
        <f>714.9</f>
        <v>714.9</v>
      </c>
      <c r="L112" s="34" t="s">
        <v>48</v>
      </c>
      <c r="M112" s="33" t="n">
        <f>784</f>
        <v>784.0</v>
      </c>
      <c r="N112" s="34" t="s">
        <v>49</v>
      </c>
      <c r="O112" s="33" t="n">
        <f>698.9</f>
        <v>698.9</v>
      </c>
      <c r="P112" s="34" t="s">
        <v>50</v>
      </c>
      <c r="Q112" s="33" t="n">
        <f>706</f>
        <v>706.0</v>
      </c>
      <c r="R112" s="34" t="s">
        <v>50</v>
      </c>
      <c r="S112" s="35" t="n">
        <f>744.32</f>
        <v>744.32</v>
      </c>
      <c r="T112" s="32" t="n">
        <f>23770</f>
        <v>23770.0</v>
      </c>
      <c r="U112" s="32" t="n">
        <f>10</f>
        <v>10.0</v>
      </c>
      <c r="V112" s="32" t="n">
        <f>17883063</f>
        <v>1.7883063E7</v>
      </c>
      <c r="W112" s="32" t="n">
        <f>7571</f>
        <v>7571.0</v>
      </c>
      <c r="X112" s="36" t="n">
        <f>18</f>
        <v>18.0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23595</f>
        <v>23595.0</v>
      </c>
      <c r="L113" s="34" t="s">
        <v>48</v>
      </c>
      <c r="M113" s="33" t="n">
        <f>24785</f>
        <v>24785.0</v>
      </c>
      <c r="N113" s="34" t="s">
        <v>109</v>
      </c>
      <c r="O113" s="33" t="n">
        <f>23400</f>
        <v>23400.0</v>
      </c>
      <c r="P113" s="34" t="s">
        <v>48</v>
      </c>
      <c r="Q113" s="33" t="n">
        <f>24025</f>
        <v>24025.0</v>
      </c>
      <c r="R113" s="34" t="s">
        <v>50</v>
      </c>
      <c r="S113" s="35" t="n">
        <f>23929.25</f>
        <v>23929.25</v>
      </c>
      <c r="T113" s="32" t="n">
        <f>62708</f>
        <v>62708.0</v>
      </c>
      <c r="U113" s="32" t="n">
        <f>4181</f>
        <v>4181.0</v>
      </c>
      <c r="V113" s="32" t="n">
        <f>1501010744</f>
        <v>1.501010744E9</v>
      </c>
      <c r="W113" s="32" t="n">
        <f>99856029</f>
        <v>9.9856029E7</v>
      </c>
      <c r="X113" s="36" t="n">
        <f>20</f>
        <v>20.0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2079</f>
        <v>2079.0</v>
      </c>
      <c r="L114" s="34" t="s">
        <v>48</v>
      </c>
      <c r="M114" s="33" t="n">
        <f>2217</f>
        <v>2217.0</v>
      </c>
      <c r="N114" s="34" t="s">
        <v>50</v>
      </c>
      <c r="O114" s="33" t="n">
        <f>2066</f>
        <v>2066.0</v>
      </c>
      <c r="P114" s="34" t="s">
        <v>48</v>
      </c>
      <c r="Q114" s="33" t="n">
        <f>2217</f>
        <v>2217.0</v>
      </c>
      <c r="R114" s="34" t="s">
        <v>50</v>
      </c>
      <c r="S114" s="35" t="n">
        <f>2169.4</f>
        <v>2169.4</v>
      </c>
      <c r="T114" s="32" t="n">
        <f>59225</f>
        <v>59225.0</v>
      </c>
      <c r="U114" s="32" t="n">
        <f>3</f>
        <v>3.0</v>
      </c>
      <c r="V114" s="32" t="n">
        <f>128442585</f>
        <v>1.28442585E8</v>
      </c>
      <c r="W114" s="32" t="n">
        <f>6417</f>
        <v>6417.0</v>
      </c>
      <c r="X114" s="36" t="n">
        <f>20</f>
        <v>20.0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13375</f>
        <v>13375.0</v>
      </c>
      <c r="L115" s="34" t="s">
        <v>48</v>
      </c>
      <c r="M115" s="33" t="n">
        <f>15305</f>
        <v>15305.0</v>
      </c>
      <c r="N115" s="34" t="s">
        <v>129</v>
      </c>
      <c r="O115" s="33" t="n">
        <f>13255</f>
        <v>13255.0</v>
      </c>
      <c r="P115" s="34" t="s">
        <v>48</v>
      </c>
      <c r="Q115" s="33" t="n">
        <f>15290</f>
        <v>15290.0</v>
      </c>
      <c r="R115" s="34" t="s">
        <v>50</v>
      </c>
      <c r="S115" s="35" t="n">
        <f>14667.5</f>
        <v>14667.5</v>
      </c>
      <c r="T115" s="32" t="n">
        <f>21897700</f>
        <v>2.18977E7</v>
      </c>
      <c r="U115" s="32" t="n">
        <f>161550</f>
        <v>161550.0</v>
      </c>
      <c r="V115" s="32" t="n">
        <f>320887542460</f>
        <v>3.2088754246E11</v>
      </c>
      <c r="W115" s="32" t="n">
        <f>2378732010</f>
        <v>2.37873201E9</v>
      </c>
      <c r="X115" s="36" t="n">
        <f>20</f>
        <v>20.0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2746</f>
        <v>2746.0</v>
      </c>
      <c r="L116" s="34" t="s">
        <v>48</v>
      </c>
      <c r="M116" s="33" t="n">
        <f>2756.5</f>
        <v>2756.5</v>
      </c>
      <c r="N116" s="34" t="s">
        <v>48</v>
      </c>
      <c r="O116" s="33" t="n">
        <f>2550</f>
        <v>2550.0</v>
      </c>
      <c r="P116" s="34" t="s">
        <v>50</v>
      </c>
      <c r="Q116" s="33" t="n">
        <f>2551.5</f>
        <v>2551.5</v>
      </c>
      <c r="R116" s="34" t="s">
        <v>50</v>
      </c>
      <c r="S116" s="35" t="n">
        <f>2612.23</f>
        <v>2612.23</v>
      </c>
      <c r="T116" s="32" t="n">
        <f>625790</f>
        <v>625790.0</v>
      </c>
      <c r="U116" s="32" t="str">
        <f>"－"</f>
        <v>－</v>
      </c>
      <c r="V116" s="32" t="n">
        <f>1635136010</f>
        <v>1.63513601E9</v>
      </c>
      <c r="W116" s="32" t="str">
        <f>"－"</f>
        <v>－</v>
      </c>
      <c r="X116" s="36" t="n">
        <f>20</f>
        <v>20.0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810</f>
        <v>810.0</v>
      </c>
      <c r="L117" s="34" t="s">
        <v>48</v>
      </c>
      <c r="M117" s="33" t="n">
        <f>950</f>
        <v>950.0</v>
      </c>
      <c r="N117" s="34" t="s">
        <v>50</v>
      </c>
      <c r="O117" s="33" t="n">
        <f>789.9</f>
        <v>789.9</v>
      </c>
      <c r="P117" s="34" t="s">
        <v>67</v>
      </c>
      <c r="Q117" s="33" t="n">
        <f>949.9</f>
        <v>949.9</v>
      </c>
      <c r="R117" s="34" t="s">
        <v>50</v>
      </c>
      <c r="S117" s="35" t="n">
        <f>869.2</f>
        <v>869.2</v>
      </c>
      <c r="T117" s="32" t="n">
        <f>840</f>
        <v>840.0</v>
      </c>
      <c r="U117" s="32" t="str">
        <f>"－"</f>
        <v>－</v>
      </c>
      <c r="V117" s="32" t="n">
        <f>744028</f>
        <v>744028.0</v>
      </c>
      <c r="W117" s="32" t="str">
        <f>"－"</f>
        <v>－</v>
      </c>
      <c r="X117" s="36" t="n">
        <f>13</f>
        <v>13.0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1446.5</f>
        <v>1446.5</v>
      </c>
      <c r="L118" s="34" t="s">
        <v>48</v>
      </c>
      <c r="M118" s="33" t="n">
        <f>1510</f>
        <v>1510.0</v>
      </c>
      <c r="N118" s="34" t="s">
        <v>110</v>
      </c>
      <c r="O118" s="33" t="n">
        <f>1446.5</f>
        <v>1446.5</v>
      </c>
      <c r="P118" s="34" t="s">
        <v>48</v>
      </c>
      <c r="Q118" s="33" t="n">
        <f>1502</f>
        <v>1502.0</v>
      </c>
      <c r="R118" s="34" t="s">
        <v>193</v>
      </c>
      <c r="S118" s="35" t="n">
        <f>1488.3</f>
        <v>1488.3</v>
      </c>
      <c r="T118" s="32" t="n">
        <f>570</f>
        <v>570.0</v>
      </c>
      <c r="U118" s="32" t="str">
        <f>"－"</f>
        <v>－</v>
      </c>
      <c r="V118" s="32" t="n">
        <f>840770</f>
        <v>840770.0</v>
      </c>
      <c r="W118" s="32" t="str">
        <f>"－"</f>
        <v>－</v>
      </c>
      <c r="X118" s="36" t="n">
        <f>5</f>
        <v>5.0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1608</f>
        <v>1608.0</v>
      </c>
      <c r="L119" s="34" t="s">
        <v>48</v>
      </c>
      <c r="M119" s="33" t="n">
        <f>1640</f>
        <v>1640.0</v>
      </c>
      <c r="N119" s="34" t="s">
        <v>50</v>
      </c>
      <c r="O119" s="33" t="n">
        <f>1520</f>
        <v>1520.0</v>
      </c>
      <c r="P119" s="34" t="s">
        <v>78</v>
      </c>
      <c r="Q119" s="33" t="n">
        <f>1640</f>
        <v>1640.0</v>
      </c>
      <c r="R119" s="34" t="s">
        <v>50</v>
      </c>
      <c r="S119" s="35" t="n">
        <f>1602.3</f>
        <v>1602.3</v>
      </c>
      <c r="T119" s="32" t="n">
        <f>13130</f>
        <v>13130.0</v>
      </c>
      <c r="U119" s="32" t="str">
        <f>"－"</f>
        <v>－</v>
      </c>
      <c r="V119" s="32" t="n">
        <f>20952472</f>
        <v>2.0952472E7</v>
      </c>
      <c r="W119" s="32" t="str">
        <f>"－"</f>
        <v>－</v>
      </c>
      <c r="X119" s="36" t="n">
        <f>20</f>
        <v>20.0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16625</f>
        <v>16625.0</v>
      </c>
      <c r="L120" s="34" t="s">
        <v>48</v>
      </c>
      <c r="M120" s="33" t="n">
        <f>17545</f>
        <v>17545.0</v>
      </c>
      <c r="N120" s="34" t="s">
        <v>109</v>
      </c>
      <c r="O120" s="33" t="n">
        <f>16555</f>
        <v>16555.0</v>
      </c>
      <c r="P120" s="34" t="s">
        <v>48</v>
      </c>
      <c r="Q120" s="33" t="n">
        <f>17380</f>
        <v>17380.0</v>
      </c>
      <c r="R120" s="34" t="s">
        <v>50</v>
      </c>
      <c r="S120" s="35" t="n">
        <f>17085</f>
        <v>17085.0</v>
      </c>
      <c r="T120" s="32" t="n">
        <f>67076</f>
        <v>67076.0</v>
      </c>
      <c r="U120" s="32" t="n">
        <f>26455</f>
        <v>26455.0</v>
      </c>
      <c r="V120" s="32" t="n">
        <f>1161146983</f>
        <v>1.161146983E9</v>
      </c>
      <c r="W120" s="32" t="n">
        <f>459420028</f>
        <v>4.59420028E8</v>
      </c>
      <c r="X120" s="36" t="n">
        <f>20</f>
        <v>20.0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1511</f>
        <v>1511.0</v>
      </c>
      <c r="L121" s="34" t="s">
        <v>48</v>
      </c>
      <c r="M121" s="33" t="n">
        <f>1606</f>
        <v>1606.0</v>
      </c>
      <c r="N121" s="34" t="s">
        <v>49</v>
      </c>
      <c r="O121" s="33" t="n">
        <f>1508</f>
        <v>1508.0</v>
      </c>
      <c r="P121" s="34" t="s">
        <v>48</v>
      </c>
      <c r="Q121" s="33" t="n">
        <f>1602</f>
        <v>1602.0</v>
      </c>
      <c r="R121" s="34" t="s">
        <v>50</v>
      </c>
      <c r="S121" s="35" t="n">
        <f>1575.4</f>
        <v>1575.4</v>
      </c>
      <c r="T121" s="32" t="n">
        <f>27704</f>
        <v>27704.0</v>
      </c>
      <c r="U121" s="32" t="str">
        <f>"－"</f>
        <v>－</v>
      </c>
      <c r="V121" s="32" t="n">
        <f>43519769</f>
        <v>4.3519769E7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16915</f>
        <v>16915.0</v>
      </c>
      <c r="L122" s="34" t="s">
        <v>48</v>
      </c>
      <c r="M122" s="33" t="n">
        <f>17945</f>
        <v>17945.0</v>
      </c>
      <c r="N122" s="34" t="s">
        <v>49</v>
      </c>
      <c r="O122" s="33" t="n">
        <f>16870</f>
        <v>16870.0</v>
      </c>
      <c r="P122" s="34" t="s">
        <v>48</v>
      </c>
      <c r="Q122" s="33" t="n">
        <f>17870</f>
        <v>17870.0</v>
      </c>
      <c r="R122" s="34" t="s">
        <v>50</v>
      </c>
      <c r="S122" s="35" t="n">
        <f>17590.25</f>
        <v>17590.25</v>
      </c>
      <c r="T122" s="32" t="n">
        <f>4389</f>
        <v>4389.0</v>
      </c>
      <c r="U122" s="32" t="str">
        <f>"－"</f>
        <v>－</v>
      </c>
      <c r="V122" s="32" t="n">
        <f>76976860</f>
        <v>7.697686E7</v>
      </c>
      <c r="W122" s="32" t="str">
        <f>"－"</f>
        <v>－</v>
      </c>
      <c r="X122" s="36" t="n">
        <f>20</f>
        <v>20.0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2007.5</f>
        <v>2007.5</v>
      </c>
      <c r="L123" s="34" t="s">
        <v>48</v>
      </c>
      <c r="M123" s="33" t="n">
        <f>2044.5</f>
        <v>2044.5</v>
      </c>
      <c r="N123" s="34" t="s">
        <v>67</v>
      </c>
      <c r="O123" s="33" t="n">
        <f>1880</f>
        <v>1880.0</v>
      </c>
      <c r="P123" s="34" t="s">
        <v>193</v>
      </c>
      <c r="Q123" s="33" t="n">
        <f>2003</f>
        <v>2003.0</v>
      </c>
      <c r="R123" s="34" t="s">
        <v>50</v>
      </c>
      <c r="S123" s="35" t="n">
        <f>1958.2</f>
        <v>1958.2</v>
      </c>
      <c r="T123" s="32" t="n">
        <f>1550120</f>
        <v>1550120.0</v>
      </c>
      <c r="U123" s="32" t="n">
        <f>833480</f>
        <v>833480.0</v>
      </c>
      <c r="V123" s="32" t="n">
        <f>3083444761</f>
        <v>3.083444761E9</v>
      </c>
      <c r="W123" s="32" t="n">
        <f>1666173121</f>
        <v>1.666173121E9</v>
      </c>
      <c r="X123" s="36" t="n">
        <f>20</f>
        <v>20.0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1657</f>
        <v>1657.0</v>
      </c>
      <c r="L124" s="34" t="s">
        <v>76</v>
      </c>
      <c r="M124" s="33" t="n">
        <f>1657</f>
        <v>1657.0</v>
      </c>
      <c r="N124" s="34" t="s">
        <v>76</v>
      </c>
      <c r="O124" s="33" t="n">
        <f>1657</f>
        <v>1657.0</v>
      </c>
      <c r="P124" s="34" t="s">
        <v>76</v>
      </c>
      <c r="Q124" s="33" t="n">
        <f>1657</f>
        <v>1657.0</v>
      </c>
      <c r="R124" s="34" t="s">
        <v>76</v>
      </c>
      <c r="S124" s="35" t="n">
        <f>1657</f>
        <v>1657.0</v>
      </c>
      <c r="T124" s="32" t="n">
        <f>1456310</f>
        <v>1456310.0</v>
      </c>
      <c r="U124" s="32" t="n">
        <f>1456300</f>
        <v>1456300.0</v>
      </c>
      <c r="V124" s="32" t="n">
        <f>2437666023</f>
        <v>2.437666023E9</v>
      </c>
      <c r="W124" s="32" t="n">
        <f>2437649453</f>
        <v>2.437649453E9</v>
      </c>
      <c r="X124" s="36" t="n">
        <f>1</f>
        <v>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1995.5</f>
        <v>1995.5</v>
      </c>
      <c r="L125" s="34" t="s">
        <v>48</v>
      </c>
      <c r="M125" s="33" t="n">
        <f>2033</f>
        <v>2033.0</v>
      </c>
      <c r="N125" s="34" t="s">
        <v>109</v>
      </c>
      <c r="O125" s="33" t="n">
        <f>1897</f>
        <v>1897.0</v>
      </c>
      <c r="P125" s="34" t="s">
        <v>110</v>
      </c>
      <c r="Q125" s="33" t="n">
        <f>2019.5</f>
        <v>2019.5</v>
      </c>
      <c r="R125" s="34" t="s">
        <v>50</v>
      </c>
      <c r="S125" s="35" t="n">
        <f>1964.65</f>
        <v>1964.65</v>
      </c>
      <c r="T125" s="32" t="n">
        <f>595350</f>
        <v>595350.0</v>
      </c>
      <c r="U125" s="32" t="n">
        <f>289930</f>
        <v>289930.0</v>
      </c>
      <c r="V125" s="32" t="n">
        <f>1168069067</f>
        <v>1.168069067E9</v>
      </c>
      <c r="W125" s="32" t="n">
        <f>573519897</f>
        <v>5.73519897E8</v>
      </c>
      <c r="X125" s="36" t="n">
        <f>20</f>
        <v>20.0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16945</f>
        <v>16945.0</v>
      </c>
      <c r="L126" s="34" t="s">
        <v>48</v>
      </c>
      <c r="M126" s="33" t="n">
        <f>18180</f>
        <v>18180.0</v>
      </c>
      <c r="N126" s="34" t="s">
        <v>50</v>
      </c>
      <c r="O126" s="33" t="n">
        <f>16945</f>
        <v>16945.0</v>
      </c>
      <c r="P126" s="34" t="s">
        <v>48</v>
      </c>
      <c r="Q126" s="33" t="n">
        <f>17705</f>
        <v>17705.0</v>
      </c>
      <c r="R126" s="34" t="s">
        <v>50</v>
      </c>
      <c r="S126" s="35" t="n">
        <f>17383.21</f>
        <v>17383.21</v>
      </c>
      <c r="T126" s="32" t="n">
        <f>672</f>
        <v>672.0</v>
      </c>
      <c r="U126" s="32" t="str">
        <f>"－"</f>
        <v>－</v>
      </c>
      <c r="V126" s="32" t="n">
        <f>11844660</f>
        <v>1.184466E7</v>
      </c>
      <c r="W126" s="32" t="str">
        <f>"－"</f>
        <v>－</v>
      </c>
      <c r="X126" s="36" t="n">
        <f>14</f>
        <v>14.0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100.0</v>
      </c>
      <c r="K127" s="33" t="n">
        <f>159.5</f>
        <v>159.5</v>
      </c>
      <c r="L127" s="34" t="s">
        <v>48</v>
      </c>
      <c r="M127" s="33" t="n">
        <f>172.2</f>
        <v>172.2</v>
      </c>
      <c r="N127" s="34" t="s">
        <v>129</v>
      </c>
      <c r="O127" s="33" t="n">
        <f>157.9</f>
        <v>157.9</v>
      </c>
      <c r="P127" s="34" t="s">
        <v>48</v>
      </c>
      <c r="Q127" s="33" t="n">
        <f>167.4</f>
        <v>167.4</v>
      </c>
      <c r="R127" s="34" t="s">
        <v>50</v>
      </c>
      <c r="S127" s="35" t="n">
        <f>165.76</f>
        <v>165.76</v>
      </c>
      <c r="T127" s="32" t="n">
        <f>55773800</f>
        <v>5.57738E7</v>
      </c>
      <c r="U127" s="32" t="n">
        <f>464500</f>
        <v>464500.0</v>
      </c>
      <c r="V127" s="32" t="n">
        <f>9202607420</f>
        <v>9.20260742E9</v>
      </c>
      <c r="W127" s="32" t="n">
        <f>75954050</f>
        <v>7.595405E7</v>
      </c>
      <c r="X127" s="36" t="n">
        <f>20</f>
        <v>20.0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29150</f>
        <v>29150.0</v>
      </c>
      <c r="L128" s="34" t="s">
        <v>48</v>
      </c>
      <c r="M128" s="33" t="n">
        <f>29870</f>
        <v>29870.0</v>
      </c>
      <c r="N128" s="34" t="s">
        <v>109</v>
      </c>
      <c r="O128" s="33" t="n">
        <f>28445</f>
        <v>28445.0</v>
      </c>
      <c r="P128" s="34" t="s">
        <v>110</v>
      </c>
      <c r="Q128" s="33" t="n">
        <f>28655</f>
        <v>28655.0</v>
      </c>
      <c r="R128" s="34" t="s">
        <v>50</v>
      </c>
      <c r="S128" s="35" t="n">
        <f>28971.5</f>
        <v>28971.5</v>
      </c>
      <c r="T128" s="32" t="n">
        <f>666</f>
        <v>666.0</v>
      </c>
      <c r="U128" s="32" t="str">
        <f>"－"</f>
        <v>－</v>
      </c>
      <c r="V128" s="32" t="n">
        <f>19311880</f>
        <v>1.931188E7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12880</f>
        <v>12880.0</v>
      </c>
      <c r="L129" s="34" t="s">
        <v>48</v>
      </c>
      <c r="M129" s="33" t="n">
        <f>14010</f>
        <v>14010.0</v>
      </c>
      <c r="N129" s="34" t="s">
        <v>49</v>
      </c>
      <c r="O129" s="33" t="n">
        <f>12850</f>
        <v>12850.0</v>
      </c>
      <c r="P129" s="34" t="s">
        <v>48</v>
      </c>
      <c r="Q129" s="33" t="n">
        <f>13645</f>
        <v>13645.0</v>
      </c>
      <c r="R129" s="34" t="s">
        <v>50</v>
      </c>
      <c r="S129" s="35" t="n">
        <f>13550</f>
        <v>13550.0</v>
      </c>
      <c r="T129" s="32" t="n">
        <f>6684</f>
        <v>6684.0</v>
      </c>
      <c r="U129" s="32" t="n">
        <f>4</f>
        <v>4.0</v>
      </c>
      <c r="V129" s="32" t="n">
        <f>90942275</f>
        <v>9.0942275E7</v>
      </c>
      <c r="W129" s="32" t="n">
        <f>49800</f>
        <v>49800.0</v>
      </c>
      <c r="X129" s="36" t="n">
        <f>20</f>
        <v>20.0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20605</f>
        <v>20605.0</v>
      </c>
      <c r="L130" s="34" t="s">
        <v>48</v>
      </c>
      <c r="M130" s="33" t="n">
        <f>21525</f>
        <v>21525.0</v>
      </c>
      <c r="N130" s="34" t="s">
        <v>49</v>
      </c>
      <c r="O130" s="33" t="n">
        <f>20605</f>
        <v>20605.0</v>
      </c>
      <c r="P130" s="34" t="s">
        <v>48</v>
      </c>
      <c r="Q130" s="33" t="n">
        <f>21015</f>
        <v>21015.0</v>
      </c>
      <c r="R130" s="34" t="s">
        <v>50</v>
      </c>
      <c r="S130" s="35" t="n">
        <f>21030.53</f>
        <v>21030.53</v>
      </c>
      <c r="T130" s="32" t="n">
        <f>507</f>
        <v>507.0</v>
      </c>
      <c r="U130" s="32" t="str">
        <f>"－"</f>
        <v>－</v>
      </c>
      <c r="V130" s="32" t="n">
        <f>10698845</f>
        <v>1.0698845E7</v>
      </c>
      <c r="W130" s="32" t="str">
        <f>"－"</f>
        <v>－</v>
      </c>
      <c r="X130" s="36" t="n">
        <f>19</f>
        <v>19.0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23105</f>
        <v>23105.0</v>
      </c>
      <c r="L131" s="34" t="s">
        <v>48</v>
      </c>
      <c r="M131" s="33" t="n">
        <f>24140</f>
        <v>24140.0</v>
      </c>
      <c r="N131" s="34" t="s">
        <v>49</v>
      </c>
      <c r="O131" s="33" t="n">
        <f>22970</f>
        <v>22970.0</v>
      </c>
      <c r="P131" s="34" t="s">
        <v>48</v>
      </c>
      <c r="Q131" s="33" t="n">
        <f>23420</f>
        <v>23420.0</v>
      </c>
      <c r="R131" s="34" t="s">
        <v>50</v>
      </c>
      <c r="S131" s="35" t="n">
        <f>23453</f>
        <v>23453.0</v>
      </c>
      <c r="T131" s="32" t="n">
        <f>1910</f>
        <v>1910.0</v>
      </c>
      <c r="U131" s="32" t="str">
        <f>"－"</f>
        <v>－</v>
      </c>
      <c r="V131" s="32" t="n">
        <f>44586925</f>
        <v>4.4586925E7</v>
      </c>
      <c r="W131" s="32" t="str">
        <f>"－"</f>
        <v>－</v>
      </c>
      <c r="X131" s="36" t="n">
        <f>20</f>
        <v>20.0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24885</f>
        <v>24885.0</v>
      </c>
      <c r="L132" s="34" t="s">
        <v>48</v>
      </c>
      <c r="M132" s="33" t="n">
        <f>26650</f>
        <v>26650.0</v>
      </c>
      <c r="N132" s="34" t="s">
        <v>50</v>
      </c>
      <c r="O132" s="33" t="n">
        <f>24555</f>
        <v>24555.0</v>
      </c>
      <c r="P132" s="34" t="s">
        <v>48</v>
      </c>
      <c r="Q132" s="33" t="n">
        <f>26650</f>
        <v>26650.0</v>
      </c>
      <c r="R132" s="34" t="s">
        <v>50</v>
      </c>
      <c r="S132" s="35" t="n">
        <f>25683.5</f>
        <v>25683.5</v>
      </c>
      <c r="T132" s="32" t="n">
        <f>4359</f>
        <v>4359.0</v>
      </c>
      <c r="U132" s="32" t="str">
        <f>"－"</f>
        <v>－</v>
      </c>
      <c r="V132" s="32" t="n">
        <f>112083740</f>
        <v>1.1208374E8</v>
      </c>
      <c r="W132" s="32" t="str">
        <f>"－"</f>
        <v>－</v>
      </c>
      <c r="X132" s="36" t="n">
        <f>20</f>
        <v>20.0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21970</f>
        <v>21970.0</v>
      </c>
      <c r="L133" s="34" t="s">
        <v>48</v>
      </c>
      <c r="M133" s="33" t="n">
        <f>23910</f>
        <v>23910.0</v>
      </c>
      <c r="N133" s="34" t="s">
        <v>50</v>
      </c>
      <c r="O133" s="33" t="n">
        <f>21970</f>
        <v>21970.0</v>
      </c>
      <c r="P133" s="34" t="s">
        <v>48</v>
      </c>
      <c r="Q133" s="33" t="n">
        <f>23910</f>
        <v>23910.0</v>
      </c>
      <c r="R133" s="34" t="s">
        <v>50</v>
      </c>
      <c r="S133" s="35" t="n">
        <f>23226.75</f>
        <v>23226.75</v>
      </c>
      <c r="T133" s="32" t="n">
        <f>3544</f>
        <v>3544.0</v>
      </c>
      <c r="U133" s="32" t="str">
        <f>"－"</f>
        <v>－</v>
      </c>
      <c r="V133" s="32" t="n">
        <f>82080050</f>
        <v>8.208005E7</v>
      </c>
      <c r="W133" s="32" t="str">
        <f>"－"</f>
        <v>－</v>
      </c>
      <c r="X133" s="36" t="n">
        <f>20</f>
        <v>20.0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16030</f>
        <v>16030.0</v>
      </c>
      <c r="L134" s="34" t="s">
        <v>48</v>
      </c>
      <c r="M134" s="33" t="n">
        <f>16970</f>
        <v>16970.0</v>
      </c>
      <c r="N134" s="34" t="s">
        <v>49</v>
      </c>
      <c r="O134" s="33" t="n">
        <f>15935</f>
        <v>15935.0</v>
      </c>
      <c r="P134" s="34" t="s">
        <v>48</v>
      </c>
      <c r="Q134" s="33" t="n">
        <f>16325</f>
        <v>16325.0</v>
      </c>
      <c r="R134" s="34" t="s">
        <v>50</v>
      </c>
      <c r="S134" s="35" t="n">
        <f>16531.75</f>
        <v>16531.75</v>
      </c>
      <c r="T134" s="32" t="n">
        <f>2295</f>
        <v>2295.0</v>
      </c>
      <c r="U134" s="32" t="str">
        <f>"－"</f>
        <v>－</v>
      </c>
      <c r="V134" s="32" t="n">
        <f>37809555</f>
        <v>3.7809555E7</v>
      </c>
      <c r="W134" s="32" t="str">
        <f>"－"</f>
        <v>－</v>
      </c>
      <c r="X134" s="36" t="n">
        <f>20</f>
        <v>20.0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36010</f>
        <v>36010.0</v>
      </c>
      <c r="L135" s="34" t="s">
        <v>48</v>
      </c>
      <c r="M135" s="33" t="n">
        <f>38500</f>
        <v>38500.0</v>
      </c>
      <c r="N135" s="34" t="s">
        <v>49</v>
      </c>
      <c r="O135" s="33" t="n">
        <f>35780</f>
        <v>35780.0</v>
      </c>
      <c r="P135" s="34" t="s">
        <v>180</v>
      </c>
      <c r="Q135" s="33" t="n">
        <f>37450</f>
        <v>37450.0</v>
      </c>
      <c r="R135" s="34" t="s">
        <v>50</v>
      </c>
      <c r="S135" s="35" t="n">
        <f>36903</f>
        <v>36903.0</v>
      </c>
      <c r="T135" s="32" t="n">
        <f>819</f>
        <v>819.0</v>
      </c>
      <c r="U135" s="32" t="str">
        <f>"－"</f>
        <v>－</v>
      </c>
      <c r="V135" s="32" t="n">
        <f>30166670</f>
        <v>3.016667E7</v>
      </c>
      <c r="W135" s="32" t="str">
        <f>"－"</f>
        <v>－</v>
      </c>
      <c r="X135" s="36" t="n">
        <f>20</f>
        <v>20.0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24385</f>
        <v>24385.0</v>
      </c>
      <c r="L136" s="34" t="s">
        <v>48</v>
      </c>
      <c r="M136" s="33" t="n">
        <f>27015</f>
        <v>27015.0</v>
      </c>
      <c r="N136" s="34" t="s">
        <v>50</v>
      </c>
      <c r="O136" s="33" t="n">
        <f>24385</f>
        <v>24385.0</v>
      </c>
      <c r="P136" s="34" t="s">
        <v>48</v>
      </c>
      <c r="Q136" s="33" t="n">
        <f>26265</f>
        <v>26265.0</v>
      </c>
      <c r="R136" s="34" t="s">
        <v>50</v>
      </c>
      <c r="S136" s="35" t="n">
        <f>25593</f>
        <v>25593.0</v>
      </c>
      <c r="T136" s="32" t="n">
        <f>8155</f>
        <v>8155.0</v>
      </c>
      <c r="U136" s="32" t="n">
        <f>3000</f>
        <v>3000.0</v>
      </c>
      <c r="V136" s="32" t="n">
        <f>210590020</f>
        <v>2.1059002E8</v>
      </c>
      <c r="W136" s="32" t="n">
        <f>78879000</f>
        <v>7.8879E7</v>
      </c>
      <c r="X136" s="36" t="n">
        <f>20</f>
        <v>20.0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27030</f>
        <v>27030.0</v>
      </c>
      <c r="L137" s="34" t="s">
        <v>48</v>
      </c>
      <c r="M137" s="33" t="n">
        <f>28865</f>
        <v>28865.0</v>
      </c>
      <c r="N137" s="34" t="s">
        <v>129</v>
      </c>
      <c r="O137" s="33" t="n">
        <f>26990</f>
        <v>26990.0</v>
      </c>
      <c r="P137" s="34" t="s">
        <v>48</v>
      </c>
      <c r="Q137" s="33" t="n">
        <f>28830</f>
        <v>28830.0</v>
      </c>
      <c r="R137" s="34" t="s">
        <v>50</v>
      </c>
      <c r="S137" s="35" t="n">
        <f>28161.75</f>
        <v>28161.75</v>
      </c>
      <c r="T137" s="32" t="n">
        <f>800</f>
        <v>800.0</v>
      </c>
      <c r="U137" s="32" t="str">
        <f>"－"</f>
        <v>－</v>
      </c>
      <c r="V137" s="32" t="n">
        <f>22638935</f>
        <v>2.2638935E7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5985</f>
        <v>5985.0</v>
      </c>
      <c r="L138" s="34" t="s">
        <v>48</v>
      </c>
      <c r="M138" s="33" t="n">
        <f>6127</f>
        <v>6127.0</v>
      </c>
      <c r="N138" s="34" t="s">
        <v>109</v>
      </c>
      <c r="O138" s="33" t="n">
        <f>5717</f>
        <v>5717.0</v>
      </c>
      <c r="P138" s="34" t="s">
        <v>180</v>
      </c>
      <c r="Q138" s="33" t="n">
        <f>5986</f>
        <v>5986.0</v>
      </c>
      <c r="R138" s="34" t="s">
        <v>50</v>
      </c>
      <c r="S138" s="35" t="n">
        <f>5913.75</f>
        <v>5913.75</v>
      </c>
      <c r="T138" s="32" t="n">
        <f>11632</f>
        <v>11632.0</v>
      </c>
      <c r="U138" s="32" t="str">
        <f>"－"</f>
        <v>－</v>
      </c>
      <c r="V138" s="32" t="n">
        <f>68874215</f>
        <v>6.8874215E7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15610</f>
        <v>15610.0</v>
      </c>
      <c r="L139" s="34" t="s">
        <v>48</v>
      </c>
      <c r="M139" s="33" t="n">
        <f>16680</f>
        <v>16680.0</v>
      </c>
      <c r="N139" s="34" t="s">
        <v>77</v>
      </c>
      <c r="O139" s="33" t="n">
        <f>15400</f>
        <v>15400.0</v>
      </c>
      <c r="P139" s="34" t="s">
        <v>48</v>
      </c>
      <c r="Q139" s="33" t="n">
        <f>16345</f>
        <v>16345.0</v>
      </c>
      <c r="R139" s="34" t="s">
        <v>50</v>
      </c>
      <c r="S139" s="35" t="n">
        <f>16238.25</f>
        <v>16238.25</v>
      </c>
      <c r="T139" s="32" t="n">
        <f>18286</f>
        <v>18286.0</v>
      </c>
      <c r="U139" s="32" t="str">
        <f>"－"</f>
        <v>－</v>
      </c>
      <c r="V139" s="32" t="n">
        <f>296392675</f>
        <v>2.96392675E8</v>
      </c>
      <c r="W139" s="32" t="str">
        <f>"－"</f>
        <v>－</v>
      </c>
      <c r="X139" s="36" t="n">
        <f>20</f>
        <v>20.0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44270</f>
        <v>44270.0</v>
      </c>
      <c r="L140" s="34" t="s">
        <v>48</v>
      </c>
      <c r="M140" s="33" t="n">
        <f>47620</f>
        <v>47620.0</v>
      </c>
      <c r="N140" s="34" t="s">
        <v>49</v>
      </c>
      <c r="O140" s="33" t="n">
        <f>43800</f>
        <v>43800.0</v>
      </c>
      <c r="P140" s="34" t="s">
        <v>48</v>
      </c>
      <c r="Q140" s="33" t="n">
        <f>46050</f>
        <v>46050.0</v>
      </c>
      <c r="R140" s="34" t="s">
        <v>50</v>
      </c>
      <c r="S140" s="35" t="n">
        <f>45982</f>
        <v>45982.0</v>
      </c>
      <c r="T140" s="32" t="n">
        <f>2658</f>
        <v>2658.0</v>
      </c>
      <c r="U140" s="32" t="str">
        <f>"－"</f>
        <v>－</v>
      </c>
      <c r="V140" s="32" t="n">
        <f>122684170</f>
        <v>1.2268417E8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22095</f>
        <v>22095.0</v>
      </c>
      <c r="L141" s="34" t="s">
        <v>48</v>
      </c>
      <c r="M141" s="33" t="n">
        <f>22960</f>
        <v>22960.0</v>
      </c>
      <c r="N141" s="34" t="s">
        <v>263</v>
      </c>
      <c r="O141" s="33" t="n">
        <f>21645</f>
        <v>21645.0</v>
      </c>
      <c r="P141" s="34" t="s">
        <v>48</v>
      </c>
      <c r="Q141" s="33" t="n">
        <f>22460</f>
        <v>22460.0</v>
      </c>
      <c r="R141" s="34" t="s">
        <v>50</v>
      </c>
      <c r="S141" s="35" t="n">
        <f>22471.25</f>
        <v>22471.25</v>
      </c>
      <c r="T141" s="32" t="n">
        <f>1436</f>
        <v>1436.0</v>
      </c>
      <c r="U141" s="32" t="str">
        <f>"－"</f>
        <v>－</v>
      </c>
      <c r="V141" s="32" t="n">
        <f>32484910</f>
        <v>3.248491E7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8250</f>
        <v>8250.0</v>
      </c>
      <c r="L142" s="34" t="s">
        <v>48</v>
      </c>
      <c r="M142" s="33" t="n">
        <f>8899</f>
        <v>8899.0</v>
      </c>
      <c r="N142" s="34" t="s">
        <v>129</v>
      </c>
      <c r="O142" s="33" t="n">
        <f>8170</f>
        <v>8170.0</v>
      </c>
      <c r="P142" s="34" t="s">
        <v>48</v>
      </c>
      <c r="Q142" s="33" t="n">
        <f>8655</f>
        <v>8655.0</v>
      </c>
      <c r="R142" s="34" t="s">
        <v>50</v>
      </c>
      <c r="S142" s="35" t="n">
        <f>8572.35</f>
        <v>8572.35</v>
      </c>
      <c r="T142" s="32" t="n">
        <f>13343</f>
        <v>13343.0</v>
      </c>
      <c r="U142" s="32" t="str">
        <f>"－"</f>
        <v>－</v>
      </c>
      <c r="V142" s="32" t="n">
        <f>114559423</f>
        <v>1.14559423E8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14250</f>
        <v>14250.0</v>
      </c>
      <c r="L143" s="34" t="s">
        <v>48</v>
      </c>
      <c r="M143" s="33" t="n">
        <f>14870</f>
        <v>14870.0</v>
      </c>
      <c r="N143" s="34" t="s">
        <v>49</v>
      </c>
      <c r="O143" s="33" t="n">
        <f>14215</f>
        <v>14215.0</v>
      </c>
      <c r="P143" s="34" t="s">
        <v>180</v>
      </c>
      <c r="Q143" s="33" t="n">
        <f>14835</f>
        <v>14835.0</v>
      </c>
      <c r="R143" s="34" t="s">
        <v>50</v>
      </c>
      <c r="S143" s="35" t="n">
        <f>14603</f>
        <v>14603.0</v>
      </c>
      <c r="T143" s="32" t="n">
        <f>933</f>
        <v>933.0</v>
      </c>
      <c r="U143" s="32" t="str">
        <f>"－"</f>
        <v>－</v>
      </c>
      <c r="V143" s="32" t="n">
        <f>13624635</f>
        <v>1.3624635E7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29820</f>
        <v>29820.0</v>
      </c>
      <c r="L144" s="34" t="s">
        <v>48</v>
      </c>
      <c r="M144" s="33" t="n">
        <f>31490</f>
        <v>31490.0</v>
      </c>
      <c r="N144" s="34" t="s">
        <v>49</v>
      </c>
      <c r="O144" s="33" t="n">
        <f>29690</f>
        <v>29690.0</v>
      </c>
      <c r="P144" s="34" t="s">
        <v>48</v>
      </c>
      <c r="Q144" s="33" t="n">
        <f>30700</f>
        <v>30700.0</v>
      </c>
      <c r="R144" s="34" t="s">
        <v>50</v>
      </c>
      <c r="S144" s="35" t="n">
        <f>30740.25</f>
        <v>30740.25</v>
      </c>
      <c r="T144" s="32" t="n">
        <f>17875</f>
        <v>17875.0</v>
      </c>
      <c r="U144" s="32" t="str">
        <f>"－"</f>
        <v>－</v>
      </c>
      <c r="V144" s="32" t="n">
        <f>539585935</f>
        <v>5.39585935E8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1184</f>
        <v>1184.0</v>
      </c>
      <c r="L145" s="34" t="s">
        <v>48</v>
      </c>
      <c r="M145" s="33" t="n">
        <f>1251</f>
        <v>1251.0</v>
      </c>
      <c r="N145" s="34" t="s">
        <v>129</v>
      </c>
      <c r="O145" s="33" t="n">
        <f>1174.5</f>
        <v>1174.5</v>
      </c>
      <c r="P145" s="34" t="s">
        <v>48</v>
      </c>
      <c r="Q145" s="33" t="n">
        <f>1241</f>
        <v>1241.0</v>
      </c>
      <c r="R145" s="34" t="s">
        <v>50</v>
      </c>
      <c r="S145" s="35" t="n">
        <f>1228.03</f>
        <v>1228.03</v>
      </c>
      <c r="T145" s="32" t="n">
        <f>1375690</f>
        <v>1375690.0</v>
      </c>
      <c r="U145" s="32" t="n">
        <f>431180</f>
        <v>431180.0</v>
      </c>
      <c r="V145" s="32" t="n">
        <f>1693825502</f>
        <v>1.693825502E9</v>
      </c>
      <c r="W145" s="32" t="n">
        <f>529715632</f>
        <v>5.29715632E8</v>
      </c>
      <c r="X145" s="36" t="n">
        <f>20</f>
        <v>20.0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2218.5</f>
        <v>2218.5</v>
      </c>
      <c r="L146" s="34" t="s">
        <v>48</v>
      </c>
      <c r="M146" s="33" t="n">
        <f>2315.5</f>
        <v>2315.5</v>
      </c>
      <c r="N146" s="34" t="s">
        <v>109</v>
      </c>
      <c r="O146" s="33" t="n">
        <f>2218.5</f>
        <v>2218.5</v>
      </c>
      <c r="P146" s="34" t="s">
        <v>48</v>
      </c>
      <c r="Q146" s="33" t="n">
        <f>2293</f>
        <v>2293.0</v>
      </c>
      <c r="R146" s="34" t="s">
        <v>50</v>
      </c>
      <c r="S146" s="35" t="n">
        <f>2271.59</f>
        <v>2271.59</v>
      </c>
      <c r="T146" s="32" t="n">
        <f>2830</f>
        <v>2830.0</v>
      </c>
      <c r="U146" s="32" t="str">
        <f>"－"</f>
        <v>－</v>
      </c>
      <c r="V146" s="32" t="n">
        <f>6403450</f>
        <v>6403450.0</v>
      </c>
      <c r="W146" s="32" t="str">
        <f>"－"</f>
        <v>－</v>
      </c>
      <c r="X146" s="36" t="n">
        <f>11</f>
        <v>11.0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2353.5</f>
        <v>2353.5</v>
      </c>
      <c r="L147" s="34" t="s">
        <v>48</v>
      </c>
      <c r="M147" s="33" t="n">
        <f>2461</f>
        <v>2461.0</v>
      </c>
      <c r="N147" s="34" t="s">
        <v>129</v>
      </c>
      <c r="O147" s="33" t="n">
        <f>2353.5</f>
        <v>2353.5</v>
      </c>
      <c r="P147" s="34" t="s">
        <v>48</v>
      </c>
      <c r="Q147" s="33" t="n">
        <f>2449</f>
        <v>2449.0</v>
      </c>
      <c r="R147" s="34" t="s">
        <v>50</v>
      </c>
      <c r="S147" s="35" t="n">
        <f>2420.75</f>
        <v>2420.75</v>
      </c>
      <c r="T147" s="32" t="n">
        <f>28240</f>
        <v>28240.0</v>
      </c>
      <c r="U147" s="32" t="str">
        <f>"－"</f>
        <v>－</v>
      </c>
      <c r="V147" s="32" t="n">
        <f>67959950</f>
        <v>6.795995E7</v>
      </c>
      <c r="W147" s="32" t="str">
        <f>"－"</f>
        <v>－</v>
      </c>
      <c r="X147" s="36" t="n">
        <f>14</f>
        <v>14.0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1445</f>
        <v>1445.0</v>
      </c>
      <c r="L148" s="34" t="s">
        <v>48</v>
      </c>
      <c r="M148" s="33" t="n">
        <f>1525</f>
        <v>1525.0</v>
      </c>
      <c r="N148" s="34" t="s">
        <v>49</v>
      </c>
      <c r="O148" s="33" t="n">
        <f>1445</f>
        <v>1445.0</v>
      </c>
      <c r="P148" s="34" t="s">
        <v>48</v>
      </c>
      <c r="Q148" s="33" t="n">
        <f>1504</f>
        <v>1504.0</v>
      </c>
      <c r="R148" s="34" t="s">
        <v>193</v>
      </c>
      <c r="S148" s="35" t="n">
        <f>1498.6</f>
        <v>1498.6</v>
      </c>
      <c r="T148" s="32" t="n">
        <f>7480</f>
        <v>7480.0</v>
      </c>
      <c r="U148" s="32" t="str">
        <f>"－"</f>
        <v>－</v>
      </c>
      <c r="V148" s="32" t="n">
        <f>11226895</f>
        <v>1.1226895E7</v>
      </c>
      <c r="W148" s="32" t="str">
        <f>"－"</f>
        <v>－</v>
      </c>
      <c r="X148" s="36" t="n">
        <f>10</f>
        <v>10.0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372.3</f>
        <v>372.3</v>
      </c>
      <c r="L149" s="34" t="s">
        <v>48</v>
      </c>
      <c r="M149" s="33" t="n">
        <f>415.1</f>
        <v>415.1</v>
      </c>
      <c r="N149" s="34" t="s">
        <v>50</v>
      </c>
      <c r="O149" s="33" t="n">
        <f>370.7</f>
        <v>370.7</v>
      </c>
      <c r="P149" s="34" t="s">
        <v>48</v>
      </c>
      <c r="Q149" s="33" t="n">
        <f>414.4</f>
        <v>414.4</v>
      </c>
      <c r="R149" s="34" t="s">
        <v>50</v>
      </c>
      <c r="S149" s="35" t="n">
        <f>394</f>
        <v>394.0</v>
      </c>
      <c r="T149" s="32" t="n">
        <f>79600160</f>
        <v>7.960016E7</v>
      </c>
      <c r="U149" s="32" t="n">
        <f>3256410</f>
        <v>3256410.0</v>
      </c>
      <c r="V149" s="32" t="n">
        <f>31387639547</f>
        <v>3.1387639547E10</v>
      </c>
      <c r="W149" s="32" t="n">
        <f>1309341458</f>
        <v>1.309341458E9</v>
      </c>
      <c r="X149" s="36" t="n">
        <f>20</f>
        <v>20.0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498</v>
      </c>
      <c r="F150" s="29" t="s">
        <v>499</v>
      </c>
      <c r="G150" s="30" t="s">
        <v>46</v>
      </c>
      <c r="H150" s="31"/>
      <c r="I150" s="31" t="s">
        <v>47</v>
      </c>
      <c r="J150" s="32" t="n">
        <v>10.0</v>
      </c>
      <c r="K150" s="33" t="n">
        <f>2870</f>
        <v>2870.0</v>
      </c>
      <c r="L150" s="34" t="s">
        <v>48</v>
      </c>
      <c r="M150" s="33" t="n">
        <f>2916</f>
        <v>2916.0</v>
      </c>
      <c r="N150" s="34" t="s">
        <v>76</v>
      </c>
      <c r="O150" s="33" t="n">
        <f>2865</f>
        <v>2865.0</v>
      </c>
      <c r="P150" s="34" t="s">
        <v>48</v>
      </c>
      <c r="Q150" s="33" t="n">
        <f>2881</f>
        <v>2881.0</v>
      </c>
      <c r="R150" s="34" t="s">
        <v>49</v>
      </c>
      <c r="S150" s="35" t="n">
        <f>2892</f>
        <v>2892.0</v>
      </c>
      <c r="T150" s="32" t="n">
        <f>215712</f>
        <v>215712.0</v>
      </c>
      <c r="U150" s="32" t="n">
        <f>110020</f>
        <v>110020.0</v>
      </c>
      <c r="V150" s="32" t="n">
        <f>620456259</f>
        <v>6.20456259E8</v>
      </c>
      <c r="W150" s="32" t="n">
        <f>315233600</f>
        <v>3.152336E8</v>
      </c>
      <c r="X150" s="36" t="n">
        <f>4</f>
        <v>4.0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498</v>
      </c>
      <c r="F151" s="29" t="s">
        <v>499</v>
      </c>
      <c r="G151" s="30" t="s">
        <v>46</v>
      </c>
      <c r="H151" s="31"/>
      <c r="I151" s="31" t="s">
        <v>47</v>
      </c>
      <c r="J151" s="32" t="n">
        <v>10.0</v>
      </c>
      <c r="K151" s="33" t="n">
        <f>292</f>
        <v>292.0</v>
      </c>
      <c r="L151" s="34" t="s">
        <v>67</v>
      </c>
      <c r="M151" s="33" t="n">
        <f>292</f>
        <v>292.0</v>
      </c>
      <c r="N151" s="34" t="s">
        <v>67</v>
      </c>
      <c r="O151" s="33" t="n">
        <f>282.4</f>
        <v>282.4</v>
      </c>
      <c r="P151" s="34" t="s">
        <v>110</v>
      </c>
      <c r="Q151" s="33" t="n">
        <f>288.1</f>
        <v>288.1</v>
      </c>
      <c r="R151" s="34" t="s">
        <v>50</v>
      </c>
      <c r="S151" s="35" t="n">
        <f>287.58</f>
        <v>287.58</v>
      </c>
      <c r="T151" s="32" t="n">
        <f>24395500</f>
        <v>2.43955E7</v>
      </c>
      <c r="U151" s="32" t="n">
        <f>22345890</f>
        <v>2.234589E7</v>
      </c>
      <c r="V151" s="32" t="n">
        <f>7016576756</f>
        <v>7.016576756E9</v>
      </c>
      <c r="W151" s="32" t="n">
        <f>6428472285</f>
        <v>6.428472285E9</v>
      </c>
      <c r="X151" s="36" t="n">
        <f>16</f>
        <v>16.0</v>
      </c>
    </row>
    <row r="152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3195</f>
        <v>3195.0</v>
      </c>
      <c r="L152" s="34" t="s">
        <v>48</v>
      </c>
      <c r="M152" s="33" t="n">
        <f>3540</f>
        <v>3540.0</v>
      </c>
      <c r="N152" s="34" t="s">
        <v>50</v>
      </c>
      <c r="O152" s="33" t="n">
        <f>3165</f>
        <v>3165.0</v>
      </c>
      <c r="P152" s="34" t="s">
        <v>48</v>
      </c>
      <c r="Q152" s="33" t="n">
        <f>3525</f>
        <v>3525.0</v>
      </c>
      <c r="R152" s="34" t="s">
        <v>50</v>
      </c>
      <c r="S152" s="35" t="n">
        <f>3361.75</f>
        <v>3361.75</v>
      </c>
      <c r="T152" s="32" t="n">
        <f>60609</f>
        <v>60609.0</v>
      </c>
      <c r="U152" s="32" t="n">
        <f>2120</f>
        <v>2120.0</v>
      </c>
      <c r="V152" s="32" t="n">
        <f>202372529</f>
        <v>2.02372529E8</v>
      </c>
      <c r="W152" s="32" t="n">
        <f>7117709</f>
        <v>7117709.0</v>
      </c>
      <c r="X152" s="36" t="n">
        <f>20</f>
        <v>20.0</v>
      </c>
    </row>
    <row r="153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2088</f>
        <v>2088.0</v>
      </c>
      <c r="L153" s="34" t="s">
        <v>48</v>
      </c>
      <c r="M153" s="33" t="n">
        <f>2205</f>
        <v>2205.0</v>
      </c>
      <c r="N153" s="34" t="s">
        <v>49</v>
      </c>
      <c r="O153" s="33" t="n">
        <f>2061</f>
        <v>2061.0</v>
      </c>
      <c r="P153" s="34" t="s">
        <v>60</v>
      </c>
      <c r="Q153" s="33" t="n">
        <f>2087</f>
        <v>2087.0</v>
      </c>
      <c r="R153" s="34" t="s">
        <v>50</v>
      </c>
      <c r="S153" s="35" t="n">
        <f>2126.05</f>
        <v>2126.05</v>
      </c>
      <c r="T153" s="32" t="n">
        <f>270862</f>
        <v>270862.0</v>
      </c>
      <c r="U153" s="32" t="n">
        <f>1</f>
        <v>1.0</v>
      </c>
      <c r="V153" s="32" t="n">
        <f>573889819</f>
        <v>5.73889819E8</v>
      </c>
      <c r="W153" s="32" t="n">
        <f>2092</f>
        <v>2092.0</v>
      </c>
      <c r="X153" s="36" t="n">
        <f>20</f>
        <v>20.0</v>
      </c>
    </row>
    <row r="15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2577</f>
        <v>2577.0</v>
      </c>
      <c r="L154" s="34" t="s">
        <v>48</v>
      </c>
      <c r="M154" s="33" t="n">
        <f>2764</f>
        <v>2764.0</v>
      </c>
      <c r="N154" s="34" t="s">
        <v>50</v>
      </c>
      <c r="O154" s="33" t="n">
        <f>2478</f>
        <v>2478.0</v>
      </c>
      <c r="P154" s="34" t="s">
        <v>78</v>
      </c>
      <c r="Q154" s="33" t="n">
        <f>2756</f>
        <v>2756.0</v>
      </c>
      <c r="R154" s="34" t="s">
        <v>50</v>
      </c>
      <c r="S154" s="35" t="n">
        <f>2623.95</f>
        <v>2623.95</v>
      </c>
      <c r="T154" s="32" t="n">
        <f>286686</f>
        <v>286686.0</v>
      </c>
      <c r="U154" s="32" t="n">
        <f>98300</f>
        <v>98300.0</v>
      </c>
      <c r="V154" s="32" t="n">
        <f>753790274</f>
        <v>7.53790274E8</v>
      </c>
      <c r="W154" s="32" t="n">
        <f>261457172</f>
        <v>2.61457172E8</v>
      </c>
      <c r="X154" s="36" t="n">
        <f>20</f>
        <v>20.0</v>
      </c>
    </row>
    <row r="155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11150</f>
        <v>11150.0</v>
      </c>
      <c r="L155" s="34" t="s">
        <v>48</v>
      </c>
      <c r="M155" s="33" t="n">
        <f>11390</f>
        <v>11390.0</v>
      </c>
      <c r="N155" s="34" t="s">
        <v>109</v>
      </c>
      <c r="O155" s="33" t="n">
        <f>10540</f>
        <v>10540.0</v>
      </c>
      <c r="P155" s="34" t="s">
        <v>110</v>
      </c>
      <c r="Q155" s="33" t="n">
        <f>11275</f>
        <v>11275.0</v>
      </c>
      <c r="R155" s="34" t="s">
        <v>50</v>
      </c>
      <c r="S155" s="35" t="n">
        <f>10941.25</f>
        <v>10941.25</v>
      </c>
      <c r="T155" s="32" t="n">
        <f>31620</f>
        <v>31620.0</v>
      </c>
      <c r="U155" s="32" t="n">
        <f>105</f>
        <v>105.0</v>
      </c>
      <c r="V155" s="32" t="n">
        <f>346603337</f>
        <v>3.46603337E8</v>
      </c>
      <c r="W155" s="32" t="n">
        <f>1056447</f>
        <v>1056447.0</v>
      </c>
      <c r="X155" s="36" t="n">
        <f>20</f>
        <v>20.0</v>
      </c>
    </row>
    <row r="156">
      <c r="A156" s="27" t="s">
        <v>42</v>
      </c>
      <c r="B156" s="27" t="s">
        <v>512</v>
      </c>
      <c r="C156" s="27" t="s">
        <v>513</v>
      </c>
      <c r="D156" s="27" t="s">
        <v>514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2766</f>
        <v>2766.0</v>
      </c>
      <c r="L156" s="34" t="s">
        <v>48</v>
      </c>
      <c r="M156" s="33" t="n">
        <f>3090</f>
        <v>3090.0</v>
      </c>
      <c r="N156" s="34" t="s">
        <v>78</v>
      </c>
      <c r="O156" s="33" t="n">
        <f>2741</f>
        <v>2741.0</v>
      </c>
      <c r="P156" s="34" t="s">
        <v>48</v>
      </c>
      <c r="Q156" s="33" t="n">
        <f>3035</f>
        <v>3035.0</v>
      </c>
      <c r="R156" s="34" t="s">
        <v>50</v>
      </c>
      <c r="S156" s="35" t="n">
        <f>2969.9</f>
        <v>2969.9</v>
      </c>
      <c r="T156" s="32" t="n">
        <f>9450138</f>
        <v>9450138.0</v>
      </c>
      <c r="U156" s="32" t="n">
        <f>35721</f>
        <v>35721.0</v>
      </c>
      <c r="V156" s="32" t="n">
        <f>28126259939</f>
        <v>2.8126259939E10</v>
      </c>
      <c r="W156" s="32" t="n">
        <f>98988438</f>
        <v>9.8988438E7</v>
      </c>
      <c r="X156" s="36" t="n">
        <f>20</f>
        <v>20.0</v>
      </c>
    </row>
    <row r="157">
      <c r="A157" s="27" t="s">
        <v>42</v>
      </c>
      <c r="B157" s="27" t="s">
        <v>515</v>
      </c>
      <c r="C157" s="27" t="s">
        <v>516</v>
      </c>
      <c r="D157" s="27" t="s">
        <v>517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22795</f>
        <v>22795.0</v>
      </c>
      <c r="L157" s="34" t="s">
        <v>48</v>
      </c>
      <c r="M157" s="33" t="n">
        <f>23450</f>
        <v>23450.0</v>
      </c>
      <c r="N157" s="34" t="s">
        <v>49</v>
      </c>
      <c r="O157" s="33" t="n">
        <f>22650</f>
        <v>22650.0</v>
      </c>
      <c r="P157" s="34" t="s">
        <v>48</v>
      </c>
      <c r="Q157" s="33" t="n">
        <f>22890</f>
        <v>22890.0</v>
      </c>
      <c r="R157" s="34" t="s">
        <v>50</v>
      </c>
      <c r="S157" s="35" t="n">
        <f>23071.75</f>
        <v>23071.75</v>
      </c>
      <c r="T157" s="32" t="n">
        <f>3372</f>
        <v>3372.0</v>
      </c>
      <c r="U157" s="32" t="str">
        <f>"－"</f>
        <v>－</v>
      </c>
      <c r="V157" s="32" t="n">
        <f>77932055</f>
        <v>7.7932055E7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518</v>
      </c>
      <c r="C158" s="27" t="s">
        <v>519</v>
      </c>
      <c r="D158" s="27" t="s">
        <v>520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2572</f>
        <v>2572.0</v>
      </c>
      <c r="L158" s="34" t="s">
        <v>48</v>
      </c>
      <c r="M158" s="33" t="n">
        <f>2811.5</f>
        <v>2811.5</v>
      </c>
      <c r="N158" s="34" t="s">
        <v>76</v>
      </c>
      <c r="O158" s="33" t="n">
        <f>2522.5</f>
        <v>2522.5</v>
      </c>
      <c r="P158" s="34" t="s">
        <v>270</v>
      </c>
      <c r="Q158" s="33" t="n">
        <f>2626</f>
        <v>2626.0</v>
      </c>
      <c r="R158" s="34" t="s">
        <v>50</v>
      </c>
      <c r="S158" s="35" t="n">
        <f>2648.25</f>
        <v>2648.25</v>
      </c>
      <c r="T158" s="32" t="n">
        <f>27840</f>
        <v>27840.0</v>
      </c>
      <c r="U158" s="32" t="str">
        <f>"－"</f>
        <v>－</v>
      </c>
      <c r="V158" s="32" t="n">
        <f>74246080</f>
        <v>7.424608E7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521</v>
      </c>
      <c r="C159" s="27" t="s">
        <v>522</v>
      </c>
      <c r="D159" s="27" t="s">
        <v>523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11750</f>
        <v>11750.0</v>
      </c>
      <c r="L159" s="34" t="s">
        <v>48</v>
      </c>
      <c r="M159" s="33" t="n">
        <f>13120</f>
        <v>13120.0</v>
      </c>
      <c r="N159" s="34" t="s">
        <v>60</v>
      </c>
      <c r="O159" s="33" t="n">
        <f>11545</f>
        <v>11545.0</v>
      </c>
      <c r="P159" s="34" t="s">
        <v>48</v>
      </c>
      <c r="Q159" s="33" t="n">
        <f>12855</f>
        <v>12855.0</v>
      </c>
      <c r="R159" s="34" t="s">
        <v>50</v>
      </c>
      <c r="S159" s="35" t="n">
        <f>12419.5</f>
        <v>12419.5</v>
      </c>
      <c r="T159" s="32" t="n">
        <f>6373</f>
        <v>6373.0</v>
      </c>
      <c r="U159" s="32" t="str">
        <f>"－"</f>
        <v>－</v>
      </c>
      <c r="V159" s="32" t="n">
        <f>78804630</f>
        <v>7.880463E7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28995</f>
        <v>28995.0</v>
      </c>
      <c r="L160" s="34" t="s">
        <v>48</v>
      </c>
      <c r="M160" s="33" t="n">
        <f>30970</f>
        <v>30970.0</v>
      </c>
      <c r="N160" s="34" t="s">
        <v>109</v>
      </c>
      <c r="O160" s="33" t="n">
        <f>25520</f>
        <v>25520.0</v>
      </c>
      <c r="P160" s="34" t="s">
        <v>50</v>
      </c>
      <c r="Q160" s="33" t="n">
        <f>26195</f>
        <v>26195.0</v>
      </c>
      <c r="R160" s="34" t="s">
        <v>50</v>
      </c>
      <c r="S160" s="35" t="n">
        <f>28356.75</f>
        <v>28356.75</v>
      </c>
      <c r="T160" s="32" t="n">
        <f>4174</f>
        <v>4174.0</v>
      </c>
      <c r="U160" s="32" t="str">
        <f>"－"</f>
        <v>－</v>
      </c>
      <c r="V160" s="32" t="n">
        <f>120279675</f>
        <v>1.20279675E8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18900</f>
        <v>18900.0</v>
      </c>
      <c r="L161" s="34" t="s">
        <v>48</v>
      </c>
      <c r="M161" s="33" t="n">
        <f>20075</f>
        <v>20075.0</v>
      </c>
      <c r="N161" s="34" t="s">
        <v>109</v>
      </c>
      <c r="O161" s="33" t="n">
        <f>18900</f>
        <v>18900.0</v>
      </c>
      <c r="P161" s="34" t="s">
        <v>48</v>
      </c>
      <c r="Q161" s="33" t="n">
        <f>19305</f>
        <v>19305.0</v>
      </c>
      <c r="R161" s="34" t="s">
        <v>50</v>
      </c>
      <c r="S161" s="35" t="n">
        <f>19515.42</f>
        <v>19515.42</v>
      </c>
      <c r="T161" s="32" t="n">
        <f>408</f>
        <v>408.0</v>
      </c>
      <c r="U161" s="32" t="str">
        <f>"－"</f>
        <v>－</v>
      </c>
      <c r="V161" s="32" t="n">
        <f>8068870</f>
        <v>8068870.0</v>
      </c>
      <c r="W161" s="32" t="str">
        <f>"－"</f>
        <v>－</v>
      </c>
      <c r="X161" s="36" t="n">
        <f>12</f>
        <v>12.0</v>
      </c>
    </row>
    <row r="162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51060</f>
        <v>51060.0</v>
      </c>
      <c r="L162" s="34" t="s">
        <v>48</v>
      </c>
      <c r="M162" s="33" t="n">
        <f>52310</f>
        <v>52310.0</v>
      </c>
      <c r="N162" s="34" t="s">
        <v>50</v>
      </c>
      <c r="O162" s="33" t="n">
        <f>50540</f>
        <v>50540.0</v>
      </c>
      <c r="P162" s="34" t="s">
        <v>68</v>
      </c>
      <c r="Q162" s="33" t="n">
        <f>52210</f>
        <v>52210.0</v>
      </c>
      <c r="R162" s="34" t="s">
        <v>50</v>
      </c>
      <c r="S162" s="35" t="n">
        <f>51577</f>
        <v>51577.0</v>
      </c>
      <c r="T162" s="32" t="n">
        <f>25190</f>
        <v>25190.0</v>
      </c>
      <c r="U162" s="32" t="n">
        <f>21020</f>
        <v>21020.0</v>
      </c>
      <c r="V162" s="32" t="n">
        <f>1311546707</f>
        <v>1.311546707E9</v>
      </c>
      <c r="W162" s="32" t="n">
        <f>1096168507</f>
        <v>1.096168507E9</v>
      </c>
      <c r="X162" s="36" t="n">
        <f>20</f>
        <v>20.0</v>
      </c>
    </row>
    <row r="163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269.2</f>
        <v>269.2</v>
      </c>
      <c r="L163" s="34" t="s">
        <v>48</v>
      </c>
      <c r="M163" s="33" t="n">
        <f>289.9</f>
        <v>289.9</v>
      </c>
      <c r="N163" s="34" t="s">
        <v>50</v>
      </c>
      <c r="O163" s="33" t="n">
        <f>266.8</f>
        <v>266.8</v>
      </c>
      <c r="P163" s="34" t="s">
        <v>48</v>
      </c>
      <c r="Q163" s="33" t="n">
        <f>289</f>
        <v>289.0</v>
      </c>
      <c r="R163" s="34" t="s">
        <v>50</v>
      </c>
      <c r="S163" s="35" t="n">
        <f>279.04</f>
        <v>279.04</v>
      </c>
      <c r="T163" s="32" t="n">
        <f>12918800</f>
        <v>1.29188E7</v>
      </c>
      <c r="U163" s="32" t="n">
        <f>500</f>
        <v>500.0</v>
      </c>
      <c r="V163" s="32" t="n">
        <f>3607709670</f>
        <v>3.60770967E9</v>
      </c>
      <c r="W163" s="32" t="n">
        <f>145000</f>
        <v>145000.0</v>
      </c>
      <c r="X163" s="36" t="n">
        <f>20</f>
        <v>20.0</v>
      </c>
    </row>
    <row r="16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36090</f>
        <v>36090.0</v>
      </c>
      <c r="L164" s="34" t="s">
        <v>48</v>
      </c>
      <c r="M164" s="33" t="n">
        <f>42190</f>
        <v>42190.0</v>
      </c>
      <c r="N164" s="34" t="s">
        <v>50</v>
      </c>
      <c r="O164" s="33" t="n">
        <f>35960</f>
        <v>35960.0</v>
      </c>
      <c r="P164" s="34" t="s">
        <v>48</v>
      </c>
      <c r="Q164" s="33" t="n">
        <f>42110</f>
        <v>42110.0</v>
      </c>
      <c r="R164" s="34" t="s">
        <v>50</v>
      </c>
      <c r="S164" s="35" t="n">
        <f>38923.5</f>
        <v>38923.5</v>
      </c>
      <c r="T164" s="32" t="n">
        <f>15170</f>
        <v>15170.0</v>
      </c>
      <c r="U164" s="32" t="n">
        <f>20</f>
        <v>20.0</v>
      </c>
      <c r="V164" s="32" t="n">
        <f>601190100</f>
        <v>6.011901E8</v>
      </c>
      <c r="W164" s="32" t="n">
        <f>812700</f>
        <v>812700.0</v>
      </c>
      <c r="X164" s="36" t="n">
        <f>20</f>
        <v>20.0</v>
      </c>
    </row>
    <row r="165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3650</f>
        <v>3650.0</v>
      </c>
      <c r="L165" s="34" t="s">
        <v>48</v>
      </c>
      <c r="M165" s="33" t="n">
        <f>4054</f>
        <v>4054.0</v>
      </c>
      <c r="N165" s="34" t="s">
        <v>50</v>
      </c>
      <c r="O165" s="33" t="n">
        <f>3633</f>
        <v>3633.0</v>
      </c>
      <c r="P165" s="34" t="s">
        <v>48</v>
      </c>
      <c r="Q165" s="33" t="n">
        <f>4047</f>
        <v>4047.0</v>
      </c>
      <c r="R165" s="34" t="s">
        <v>50</v>
      </c>
      <c r="S165" s="35" t="n">
        <f>3860.45</f>
        <v>3860.45</v>
      </c>
      <c r="T165" s="32" t="n">
        <f>69350</f>
        <v>69350.0</v>
      </c>
      <c r="U165" s="32" t="str">
        <f>"－"</f>
        <v>－</v>
      </c>
      <c r="V165" s="32" t="n">
        <f>267483710</f>
        <v>2.6748371E8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1604</f>
        <v>1604.0</v>
      </c>
      <c r="L166" s="34" t="s">
        <v>48</v>
      </c>
      <c r="M166" s="33" t="n">
        <f>1693</f>
        <v>1693.0</v>
      </c>
      <c r="N166" s="34" t="s">
        <v>49</v>
      </c>
      <c r="O166" s="33" t="n">
        <f>1582</f>
        <v>1582.0</v>
      </c>
      <c r="P166" s="34" t="s">
        <v>60</v>
      </c>
      <c r="Q166" s="33" t="n">
        <f>1595.5</f>
        <v>1595.5</v>
      </c>
      <c r="R166" s="34" t="s">
        <v>50</v>
      </c>
      <c r="S166" s="35" t="n">
        <f>1629.18</f>
        <v>1629.18</v>
      </c>
      <c r="T166" s="32" t="n">
        <f>120090</f>
        <v>120090.0</v>
      </c>
      <c r="U166" s="32" t="n">
        <f>20</f>
        <v>20.0</v>
      </c>
      <c r="V166" s="32" t="n">
        <f>194806665</f>
        <v>1.94806665E8</v>
      </c>
      <c r="W166" s="32" t="n">
        <f>32860</f>
        <v>32860.0</v>
      </c>
      <c r="X166" s="36" t="n">
        <f>20</f>
        <v>20.0</v>
      </c>
    </row>
    <row r="167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100.0</v>
      </c>
      <c r="K167" s="33" t="n">
        <f>208.2</f>
        <v>208.2</v>
      </c>
      <c r="L167" s="34" t="s">
        <v>48</v>
      </c>
      <c r="M167" s="33" t="n">
        <f>232.9</f>
        <v>232.9</v>
      </c>
      <c r="N167" s="34" t="s">
        <v>50</v>
      </c>
      <c r="O167" s="33" t="n">
        <f>207.9</f>
        <v>207.9</v>
      </c>
      <c r="P167" s="34" t="s">
        <v>48</v>
      </c>
      <c r="Q167" s="33" t="n">
        <f>227</f>
        <v>227.0</v>
      </c>
      <c r="R167" s="34" t="s">
        <v>50</v>
      </c>
      <c r="S167" s="35" t="n">
        <f>221.34</f>
        <v>221.34</v>
      </c>
      <c r="T167" s="32" t="n">
        <f>339900</f>
        <v>339900.0</v>
      </c>
      <c r="U167" s="32" t="str">
        <f>"－"</f>
        <v>－</v>
      </c>
      <c r="V167" s="32" t="n">
        <f>75129790</f>
        <v>7.512979E7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548</v>
      </c>
      <c r="C168" s="27" t="s">
        <v>549</v>
      </c>
      <c r="D168" s="27" t="s">
        <v>550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1707</f>
        <v>1707.0</v>
      </c>
      <c r="L168" s="34" t="s">
        <v>48</v>
      </c>
      <c r="M168" s="33" t="n">
        <f>1773</f>
        <v>1773.0</v>
      </c>
      <c r="N168" s="34" t="s">
        <v>180</v>
      </c>
      <c r="O168" s="33" t="n">
        <f>1676.5</f>
        <v>1676.5</v>
      </c>
      <c r="P168" s="34" t="s">
        <v>110</v>
      </c>
      <c r="Q168" s="33" t="n">
        <f>1727</f>
        <v>1727.0</v>
      </c>
      <c r="R168" s="34" t="s">
        <v>50</v>
      </c>
      <c r="S168" s="35" t="n">
        <f>1721.73</f>
        <v>1721.73</v>
      </c>
      <c r="T168" s="32" t="n">
        <f>2930</f>
        <v>2930.0</v>
      </c>
      <c r="U168" s="32" t="str">
        <f>"－"</f>
        <v>－</v>
      </c>
      <c r="V168" s="32" t="n">
        <f>5089590</f>
        <v>5089590.0</v>
      </c>
      <c r="W168" s="32" t="str">
        <f>"－"</f>
        <v>－</v>
      </c>
      <c r="X168" s="36" t="n">
        <f>15</f>
        <v>15.0</v>
      </c>
    </row>
    <row r="169">
      <c r="A169" s="27" t="s">
        <v>42</v>
      </c>
      <c r="B169" s="27" t="s">
        <v>551</v>
      </c>
      <c r="C169" s="27" t="s">
        <v>552</v>
      </c>
      <c r="D169" s="27" t="s">
        <v>553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710.6</f>
        <v>710.6</v>
      </c>
      <c r="L169" s="34" t="s">
        <v>48</v>
      </c>
      <c r="M169" s="33" t="n">
        <f>779.8</f>
        <v>779.8</v>
      </c>
      <c r="N169" s="34" t="s">
        <v>554</v>
      </c>
      <c r="O169" s="33" t="n">
        <f>710.6</f>
        <v>710.6</v>
      </c>
      <c r="P169" s="34" t="s">
        <v>48</v>
      </c>
      <c r="Q169" s="33" t="n">
        <f>749.8</f>
        <v>749.8</v>
      </c>
      <c r="R169" s="34" t="s">
        <v>50</v>
      </c>
      <c r="S169" s="35" t="n">
        <f>746.66</f>
        <v>746.66</v>
      </c>
      <c r="T169" s="32" t="n">
        <f>27610</f>
        <v>27610.0</v>
      </c>
      <c r="U169" s="32" t="str">
        <f>"－"</f>
        <v>－</v>
      </c>
      <c r="V169" s="32" t="n">
        <f>20812703</f>
        <v>2.0812703E7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2044</f>
        <v>2044.0</v>
      </c>
      <c r="L170" s="34" t="s">
        <v>48</v>
      </c>
      <c r="M170" s="33" t="n">
        <f>2150</f>
        <v>2150.0</v>
      </c>
      <c r="N170" s="34" t="s">
        <v>49</v>
      </c>
      <c r="O170" s="33" t="n">
        <f>2000.5</f>
        <v>2000.5</v>
      </c>
      <c r="P170" s="34" t="s">
        <v>48</v>
      </c>
      <c r="Q170" s="33" t="n">
        <f>2069</f>
        <v>2069.0</v>
      </c>
      <c r="R170" s="34" t="s">
        <v>50</v>
      </c>
      <c r="S170" s="35" t="n">
        <f>2091.62</f>
        <v>2091.62</v>
      </c>
      <c r="T170" s="32" t="n">
        <f>3730</f>
        <v>3730.0</v>
      </c>
      <c r="U170" s="32" t="str">
        <f>"－"</f>
        <v>－</v>
      </c>
      <c r="V170" s="32" t="n">
        <f>7806275</f>
        <v>7806275.0</v>
      </c>
      <c r="W170" s="32" t="str">
        <f>"－"</f>
        <v>－</v>
      </c>
      <c r="X170" s="36" t="n">
        <f>17</f>
        <v>17.0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957.7</f>
        <v>957.7</v>
      </c>
      <c r="L171" s="34" t="s">
        <v>48</v>
      </c>
      <c r="M171" s="33" t="n">
        <f>984.7</f>
        <v>984.7</v>
      </c>
      <c r="N171" s="34" t="s">
        <v>110</v>
      </c>
      <c r="O171" s="33" t="n">
        <f>947.3</f>
        <v>947.3</v>
      </c>
      <c r="P171" s="34" t="s">
        <v>60</v>
      </c>
      <c r="Q171" s="33" t="n">
        <f>974.8</f>
        <v>974.8</v>
      </c>
      <c r="R171" s="34" t="s">
        <v>50</v>
      </c>
      <c r="S171" s="35" t="n">
        <f>968.6</f>
        <v>968.6</v>
      </c>
      <c r="T171" s="32" t="n">
        <f>63300</f>
        <v>63300.0</v>
      </c>
      <c r="U171" s="32" t="str">
        <f>"－"</f>
        <v>－</v>
      </c>
      <c r="V171" s="32" t="n">
        <f>61489883</f>
        <v>6.1489883E7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715.8</f>
        <v>715.8</v>
      </c>
      <c r="L172" s="34" t="s">
        <v>48</v>
      </c>
      <c r="M172" s="33" t="n">
        <f>748</f>
        <v>748.0</v>
      </c>
      <c r="N172" s="34" t="s">
        <v>50</v>
      </c>
      <c r="O172" s="33" t="n">
        <f>704.1</f>
        <v>704.1</v>
      </c>
      <c r="P172" s="34" t="s">
        <v>67</v>
      </c>
      <c r="Q172" s="33" t="n">
        <f>736.2</f>
        <v>736.2</v>
      </c>
      <c r="R172" s="34" t="s">
        <v>50</v>
      </c>
      <c r="S172" s="35" t="n">
        <f>721.26</f>
        <v>721.26</v>
      </c>
      <c r="T172" s="32" t="n">
        <f>369820</f>
        <v>369820.0</v>
      </c>
      <c r="U172" s="32" t="str">
        <f>"－"</f>
        <v>－</v>
      </c>
      <c r="V172" s="32" t="n">
        <f>268057988</f>
        <v>2.68057988E8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4.1</f>
        <v>4.1</v>
      </c>
      <c r="L173" s="34" t="s">
        <v>48</v>
      </c>
      <c r="M173" s="33" t="n">
        <f>4.3</f>
        <v>4.3</v>
      </c>
      <c r="N173" s="34" t="s">
        <v>49</v>
      </c>
      <c r="O173" s="33" t="n">
        <f>3.2</f>
        <v>3.2</v>
      </c>
      <c r="P173" s="34" t="s">
        <v>110</v>
      </c>
      <c r="Q173" s="33" t="n">
        <f>3.6</f>
        <v>3.6</v>
      </c>
      <c r="R173" s="34" t="s">
        <v>50</v>
      </c>
      <c r="S173" s="35" t="n">
        <f>3.8</f>
        <v>3.8</v>
      </c>
      <c r="T173" s="32" t="n">
        <f>558766100</f>
        <v>5.587661E8</v>
      </c>
      <c r="U173" s="32" t="n">
        <f>200000</f>
        <v>200000.0</v>
      </c>
      <c r="V173" s="32" t="n">
        <f>2099079070</f>
        <v>2.09907907E9</v>
      </c>
      <c r="W173" s="32" t="n">
        <f>775000</f>
        <v>775000.0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1287.5</f>
        <v>1287.5</v>
      </c>
      <c r="L174" s="34" t="s">
        <v>48</v>
      </c>
      <c r="M174" s="33" t="n">
        <f>1441</f>
        <v>1441.0</v>
      </c>
      <c r="N174" s="34" t="s">
        <v>78</v>
      </c>
      <c r="O174" s="33" t="n">
        <f>1283</f>
        <v>1283.0</v>
      </c>
      <c r="P174" s="34" t="s">
        <v>48</v>
      </c>
      <c r="Q174" s="33" t="n">
        <f>1419</f>
        <v>1419.0</v>
      </c>
      <c r="R174" s="34" t="s">
        <v>50</v>
      </c>
      <c r="S174" s="35" t="n">
        <f>1386.9</f>
        <v>1386.9</v>
      </c>
      <c r="T174" s="32" t="n">
        <f>125740</f>
        <v>125740.0</v>
      </c>
      <c r="U174" s="32" t="str">
        <f>"－"</f>
        <v>－</v>
      </c>
      <c r="V174" s="32" t="n">
        <f>176359955</f>
        <v>1.76359955E8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6104</f>
        <v>6104.0</v>
      </c>
      <c r="L175" s="34" t="s">
        <v>48</v>
      </c>
      <c r="M175" s="33" t="n">
        <f>7100</f>
        <v>7100.0</v>
      </c>
      <c r="N175" s="34" t="s">
        <v>50</v>
      </c>
      <c r="O175" s="33" t="n">
        <f>6050</f>
        <v>6050.0</v>
      </c>
      <c r="P175" s="34" t="s">
        <v>48</v>
      </c>
      <c r="Q175" s="33" t="n">
        <f>6864</f>
        <v>6864.0</v>
      </c>
      <c r="R175" s="34" t="s">
        <v>50</v>
      </c>
      <c r="S175" s="35" t="n">
        <f>6725.9</f>
        <v>6725.9</v>
      </c>
      <c r="T175" s="32" t="n">
        <f>3497</f>
        <v>3497.0</v>
      </c>
      <c r="U175" s="32" t="str">
        <f>"－"</f>
        <v>－</v>
      </c>
      <c r="V175" s="32" t="n">
        <f>23487551</f>
        <v>2.3487551E7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437.1</f>
        <v>437.1</v>
      </c>
      <c r="L176" s="34" t="s">
        <v>48</v>
      </c>
      <c r="M176" s="33" t="n">
        <f>486.8</f>
        <v>486.8</v>
      </c>
      <c r="N176" s="34" t="s">
        <v>554</v>
      </c>
      <c r="O176" s="33" t="n">
        <f>423.5</f>
        <v>423.5</v>
      </c>
      <c r="P176" s="34" t="s">
        <v>48</v>
      </c>
      <c r="Q176" s="33" t="n">
        <f>448.7</f>
        <v>448.7</v>
      </c>
      <c r="R176" s="34" t="s">
        <v>50</v>
      </c>
      <c r="S176" s="35" t="n">
        <f>458.75</f>
        <v>458.75</v>
      </c>
      <c r="T176" s="32" t="n">
        <f>139800</f>
        <v>139800.0</v>
      </c>
      <c r="U176" s="32" t="str">
        <f>"－"</f>
        <v>－</v>
      </c>
      <c r="V176" s="32" t="n">
        <f>64716390</f>
        <v>6.471639E7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4346</f>
        <v>4346.0</v>
      </c>
      <c r="L177" s="34" t="s">
        <v>48</v>
      </c>
      <c r="M177" s="33" t="n">
        <f>4550</f>
        <v>4550.0</v>
      </c>
      <c r="N177" s="34" t="s">
        <v>110</v>
      </c>
      <c r="O177" s="33" t="n">
        <f>4269</f>
        <v>4269.0</v>
      </c>
      <c r="P177" s="34" t="s">
        <v>48</v>
      </c>
      <c r="Q177" s="33" t="n">
        <f>4420</f>
        <v>4420.0</v>
      </c>
      <c r="R177" s="34" t="s">
        <v>50</v>
      </c>
      <c r="S177" s="35" t="n">
        <f>4431.2</f>
        <v>4431.2</v>
      </c>
      <c r="T177" s="32" t="n">
        <f>38530</f>
        <v>38530.0</v>
      </c>
      <c r="U177" s="32" t="str">
        <f>"－"</f>
        <v>－</v>
      </c>
      <c r="V177" s="32" t="n">
        <f>171413970</f>
        <v>1.7141397E8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2887.5</f>
        <v>2887.5</v>
      </c>
      <c r="L178" s="34" t="s">
        <v>48</v>
      </c>
      <c r="M178" s="33" t="n">
        <f>3111</f>
        <v>3111.0</v>
      </c>
      <c r="N178" s="34" t="s">
        <v>163</v>
      </c>
      <c r="O178" s="33" t="n">
        <f>2850.5</f>
        <v>2850.5</v>
      </c>
      <c r="P178" s="34" t="s">
        <v>48</v>
      </c>
      <c r="Q178" s="33" t="n">
        <f>2996</f>
        <v>2996.0</v>
      </c>
      <c r="R178" s="34" t="s">
        <v>50</v>
      </c>
      <c r="S178" s="35" t="n">
        <f>3015.8</f>
        <v>3015.8</v>
      </c>
      <c r="T178" s="32" t="n">
        <f>17520</f>
        <v>17520.0</v>
      </c>
      <c r="U178" s="32" t="str">
        <f>"－"</f>
        <v>－</v>
      </c>
      <c r="V178" s="32" t="n">
        <f>52929060</f>
        <v>5.292906E7</v>
      </c>
      <c r="W178" s="32" t="str">
        <f>"－"</f>
        <v>－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134.7</f>
        <v>134.7</v>
      </c>
      <c r="L179" s="34" t="s">
        <v>48</v>
      </c>
      <c r="M179" s="33" t="n">
        <f>136.7</f>
        <v>136.7</v>
      </c>
      <c r="N179" s="34" t="s">
        <v>78</v>
      </c>
      <c r="O179" s="33" t="n">
        <f>121.8</f>
        <v>121.8</v>
      </c>
      <c r="P179" s="34" t="s">
        <v>60</v>
      </c>
      <c r="Q179" s="33" t="n">
        <f>130.1</f>
        <v>130.1</v>
      </c>
      <c r="R179" s="34" t="s">
        <v>50</v>
      </c>
      <c r="S179" s="35" t="n">
        <f>128.89</f>
        <v>128.89</v>
      </c>
      <c r="T179" s="32" t="n">
        <f>14619200</f>
        <v>1.46192E7</v>
      </c>
      <c r="U179" s="32" t="str">
        <f>"－"</f>
        <v>－</v>
      </c>
      <c r="V179" s="32" t="n">
        <f>1900629980</f>
        <v>1.90062998E9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195.5</f>
        <v>195.5</v>
      </c>
      <c r="L180" s="34" t="s">
        <v>48</v>
      </c>
      <c r="M180" s="33" t="n">
        <f>206</f>
        <v>206.0</v>
      </c>
      <c r="N180" s="34" t="s">
        <v>50</v>
      </c>
      <c r="O180" s="33" t="n">
        <f>192.4</f>
        <v>192.4</v>
      </c>
      <c r="P180" s="34" t="s">
        <v>67</v>
      </c>
      <c r="Q180" s="33" t="n">
        <f>205.3</f>
        <v>205.3</v>
      </c>
      <c r="R180" s="34" t="s">
        <v>50</v>
      </c>
      <c r="S180" s="35" t="n">
        <f>200.28</f>
        <v>200.28</v>
      </c>
      <c r="T180" s="32" t="n">
        <f>838900</f>
        <v>838900.0</v>
      </c>
      <c r="U180" s="32" t="str">
        <f>"－"</f>
        <v>－</v>
      </c>
      <c r="V180" s="32" t="n">
        <f>168152160</f>
        <v>1.6815216E8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4045</f>
        <v>4045.0</v>
      </c>
      <c r="L181" s="34" t="s">
        <v>48</v>
      </c>
      <c r="M181" s="33" t="n">
        <f>4248</f>
        <v>4248.0</v>
      </c>
      <c r="N181" s="34" t="s">
        <v>50</v>
      </c>
      <c r="O181" s="33" t="n">
        <f>4009</f>
        <v>4009.0</v>
      </c>
      <c r="P181" s="34" t="s">
        <v>67</v>
      </c>
      <c r="Q181" s="33" t="n">
        <f>4212</f>
        <v>4212.0</v>
      </c>
      <c r="R181" s="34" t="s">
        <v>50</v>
      </c>
      <c r="S181" s="35" t="n">
        <f>4141.9</f>
        <v>4141.9</v>
      </c>
      <c r="T181" s="32" t="n">
        <f>15200</f>
        <v>15200.0</v>
      </c>
      <c r="U181" s="32" t="str">
        <f>"－"</f>
        <v>－</v>
      </c>
      <c r="V181" s="32" t="n">
        <f>62878160</f>
        <v>6.287816E7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1916</f>
        <v>1916.0</v>
      </c>
      <c r="L182" s="34" t="s">
        <v>48</v>
      </c>
      <c r="M182" s="33" t="n">
        <f>2030.5</f>
        <v>2030.5</v>
      </c>
      <c r="N182" s="34" t="s">
        <v>67</v>
      </c>
      <c r="O182" s="33" t="n">
        <f>1909</f>
        <v>1909.0</v>
      </c>
      <c r="P182" s="34" t="s">
        <v>48</v>
      </c>
      <c r="Q182" s="33" t="n">
        <f>2000</f>
        <v>2000.0</v>
      </c>
      <c r="R182" s="34" t="s">
        <v>50</v>
      </c>
      <c r="S182" s="35" t="n">
        <f>1976.58</f>
        <v>1976.58</v>
      </c>
      <c r="T182" s="32" t="n">
        <f>59920</f>
        <v>59920.0</v>
      </c>
      <c r="U182" s="32" t="n">
        <f>10330</f>
        <v>10330.0</v>
      </c>
      <c r="V182" s="32" t="n">
        <f>118573946</f>
        <v>1.18573946E8</v>
      </c>
      <c r="W182" s="32" t="n">
        <f>20042266</f>
        <v>2.0042266E7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350.4</f>
        <v>350.4</v>
      </c>
      <c r="L183" s="34" t="s">
        <v>48</v>
      </c>
      <c r="M183" s="33" t="n">
        <f>393.4</f>
        <v>393.4</v>
      </c>
      <c r="N183" s="34" t="s">
        <v>78</v>
      </c>
      <c r="O183" s="33" t="n">
        <f>347.4</f>
        <v>347.4</v>
      </c>
      <c r="P183" s="34" t="s">
        <v>48</v>
      </c>
      <c r="Q183" s="33" t="n">
        <f>384.2</f>
        <v>384.2</v>
      </c>
      <c r="R183" s="34" t="s">
        <v>50</v>
      </c>
      <c r="S183" s="35" t="n">
        <f>376.07</f>
        <v>376.07</v>
      </c>
      <c r="T183" s="32" t="n">
        <f>39219530</f>
        <v>3.921953E7</v>
      </c>
      <c r="U183" s="32" t="n">
        <f>3480</f>
        <v>3480.0</v>
      </c>
      <c r="V183" s="32" t="n">
        <f>14814248595</f>
        <v>1.4814248595E10</v>
      </c>
      <c r="W183" s="32" t="n">
        <f>1316410</f>
        <v>1316410.0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600</v>
      </c>
      <c r="J184" s="32" t="n">
        <v>1.0</v>
      </c>
      <c r="K184" s="33" t="n">
        <f>5119</f>
        <v>5119.0</v>
      </c>
      <c r="L184" s="34" t="s">
        <v>48</v>
      </c>
      <c r="M184" s="33" t="n">
        <f>5530</f>
        <v>5530.0</v>
      </c>
      <c r="N184" s="34" t="s">
        <v>49</v>
      </c>
      <c r="O184" s="33" t="n">
        <f>3630</f>
        <v>3630.0</v>
      </c>
      <c r="P184" s="34" t="s">
        <v>50</v>
      </c>
      <c r="Q184" s="33" t="n">
        <f>3860</f>
        <v>3860.0</v>
      </c>
      <c r="R184" s="34" t="s">
        <v>50</v>
      </c>
      <c r="S184" s="35" t="n">
        <f>4702.5</f>
        <v>4702.5</v>
      </c>
      <c r="T184" s="32" t="n">
        <f>216137</f>
        <v>216137.0</v>
      </c>
      <c r="U184" s="32" t="n">
        <f>5000</f>
        <v>5000.0</v>
      </c>
      <c r="V184" s="32" t="n">
        <f>961203541</f>
        <v>9.61203541E8</v>
      </c>
      <c r="W184" s="32" t="n">
        <f>22100000</f>
        <v>2.21E7</v>
      </c>
      <c r="X184" s="36" t="n">
        <f>20</f>
        <v>20.0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600</v>
      </c>
      <c r="J185" s="32" t="n">
        <v>1.0</v>
      </c>
      <c r="K185" s="33" t="n">
        <f>9955</f>
        <v>9955.0</v>
      </c>
      <c r="L185" s="34" t="s">
        <v>48</v>
      </c>
      <c r="M185" s="33" t="n">
        <f>11795</f>
        <v>11795.0</v>
      </c>
      <c r="N185" s="34" t="s">
        <v>50</v>
      </c>
      <c r="O185" s="33" t="n">
        <f>9331</f>
        <v>9331.0</v>
      </c>
      <c r="P185" s="34" t="s">
        <v>109</v>
      </c>
      <c r="Q185" s="33" t="n">
        <f>11615</f>
        <v>11615.0</v>
      </c>
      <c r="R185" s="34" t="s">
        <v>50</v>
      </c>
      <c r="S185" s="35" t="n">
        <f>10490.5</f>
        <v>10490.5</v>
      </c>
      <c r="T185" s="32" t="n">
        <f>29288</f>
        <v>29288.0</v>
      </c>
      <c r="U185" s="32" t="str">
        <f>"－"</f>
        <v>－</v>
      </c>
      <c r="V185" s="32" t="n">
        <f>311484456</f>
        <v>3.11484456E8</v>
      </c>
      <c r="W185" s="32" t="str">
        <f>"－"</f>
        <v>－</v>
      </c>
      <c r="X185" s="36" t="n">
        <f>20</f>
        <v>20.0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600</v>
      </c>
      <c r="J186" s="32" t="n">
        <v>1.0</v>
      </c>
      <c r="K186" s="33" t="n">
        <f>8300</f>
        <v>8300.0</v>
      </c>
      <c r="L186" s="34" t="s">
        <v>48</v>
      </c>
      <c r="M186" s="33" t="n">
        <f>9806</f>
        <v>9806.0</v>
      </c>
      <c r="N186" s="34" t="s">
        <v>60</v>
      </c>
      <c r="O186" s="33" t="n">
        <f>8253</f>
        <v>8253.0</v>
      </c>
      <c r="P186" s="34" t="s">
        <v>76</v>
      </c>
      <c r="Q186" s="33" t="n">
        <f>9660</f>
        <v>9660.0</v>
      </c>
      <c r="R186" s="34" t="s">
        <v>50</v>
      </c>
      <c r="S186" s="35" t="n">
        <f>9108.58</f>
        <v>9108.58</v>
      </c>
      <c r="T186" s="32" t="n">
        <f>398</f>
        <v>398.0</v>
      </c>
      <c r="U186" s="32" t="str">
        <f>"－"</f>
        <v>－</v>
      </c>
      <c r="V186" s="32" t="n">
        <f>3552480</f>
        <v>3552480.0</v>
      </c>
      <c r="W186" s="32" t="str">
        <f>"－"</f>
        <v>－</v>
      </c>
      <c r="X186" s="36" t="n">
        <f>19</f>
        <v>19.0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600</v>
      </c>
      <c r="J187" s="32" t="n">
        <v>1.0</v>
      </c>
      <c r="K187" s="33" t="n">
        <f>8950</f>
        <v>8950.0</v>
      </c>
      <c r="L187" s="34" t="s">
        <v>48</v>
      </c>
      <c r="M187" s="33" t="n">
        <f>9029</f>
        <v>9029.0</v>
      </c>
      <c r="N187" s="34" t="s">
        <v>48</v>
      </c>
      <c r="O187" s="33" t="n">
        <f>8466</f>
        <v>8466.0</v>
      </c>
      <c r="P187" s="34" t="s">
        <v>60</v>
      </c>
      <c r="Q187" s="33" t="n">
        <f>8549</f>
        <v>8549.0</v>
      </c>
      <c r="R187" s="34" t="s">
        <v>50</v>
      </c>
      <c r="S187" s="35" t="n">
        <f>8757.85</f>
        <v>8757.85</v>
      </c>
      <c r="T187" s="32" t="n">
        <f>30406</f>
        <v>30406.0</v>
      </c>
      <c r="U187" s="32" t="str">
        <f>"－"</f>
        <v>－</v>
      </c>
      <c r="V187" s="32" t="n">
        <f>266085806</f>
        <v>2.66085806E8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600</v>
      </c>
      <c r="J188" s="32" t="n">
        <v>1.0</v>
      </c>
      <c r="K188" s="33" t="n">
        <f>25240</f>
        <v>25240.0</v>
      </c>
      <c r="L188" s="34" t="s">
        <v>48</v>
      </c>
      <c r="M188" s="33" t="n">
        <f>26920</f>
        <v>26920.0</v>
      </c>
      <c r="N188" s="34" t="s">
        <v>109</v>
      </c>
      <c r="O188" s="33" t="n">
        <f>25240</f>
        <v>25240.0</v>
      </c>
      <c r="P188" s="34" t="s">
        <v>48</v>
      </c>
      <c r="Q188" s="33" t="n">
        <f>25700</f>
        <v>25700.0</v>
      </c>
      <c r="R188" s="34" t="s">
        <v>50</v>
      </c>
      <c r="S188" s="35" t="n">
        <f>26151.25</f>
        <v>26151.25</v>
      </c>
      <c r="T188" s="32" t="n">
        <f>30689</f>
        <v>30689.0</v>
      </c>
      <c r="U188" s="32" t="str">
        <f>"－"</f>
        <v>－</v>
      </c>
      <c r="V188" s="32" t="n">
        <f>805379380</f>
        <v>8.0537938E8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600</v>
      </c>
      <c r="J189" s="32" t="n">
        <v>1.0</v>
      </c>
      <c r="K189" s="33" t="n">
        <f>4405</f>
        <v>4405.0</v>
      </c>
      <c r="L189" s="34" t="s">
        <v>48</v>
      </c>
      <c r="M189" s="33" t="n">
        <f>4450</f>
        <v>4450.0</v>
      </c>
      <c r="N189" s="34" t="s">
        <v>48</v>
      </c>
      <c r="O189" s="33" t="n">
        <f>4265</f>
        <v>4265.0</v>
      </c>
      <c r="P189" s="34" t="s">
        <v>109</v>
      </c>
      <c r="Q189" s="33" t="n">
        <f>4360</f>
        <v>4360.0</v>
      </c>
      <c r="R189" s="34" t="s">
        <v>50</v>
      </c>
      <c r="S189" s="35" t="n">
        <f>4349.75</f>
        <v>4349.75</v>
      </c>
      <c r="T189" s="32" t="n">
        <f>9960</f>
        <v>9960.0</v>
      </c>
      <c r="U189" s="32" t="str">
        <f>"－"</f>
        <v>－</v>
      </c>
      <c r="V189" s="32" t="n">
        <f>43420625</f>
        <v>4.3420625E7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600</v>
      </c>
      <c r="J190" s="32" t="n">
        <v>1.0</v>
      </c>
      <c r="K190" s="33" t="n">
        <f>1448</f>
        <v>1448.0</v>
      </c>
      <c r="L190" s="34" t="s">
        <v>48</v>
      </c>
      <c r="M190" s="33" t="n">
        <f>1760</f>
        <v>1760.0</v>
      </c>
      <c r="N190" s="34" t="s">
        <v>78</v>
      </c>
      <c r="O190" s="33" t="n">
        <f>1421</f>
        <v>1421.0</v>
      </c>
      <c r="P190" s="34" t="s">
        <v>48</v>
      </c>
      <c r="Q190" s="33" t="n">
        <f>1697</f>
        <v>1697.0</v>
      </c>
      <c r="R190" s="34" t="s">
        <v>50</v>
      </c>
      <c r="S190" s="35" t="n">
        <f>1642.2</f>
        <v>1642.2</v>
      </c>
      <c r="T190" s="32" t="n">
        <f>29868347</f>
        <v>2.9868347E7</v>
      </c>
      <c r="U190" s="32" t="n">
        <f>12</f>
        <v>12.0</v>
      </c>
      <c r="V190" s="32" t="n">
        <f>49293068424</f>
        <v>4.9293068424E10</v>
      </c>
      <c r="W190" s="32" t="n">
        <f>20426</f>
        <v>20426.0</v>
      </c>
      <c r="X190" s="36" t="n">
        <f>20</f>
        <v>20.0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600</v>
      </c>
      <c r="J191" s="32" t="n">
        <v>1.0</v>
      </c>
      <c r="K191" s="33" t="n">
        <f>1466</f>
        <v>1466.0</v>
      </c>
      <c r="L191" s="34" t="s">
        <v>48</v>
      </c>
      <c r="M191" s="33" t="n">
        <f>1479</f>
        <v>1479.0</v>
      </c>
      <c r="N191" s="34" t="s">
        <v>48</v>
      </c>
      <c r="O191" s="33" t="n">
        <f>1329</f>
        <v>1329.0</v>
      </c>
      <c r="P191" s="34" t="s">
        <v>110</v>
      </c>
      <c r="Q191" s="33" t="n">
        <f>1341</f>
        <v>1341.0</v>
      </c>
      <c r="R191" s="34" t="s">
        <v>50</v>
      </c>
      <c r="S191" s="35" t="n">
        <f>1370.85</f>
        <v>1370.85</v>
      </c>
      <c r="T191" s="32" t="n">
        <f>2598225</f>
        <v>2598225.0</v>
      </c>
      <c r="U191" s="32" t="n">
        <f>874</f>
        <v>874.0</v>
      </c>
      <c r="V191" s="32" t="n">
        <f>3559152831</f>
        <v>3.559152831E9</v>
      </c>
      <c r="W191" s="32" t="n">
        <f>1168449</f>
        <v>1168449.0</v>
      </c>
      <c r="X191" s="36" t="n">
        <f>20</f>
        <v>20.0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600</v>
      </c>
      <c r="J192" s="32" t="n">
        <v>1.0</v>
      </c>
      <c r="K192" s="33" t="n">
        <f>19430</f>
        <v>19430.0</v>
      </c>
      <c r="L192" s="34" t="s">
        <v>48</v>
      </c>
      <c r="M192" s="33" t="n">
        <f>25060</f>
        <v>25060.0</v>
      </c>
      <c r="N192" s="34" t="s">
        <v>50</v>
      </c>
      <c r="O192" s="33" t="n">
        <f>19265</f>
        <v>19265.0</v>
      </c>
      <c r="P192" s="34" t="s">
        <v>48</v>
      </c>
      <c r="Q192" s="33" t="n">
        <f>24985</f>
        <v>24985.0</v>
      </c>
      <c r="R192" s="34" t="s">
        <v>50</v>
      </c>
      <c r="S192" s="35" t="n">
        <f>21786.5</f>
        <v>21786.5</v>
      </c>
      <c r="T192" s="32" t="n">
        <f>327766</f>
        <v>327766.0</v>
      </c>
      <c r="U192" s="32" t="n">
        <f>2000</f>
        <v>2000.0</v>
      </c>
      <c r="V192" s="32" t="n">
        <f>7197219140</f>
        <v>7.19721914E9</v>
      </c>
      <c r="W192" s="32" t="n">
        <f>45634000</f>
        <v>4.5634E7</v>
      </c>
      <c r="X192" s="36" t="n">
        <f>20</f>
        <v>20.0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600</v>
      </c>
      <c r="J193" s="32" t="n">
        <v>1.0</v>
      </c>
      <c r="K193" s="33" t="n">
        <f>3430</f>
        <v>3430.0</v>
      </c>
      <c r="L193" s="34" t="s">
        <v>48</v>
      </c>
      <c r="M193" s="33" t="n">
        <f>3430</f>
        <v>3430.0</v>
      </c>
      <c r="N193" s="34" t="s">
        <v>48</v>
      </c>
      <c r="O193" s="33" t="n">
        <f>3000</f>
        <v>3000.0</v>
      </c>
      <c r="P193" s="34" t="s">
        <v>50</v>
      </c>
      <c r="Q193" s="33" t="n">
        <f>3010</f>
        <v>3010.0</v>
      </c>
      <c r="R193" s="34" t="s">
        <v>50</v>
      </c>
      <c r="S193" s="35" t="n">
        <f>3200</f>
        <v>3200.0</v>
      </c>
      <c r="T193" s="32" t="n">
        <f>1250159</f>
        <v>1250159.0</v>
      </c>
      <c r="U193" s="32" t="str">
        <f>"－"</f>
        <v>－</v>
      </c>
      <c r="V193" s="32" t="n">
        <f>4004126070</f>
        <v>4.00412607E9</v>
      </c>
      <c r="W193" s="32" t="str">
        <f>"－"</f>
        <v>－</v>
      </c>
      <c r="X193" s="36" t="n">
        <f>20</f>
        <v>20.0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600</v>
      </c>
      <c r="J194" s="32" t="n">
        <v>1.0</v>
      </c>
      <c r="K194" s="33" t="n">
        <f>7353</f>
        <v>7353.0</v>
      </c>
      <c r="L194" s="34" t="s">
        <v>48</v>
      </c>
      <c r="M194" s="33" t="n">
        <f>8050</f>
        <v>8050.0</v>
      </c>
      <c r="N194" s="34" t="s">
        <v>50</v>
      </c>
      <c r="O194" s="33" t="n">
        <f>7283</f>
        <v>7283.0</v>
      </c>
      <c r="P194" s="34" t="s">
        <v>48</v>
      </c>
      <c r="Q194" s="33" t="n">
        <f>8050</f>
        <v>8050.0</v>
      </c>
      <c r="R194" s="34" t="s">
        <v>50</v>
      </c>
      <c r="S194" s="35" t="n">
        <f>7740.8</f>
        <v>7740.8</v>
      </c>
      <c r="T194" s="32" t="n">
        <f>38747</f>
        <v>38747.0</v>
      </c>
      <c r="U194" s="32" t="n">
        <f>7400</f>
        <v>7400.0</v>
      </c>
      <c r="V194" s="32" t="n">
        <f>304711668</f>
        <v>3.04711668E8</v>
      </c>
      <c r="W194" s="32" t="n">
        <f>59373600</f>
        <v>5.93736E7</v>
      </c>
      <c r="X194" s="36" t="n">
        <f>20</f>
        <v>20.0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600</v>
      </c>
      <c r="J195" s="32" t="n">
        <v>1.0</v>
      </c>
      <c r="K195" s="33" t="n">
        <f>16100</f>
        <v>16100.0</v>
      </c>
      <c r="L195" s="34" t="s">
        <v>48</v>
      </c>
      <c r="M195" s="33" t="n">
        <f>16585</f>
        <v>16585.0</v>
      </c>
      <c r="N195" s="34" t="s">
        <v>60</v>
      </c>
      <c r="O195" s="33" t="n">
        <f>16000</f>
        <v>16000.0</v>
      </c>
      <c r="P195" s="34" t="s">
        <v>49</v>
      </c>
      <c r="Q195" s="33" t="n">
        <f>16505</f>
        <v>16505.0</v>
      </c>
      <c r="R195" s="34" t="s">
        <v>50</v>
      </c>
      <c r="S195" s="35" t="n">
        <f>16299.64</f>
        <v>16299.64</v>
      </c>
      <c r="T195" s="32" t="n">
        <f>108</f>
        <v>108.0</v>
      </c>
      <c r="U195" s="32" t="str">
        <f>"－"</f>
        <v>－</v>
      </c>
      <c r="V195" s="32" t="n">
        <f>1760315</f>
        <v>1760315.0</v>
      </c>
      <c r="W195" s="32" t="str">
        <f>"－"</f>
        <v>－</v>
      </c>
      <c r="X195" s="36" t="n">
        <f>14</f>
        <v>14.0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600</v>
      </c>
      <c r="J196" s="32" t="n">
        <v>1.0</v>
      </c>
      <c r="K196" s="33" t="n">
        <f>21785</f>
        <v>21785.0</v>
      </c>
      <c r="L196" s="34" t="s">
        <v>48</v>
      </c>
      <c r="M196" s="33" t="n">
        <f>24500</f>
        <v>24500.0</v>
      </c>
      <c r="N196" s="34" t="s">
        <v>50</v>
      </c>
      <c r="O196" s="33" t="n">
        <f>21650</f>
        <v>21650.0</v>
      </c>
      <c r="P196" s="34" t="s">
        <v>48</v>
      </c>
      <c r="Q196" s="33" t="n">
        <f>24475</f>
        <v>24475.0</v>
      </c>
      <c r="R196" s="34" t="s">
        <v>50</v>
      </c>
      <c r="S196" s="35" t="n">
        <f>23090.5</f>
        <v>23090.5</v>
      </c>
      <c r="T196" s="32" t="n">
        <f>35532</f>
        <v>35532.0</v>
      </c>
      <c r="U196" s="32" t="str">
        <f>"－"</f>
        <v>－</v>
      </c>
      <c r="V196" s="32" t="n">
        <f>827636965</f>
        <v>8.27636965E8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600</v>
      </c>
      <c r="J197" s="32" t="n">
        <v>1.0</v>
      </c>
      <c r="K197" s="33" t="n">
        <f>14775</f>
        <v>14775.0</v>
      </c>
      <c r="L197" s="34" t="s">
        <v>48</v>
      </c>
      <c r="M197" s="33" t="n">
        <f>15600</f>
        <v>15600.0</v>
      </c>
      <c r="N197" s="34" t="s">
        <v>49</v>
      </c>
      <c r="O197" s="33" t="n">
        <f>14100</f>
        <v>14100.0</v>
      </c>
      <c r="P197" s="34" t="s">
        <v>193</v>
      </c>
      <c r="Q197" s="33" t="n">
        <f>14900</f>
        <v>14900.0</v>
      </c>
      <c r="R197" s="34" t="s">
        <v>50</v>
      </c>
      <c r="S197" s="35" t="n">
        <f>14987.37</f>
        <v>14987.37</v>
      </c>
      <c r="T197" s="32" t="n">
        <f>4197</f>
        <v>4197.0</v>
      </c>
      <c r="U197" s="32" t="str">
        <f>"－"</f>
        <v>－</v>
      </c>
      <c r="V197" s="32" t="n">
        <f>61382425</f>
        <v>6.1382425E7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600</v>
      </c>
      <c r="J198" s="32" t="n">
        <v>1.0</v>
      </c>
      <c r="K198" s="33" t="n">
        <f>18710</f>
        <v>18710.0</v>
      </c>
      <c r="L198" s="34" t="s">
        <v>48</v>
      </c>
      <c r="M198" s="33" t="n">
        <f>20730</f>
        <v>20730.0</v>
      </c>
      <c r="N198" s="34" t="s">
        <v>50</v>
      </c>
      <c r="O198" s="33" t="n">
        <f>18040</f>
        <v>18040.0</v>
      </c>
      <c r="P198" s="34" t="s">
        <v>68</v>
      </c>
      <c r="Q198" s="33" t="n">
        <f>20595</f>
        <v>20595.0</v>
      </c>
      <c r="R198" s="34" t="s">
        <v>50</v>
      </c>
      <c r="S198" s="35" t="n">
        <f>19485.25</f>
        <v>19485.25</v>
      </c>
      <c r="T198" s="32" t="n">
        <f>22539</f>
        <v>22539.0</v>
      </c>
      <c r="U198" s="32" t="str">
        <f>"－"</f>
        <v>－</v>
      </c>
      <c r="V198" s="32" t="n">
        <f>443184455</f>
        <v>4.43184455E8</v>
      </c>
      <c r="W198" s="32" t="str">
        <f>"－"</f>
        <v>－</v>
      </c>
      <c r="X198" s="36" t="n">
        <f>20</f>
        <v>20.0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600</v>
      </c>
      <c r="J199" s="32" t="n">
        <v>1.0</v>
      </c>
      <c r="K199" s="33" t="n">
        <f>4805</f>
        <v>4805.0</v>
      </c>
      <c r="L199" s="34" t="s">
        <v>48</v>
      </c>
      <c r="M199" s="33" t="n">
        <f>4835</f>
        <v>4835.0</v>
      </c>
      <c r="N199" s="34" t="s">
        <v>180</v>
      </c>
      <c r="O199" s="33" t="n">
        <f>4400</f>
        <v>4400.0</v>
      </c>
      <c r="P199" s="34" t="s">
        <v>50</v>
      </c>
      <c r="Q199" s="33" t="n">
        <f>4525</f>
        <v>4525.0</v>
      </c>
      <c r="R199" s="34" t="s">
        <v>50</v>
      </c>
      <c r="S199" s="35" t="n">
        <f>4654.75</f>
        <v>4654.75</v>
      </c>
      <c r="T199" s="32" t="n">
        <f>11426</f>
        <v>11426.0</v>
      </c>
      <c r="U199" s="32" t="str">
        <f>"－"</f>
        <v>－</v>
      </c>
      <c r="V199" s="32" t="n">
        <f>53163090</f>
        <v>5.316309E7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600</v>
      </c>
      <c r="J200" s="32" t="n">
        <v>1.0</v>
      </c>
      <c r="K200" s="33" t="n">
        <f>15730</f>
        <v>15730.0</v>
      </c>
      <c r="L200" s="34" t="s">
        <v>48</v>
      </c>
      <c r="M200" s="33" t="n">
        <f>16820</f>
        <v>16820.0</v>
      </c>
      <c r="N200" s="34" t="s">
        <v>167</v>
      </c>
      <c r="O200" s="33" t="n">
        <f>15455</f>
        <v>15455.0</v>
      </c>
      <c r="P200" s="34" t="s">
        <v>48</v>
      </c>
      <c r="Q200" s="33" t="n">
        <f>16330</f>
        <v>16330.0</v>
      </c>
      <c r="R200" s="34" t="s">
        <v>50</v>
      </c>
      <c r="S200" s="35" t="n">
        <f>16369.74</f>
        <v>16369.74</v>
      </c>
      <c r="T200" s="32" t="n">
        <f>3269</f>
        <v>3269.0</v>
      </c>
      <c r="U200" s="32" t="str">
        <f>"－"</f>
        <v>－</v>
      </c>
      <c r="V200" s="32" t="n">
        <f>52903400</f>
        <v>5.29034E7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600</v>
      </c>
      <c r="J201" s="32" t="n">
        <v>1.0</v>
      </c>
      <c r="K201" s="33" t="n">
        <f>12880</f>
        <v>12880.0</v>
      </c>
      <c r="L201" s="34" t="s">
        <v>49</v>
      </c>
      <c r="M201" s="33" t="n">
        <f>12880</f>
        <v>12880.0</v>
      </c>
      <c r="N201" s="34" t="s">
        <v>49</v>
      </c>
      <c r="O201" s="33" t="n">
        <f>12880</f>
        <v>12880.0</v>
      </c>
      <c r="P201" s="34" t="s">
        <v>49</v>
      </c>
      <c r="Q201" s="33" t="n">
        <f>12880</f>
        <v>12880.0</v>
      </c>
      <c r="R201" s="34" t="s">
        <v>49</v>
      </c>
      <c r="S201" s="35" t="n">
        <f>12880</f>
        <v>12880.0</v>
      </c>
      <c r="T201" s="32" t="n">
        <f>60</f>
        <v>60.0</v>
      </c>
      <c r="U201" s="32" t="str">
        <f>"－"</f>
        <v>－</v>
      </c>
      <c r="V201" s="32" t="n">
        <f>772800</f>
        <v>772800.0</v>
      </c>
      <c r="W201" s="32" t="str">
        <f>"－"</f>
        <v>－</v>
      </c>
      <c r="X201" s="36" t="n">
        <f>1</f>
        <v>1.0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600</v>
      </c>
      <c r="J202" s="32" t="n">
        <v>1.0</v>
      </c>
      <c r="K202" s="33" t="n">
        <f>18470</f>
        <v>18470.0</v>
      </c>
      <c r="L202" s="34" t="s">
        <v>48</v>
      </c>
      <c r="M202" s="33" t="n">
        <f>19640</f>
        <v>19640.0</v>
      </c>
      <c r="N202" s="34" t="s">
        <v>167</v>
      </c>
      <c r="O202" s="33" t="n">
        <f>18450</f>
        <v>18450.0</v>
      </c>
      <c r="P202" s="34" t="s">
        <v>48</v>
      </c>
      <c r="Q202" s="33" t="n">
        <f>19250</f>
        <v>19250.0</v>
      </c>
      <c r="R202" s="34" t="s">
        <v>50</v>
      </c>
      <c r="S202" s="35" t="n">
        <f>19136</f>
        <v>19136.0</v>
      </c>
      <c r="T202" s="32" t="n">
        <f>765</f>
        <v>765.0</v>
      </c>
      <c r="U202" s="32" t="str">
        <f>"－"</f>
        <v>－</v>
      </c>
      <c r="V202" s="32" t="n">
        <f>14443420</f>
        <v>1.444342E7</v>
      </c>
      <c r="W202" s="32" t="str">
        <f>"－"</f>
        <v>－</v>
      </c>
      <c r="X202" s="36" t="n">
        <f>15</f>
        <v>15.0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600</v>
      </c>
      <c r="J203" s="32" t="n">
        <v>1.0</v>
      </c>
      <c r="K203" s="33" t="n">
        <f>17870</f>
        <v>17870.0</v>
      </c>
      <c r="L203" s="34" t="s">
        <v>76</v>
      </c>
      <c r="M203" s="33" t="n">
        <f>17895</f>
        <v>17895.0</v>
      </c>
      <c r="N203" s="34" t="s">
        <v>163</v>
      </c>
      <c r="O203" s="33" t="n">
        <f>17690</f>
        <v>17690.0</v>
      </c>
      <c r="P203" s="34" t="s">
        <v>270</v>
      </c>
      <c r="Q203" s="33" t="n">
        <f>17895</f>
        <v>17895.0</v>
      </c>
      <c r="R203" s="34" t="s">
        <v>163</v>
      </c>
      <c r="S203" s="35" t="n">
        <f>17810</f>
        <v>17810.0</v>
      </c>
      <c r="T203" s="32" t="n">
        <f>6</f>
        <v>6.0</v>
      </c>
      <c r="U203" s="32" t="str">
        <f>"－"</f>
        <v>－</v>
      </c>
      <c r="V203" s="32" t="n">
        <f>106945</f>
        <v>106945.0</v>
      </c>
      <c r="W203" s="32" t="str">
        <f>"－"</f>
        <v>－</v>
      </c>
      <c r="X203" s="36" t="n">
        <f>5</f>
        <v>5.0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600</v>
      </c>
      <c r="J204" s="32" t="n">
        <v>1.0</v>
      </c>
      <c r="K204" s="33" t="n">
        <f>12860</f>
        <v>12860.0</v>
      </c>
      <c r="L204" s="34" t="s">
        <v>554</v>
      </c>
      <c r="M204" s="33" t="n">
        <f>12995</f>
        <v>12995.0</v>
      </c>
      <c r="N204" s="34" t="s">
        <v>129</v>
      </c>
      <c r="O204" s="33" t="n">
        <f>12765</f>
        <v>12765.0</v>
      </c>
      <c r="P204" s="34" t="s">
        <v>60</v>
      </c>
      <c r="Q204" s="33" t="n">
        <f>12860</f>
        <v>12860.0</v>
      </c>
      <c r="R204" s="34" t="s">
        <v>60</v>
      </c>
      <c r="S204" s="35" t="n">
        <f>12897.5</f>
        <v>12897.5</v>
      </c>
      <c r="T204" s="32" t="n">
        <f>228</f>
        <v>228.0</v>
      </c>
      <c r="U204" s="32" t="str">
        <f>"－"</f>
        <v>－</v>
      </c>
      <c r="V204" s="32" t="n">
        <f>2933790</f>
        <v>2933790.0</v>
      </c>
      <c r="W204" s="32" t="str">
        <f>"－"</f>
        <v>－</v>
      </c>
      <c r="X204" s="36" t="n">
        <f>4</f>
        <v>4.0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600</v>
      </c>
      <c r="J205" s="32" t="n">
        <v>1.0</v>
      </c>
      <c r="K205" s="33" t="n">
        <f>14435</f>
        <v>14435.0</v>
      </c>
      <c r="L205" s="34" t="s">
        <v>76</v>
      </c>
      <c r="M205" s="33" t="n">
        <f>14435</f>
        <v>14435.0</v>
      </c>
      <c r="N205" s="34" t="s">
        <v>76</v>
      </c>
      <c r="O205" s="33" t="n">
        <f>14435</f>
        <v>14435.0</v>
      </c>
      <c r="P205" s="34" t="s">
        <v>76</v>
      </c>
      <c r="Q205" s="33" t="n">
        <f>14435</f>
        <v>14435.0</v>
      </c>
      <c r="R205" s="34" t="s">
        <v>76</v>
      </c>
      <c r="S205" s="35" t="n">
        <f>14435</f>
        <v>14435.0</v>
      </c>
      <c r="T205" s="32" t="n">
        <f>1</f>
        <v>1.0</v>
      </c>
      <c r="U205" s="32" t="str">
        <f>"－"</f>
        <v>－</v>
      </c>
      <c r="V205" s="32" t="n">
        <f>14435</f>
        <v>14435.0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600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str">
        <f>"－"</f>
        <v>－</v>
      </c>
      <c r="U206" s="32" t="str">
        <f>"－"</f>
        <v>－</v>
      </c>
      <c r="V206" s="32" t="str">
        <f>"－"</f>
        <v>－</v>
      </c>
      <c r="W206" s="32" t="str">
        <f>"－"</f>
        <v>－</v>
      </c>
      <c r="X206" s="36" t="str">
        <f>"－"</f>
        <v>－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600</v>
      </c>
      <c r="J207" s="32" t="n">
        <v>1.0</v>
      </c>
      <c r="K207" s="33" t="n">
        <f>9617</f>
        <v>9617.0</v>
      </c>
      <c r="L207" s="34" t="s">
        <v>76</v>
      </c>
      <c r="M207" s="33" t="n">
        <f>9617</f>
        <v>9617.0</v>
      </c>
      <c r="N207" s="34" t="s">
        <v>76</v>
      </c>
      <c r="O207" s="33" t="n">
        <f>9438</f>
        <v>9438.0</v>
      </c>
      <c r="P207" s="34" t="s">
        <v>68</v>
      </c>
      <c r="Q207" s="33" t="n">
        <f>9531</f>
        <v>9531.0</v>
      </c>
      <c r="R207" s="34" t="s">
        <v>60</v>
      </c>
      <c r="S207" s="35" t="n">
        <f>9531.89</f>
        <v>9531.89</v>
      </c>
      <c r="T207" s="32" t="n">
        <f>5515</f>
        <v>5515.0</v>
      </c>
      <c r="U207" s="32" t="str">
        <f>"－"</f>
        <v>－</v>
      </c>
      <c r="V207" s="32" t="n">
        <f>52724791</f>
        <v>5.2724791E7</v>
      </c>
      <c r="W207" s="32" t="str">
        <f>"－"</f>
        <v>－</v>
      </c>
      <c r="X207" s="36" t="n">
        <f>9</f>
        <v>9.0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600</v>
      </c>
      <c r="J208" s="32" t="n">
        <v>1.0</v>
      </c>
      <c r="K208" s="33" t="n">
        <f>9503</f>
        <v>9503.0</v>
      </c>
      <c r="L208" s="34" t="s">
        <v>48</v>
      </c>
      <c r="M208" s="33" t="n">
        <f>10100</f>
        <v>10100.0</v>
      </c>
      <c r="N208" s="34" t="s">
        <v>129</v>
      </c>
      <c r="O208" s="33" t="n">
        <f>9503</f>
        <v>9503.0</v>
      </c>
      <c r="P208" s="34" t="s">
        <v>48</v>
      </c>
      <c r="Q208" s="33" t="n">
        <f>10035</f>
        <v>10035.0</v>
      </c>
      <c r="R208" s="34" t="s">
        <v>50</v>
      </c>
      <c r="S208" s="35" t="n">
        <f>9868.05</f>
        <v>9868.05</v>
      </c>
      <c r="T208" s="32" t="n">
        <f>22447</f>
        <v>22447.0</v>
      </c>
      <c r="U208" s="32" t="str">
        <f>"－"</f>
        <v>－</v>
      </c>
      <c r="V208" s="32" t="n">
        <f>223723543</f>
        <v>2.23723543E8</v>
      </c>
      <c r="W208" s="32" t="str">
        <f>"－"</f>
        <v>－</v>
      </c>
      <c r="X208" s="36" t="n">
        <f>19</f>
        <v>19.0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600</v>
      </c>
      <c r="J209" s="32" t="n">
        <v>1.0</v>
      </c>
      <c r="K209" s="33" t="n">
        <f>9348</f>
        <v>9348.0</v>
      </c>
      <c r="L209" s="34" t="s">
        <v>48</v>
      </c>
      <c r="M209" s="33" t="n">
        <f>9880</f>
        <v>9880.0</v>
      </c>
      <c r="N209" s="34" t="s">
        <v>49</v>
      </c>
      <c r="O209" s="33" t="n">
        <f>9348</f>
        <v>9348.0</v>
      </c>
      <c r="P209" s="34" t="s">
        <v>48</v>
      </c>
      <c r="Q209" s="33" t="n">
        <f>9607</f>
        <v>9607.0</v>
      </c>
      <c r="R209" s="34" t="s">
        <v>60</v>
      </c>
      <c r="S209" s="35" t="n">
        <f>9651.69</f>
        <v>9651.69</v>
      </c>
      <c r="T209" s="32" t="n">
        <f>4140</f>
        <v>4140.0</v>
      </c>
      <c r="U209" s="32" t="str">
        <f>"－"</f>
        <v>－</v>
      </c>
      <c r="V209" s="32" t="n">
        <f>40145590</f>
        <v>4.014559E7</v>
      </c>
      <c r="W209" s="32" t="str">
        <f>"－"</f>
        <v>－</v>
      </c>
      <c r="X209" s="36" t="n">
        <f>13</f>
        <v>13.0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46</v>
      </c>
      <c r="F210" s="29" t="s">
        <v>46</v>
      </c>
      <c r="G210" s="30" t="s">
        <v>46</v>
      </c>
      <c r="H210" s="31"/>
      <c r="I210" s="31" t="s">
        <v>600</v>
      </c>
      <c r="J210" s="32" t="n">
        <v>1.0</v>
      </c>
      <c r="K210" s="33" t="n">
        <f>10045</f>
        <v>10045.0</v>
      </c>
      <c r="L210" s="34" t="s">
        <v>67</v>
      </c>
      <c r="M210" s="33" t="n">
        <f>10145</f>
        <v>10145.0</v>
      </c>
      <c r="N210" s="34" t="s">
        <v>60</v>
      </c>
      <c r="O210" s="33" t="n">
        <f>9895</f>
        <v>9895.0</v>
      </c>
      <c r="P210" s="34" t="s">
        <v>78</v>
      </c>
      <c r="Q210" s="33" t="n">
        <f>10145</f>
        <v>10145.0</v>
      </c>
      <c r="R210" s="34" t="s">
        <v>60</v>
      </c>
      <c r="S210" s="35" t="n">
        <f>10028.33</f>
        <v>10028.33</v>
      </c>
      <c r="T210" s="32" t="n">
        <f>2006</f>
        <v>2006.0</v>
      </c>
      <c r="U210" s="32" t="str">
        <f>"－"</f>
        <v>－</v>
      </c>
      <c r="V210" s="32" t="n">
        <f>19850570</f>
        <v>1.985057E7</v>
      </c>
      <c r="W210" s="32" t="str">
        <f>"－"</f>
        <v>－</v>
      </c>
      <c r="X210" s="36" t="n">
        <f>3</f>
        <v>3.0</v>
      </c>
    </row>
    <row r="211">
      <c r="A211" s="27" t="s">
        <v>42</v>
      </c>
      <c r="B211" s="27" t="s">
        <v>679</v>
      </c>
      <c r="C211" s="27" t="s">
        <v>680</v>
      </c>
      <c r="D211" s="27" t="s">
        <v>681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959</f>
        <v>959.0</v>
      </c>
      <c r="L211" s="34" t="s">
        <v>48</v>
      </c>
      <c r="M211" s="33" t="n">
        <f>964</f>
        <v>964.0</v>
      </c>
      <c r="N211" s="34" t="s">
        <v>554</v>
      </c>
      <c r="O211" s="33" t="n">
        <f>939</f>
        <v>939.0</v>
      </c>
      <c r="P211" s="34" t="s">
        <v>193</v>
      </c>
      <c r="Q211" s="33" t="n">
        <f>950.2</f>
        <v>950.2</v>
      </c>
      <c r="R211" s="34" t="s">
        <v>50</v>
      </c>
      <c r="S211" s="35" t="n">
        <f>949.66</f>
        <v>949.66</v>
      </c>
      <c r="T211" s="32" t="n">
        <f>4642980</f>
        <v>4642980.0</v>
      </c>
      <c r="U211" s="32" t="n">
        <f>2107800</f>
        <v>2107800.0</v>
      </c>
      <c r="V211" s="32" t="n">
        <f>4405657900</f>
        <v>4.4056579E9</v>
      </c>
      <c r="W211" s="32" t="n">
        <f>1997396321</f>
        <v>1.997396321E9</v>
      </c>
      <c r="X211" s="36" t="n">
        <f>20</f>
        <v>20.0</v>
      </c>
    </row>
    <row r="212">
      <c r="A212" s="27" t="s">
        <v>42</v>
      </c>
      <c r="B212" s="27" t="s">
        <v>682</v>
      </c>
      <c r="C212" s="27" t="s">
        <v>683</v>
      </c>
      <c r="D212" s="27" t="s">
        <v>684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1000</f>
        <v>1000.0</v>
      </c>
      <c r="L212" s="34" t="s">
        <v>48</v>
      </c>
      <c r="M212" s="33" t="n">
        <f>1025.5</f>
        <v>1025.5</v>
      </c>
      <c r="N212" s="34" t="s">
        <v>50</v>
      </c>
      <c r="O212" s="33" t="n">
        <f>987.3</f>
        <v>987.3</v>
      </c>
      <c r="P212" s="34" t="s">
        <v>68</v>
      </c>
      <c r="Q212" s="33" t="n">
        <f>1022</f>
        <v>1022.0</v>
      </c>
      <c r="R212" s="34" t="s">
        <v>50</v>
      </c>
      <c r="S212" s="35" t="n">
        <f>1010.15</f>
        <v>1010.15</v>
      </c>
      <c r="T212" s="32" t="n">
        <f>5936680</f>
        <v>5936680.0</v>
      </c>
      <c r="U212" s="32" t="n">
        <f>4782790</f>
        <v>4782790.0</v>
      </c>
      <c r="V212" s="32" t="n">
        <f>6033278547</f>
        <v>6.033278547E9</v>
      </c>
      <c r="W212" s="32" t="n">
        <f>4864336628</f>
        <v>4.864336628E9</v>
      </c>
      <c r="X212" s="36" t="n">
        <f>20</f>
        <v>20.0</v>
      </c>
    </row>
    <row r="213">
      <c r="A213" s="27" t="s">
        <v>42</v>
      </c>
      <c r="B213" s="27" t="s">
        <v>685</v>
      </c>
      <c r="C213" s="27" t="s">
        <v>686</v>
      </c>
      <c r="D213" s="27" t="s">
        <v>687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834.1</f>
        <v>834.1</v>
      </c>
      <c r="L213" s="34" t="s">
        <v>48</v>
      </c>
      <c r="M213" s="33" t="n">
        <f>850.6</f>
        <v>850.6</v>
      </c>
      <c r="N213" s="34" t="s">
        <v>76</v>
      </c>
      <c r="O213" s="33" t="n">
        <f>819.9</f>
        <v>819.9</v>
      </c>
      <c r="P213" s="34" t="s">
        <v>72</v>
      </c>
      <c r="Q213" s="33" t="n">
        <f>836.3</f>
        <v>836.3</v>
      </c>
      <c r="R213" s="34" t="s">
        <v>50</v>
      </c>
      <c r="S213" s="35" t="n">
        <f>832.78</f>
        <v>832.78</v>
      </c>
      <c r="T213" s="32" t="n">
        <f>6247750</f>
        <v>6247750.0</v>
      </c>
      <c r="U213" s="32" t="n">
        <f>5279690</f>
        <v>5279690.0</v>
      </c>
      <c r="V213" s="32" t="n">
        <f>5216036419</f>
        <v>5.216036419E9</v>
      </c>
      <c r="W213" s="32" t="n">
        <f>4408743639</f>
        <v>4.408743639E9</v>
      </c>
      <c r="X213" s="36" t="n">
        <f>20</f>
        <v>20.0</v>
      </c>
    </row>
    <row r="214">
      <c r="A214" s="27" t="s">
        <v>42</v>
      </c>
      <c r="B214" s="27" t="s">
        <v>688</v>
      </c>
      <c r="C214" s="27" t="s">
        <v>689</v>
      </c>
      <c r="D214" s="27" t="s">
        <v>690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1566.5</f>
        <v>1566.5</v>
      </c>
      <c r="L214" s="34" t="s">
        <v>48</v>
      </c>
      <c r="M214" s="33" t="n">
        <f>1731</f>
        <v>1731.0</v>
      </c>
      <c r="N214" s="34" t="s">
        <v>50</v>
      </c>
      <c r="O214" s="33" t="n">
        <f>1555</f>
        <v>1555.0</v>
      </c>
      <c r="P214" s="34" t="s">
        <v>48</v>
      </c>
      <c r="Q214" s="33" t="n">
        <f>1727.5</f>
        <v>1727.5</v>
      </c>
      <c r="R214" s="34" t="s">
        <v>50</v>
      </c>
      <c r="S214" s="35" t="n">
        <f>1649</f>
        <v>1649.0</v>
      </c>
      <c r="T214" s="32" t="n">
        <f>2012220</f>
        <v>2012220.0</v>
      </c>
      <c r="U214" s="32" t="n">
        <f>1268140</f>
        <v>1268140.0</v>
      </c>
      <c r="V214" s="32" t="n">
        <f>3333679805</f>
        <v>3.333679805E9</v>
      </c>
      <c r="W214" s="32" t="n">
        <f>2125787820</f>
        <v>2.12578782E9</v>
      </c>
      <c r="X214" s="36" t="n">
        <f>20</f>
        <v>20.0</v>
      </c>
    </row>
    <row r="215">
      <c r="A215" s="27" t="s">
        <v>42</v>
      </c>
      <c r="B215" s="27" t="s">
        <v>691</v>
      </c>
      <c r="C215" s="27" t="s">
        <v>692</v>
      </c>
      <c r="D215" s="27" t="s">
        <v>693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1200</f>
        <v>1200.0</v>
      </c>
      <c r="L215" s="34" t="s">
        <v>48</v>
      </c>
      <c r="M215" s="33" t="n">
        <f>1285.5</f>
        <v>1285.5</v>
      </c>
      <c r="N215" s="34" t="s">
        <v>50</v>
      </c>
      <c r="O215" s="33" t="n">
        <f>1182</f>
        <v>1182.0</v>
      </c>
      <c r="P215" s="34" t="s">
        <v>48</v>
      </c>
      <c r="Q215" s="33" t="n">
        <f>1283</f>
        <v>1283.0</v>
      </c>
      <c r="R215" s="34" t="s">
        <v>50</v>
      </c>
      <c r="S215" s="35" t="n">
        <f>1232</f>
        <v>1232.0</v>
      </c>
      <c r="T215" s="32" t="n">
        <f>442390</f>
        <v>442390.0</v>
      </c>
      <c r="U215" s="32" t="n">
        <f>257190</f>
        <v>257190.0</v>
      </c>
      <c r="V215" s="32" t="n">
        <f>551311446</f>
        <v>5.51311446E8</v>
      </c>
      <c r="W215" s="32" t="n">
        <f>323152036</f>
        <v>3.23152036E8</v>
      </c>
      <c r="X215" s="36" t="n">
        <f>20</f>
        <v>20.0</v>
      </c>
    </row>
    <row r="216">
      <c r="A216" s="27" t="s">
        <v>42</v>
      </c>
      <c r="B216" s="27" t="s">
        <v>694</v>
      </c>
      <c r="C216" s="27" t="s">
        <v>695</v>
      </c>
      <c r="D216" s="27" t="s">
        <v>696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1136</f>
        <v>1136.0</v>
      </c>
      <c r="L216" s="34" t="s">
        <v>48</v>
      </c>
      <c r="M216" s="33" t="n">
        <f>1229.5</f>
        <v>1229.5</v>
      </c>
      <c r="N216" s="34" t="s">
        <v>50</v>
      </c>
      <c r="O216" s="33" t="n">
        <f>1109</f>
        <v>1109.0</v>
      </c>
      <c r="P216" s="34" t="s">
        <v>78</v>
      </c>
      <c r="Q216" s="33" t="n">
        <f>1226</f>
        <v>1226.0</v>
      </c>
      <c r="R216" s="34" t="s">
        <v>50</v>
      </c>
      <c r="S216" s="35" t="n">
        <f>1171.48</f>
        <v>1171.48</v>
      </c>
      <c r="T216" s="32" t="n">
        <f>558380</f>
        <v>558380.0</v>
      </c>
      <c r="U216" s="32" t="n">
        <f>202960</f>
        <v>202960.0</v>
      </c>
      <c r="V216" s="32" t="n">
        <f>656199013</f>
        <v>6.56199013E8</v>
      </c>
      <c r="W216" s="32" t="n">
        <f>244149123</f>
        <v>2.44149123E8</v>
      </c>
      <c r="X216" s="36" t="n">
        <f>20</f>
        <v>20.0</v>
      </c>
    </row>
    <row r="217">
      <c r="A217" s="27" t="s">
        <v>42</v>
      </c>
      <c r="B217" s="27" t="s">
        <v>697</v>
      </c>
      <c r="C217" s="27" t="s">
        <v>698</v>
      </c>
      <c r="D217" s="27" t="s">
        <v>699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535</f>
        <v>535.0</v>
      </c>
      <c r="L217" s="34" t="s">
        <v>48</v>
      </c>
      <c r="M217" s="33" t="n">
        <f>583.3</f>
        <v>583.3</v>
      </c>
      <c r="N217" s="34" t="s">
        <v>50</v>
      </c>
      <c r="O217" s="33" t="n">
        <f>528.5</f>
        <v>528.5</v>
      </c>
      <c r="P217" s="34" t="s">
        <v>48</v>
      </c>
      <c r="Q217" s="33" t="n">
        <f>575.2</f>
        <v>575.2</v>
      </c>
      <c r="R217" s="34" t="s">
        <v>50</v>
      </c>
      <c r="S217" s="35" t="n">
        <f>561.54</f>
        <v>561.54</v>
      </c>
      <c r="T217" s="32" t="n">
        <f>27574710</f>
        <v>2.757471E7</v>
      </c>
      <c r="U217" s="32" t="n">
        <f>387000</f>
        <v>387000.0</v>
      </c>
      <c r="V217" s="32" t="n">
        <f>15475940824</f>
        <v>1.5475940824E10</v>
      </c>
      <c r="W217" s="32" t="n">
        <f>215090194</f>
        <v>2.15090194E8</v>
      </c>
      <c r="X217" s="36" t="n">
        <f>20</f>
        <v>20.0</v>
      </c>
    </row>
    <row r="218">
      <c r="A218" s="27" t="s">
        <v>42</v>
      </c>
      <c r="B218" s="27" t="s">
        <v>700</v>
      </c>
      <c r="C218" s="27" t="s">
        <v>701</v>
      </c>
      <c r="D218" s="27" t="s">
        <v>702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1164</f>
        <v>1164.0</v>
      </c>
      <c r="L218" s="34" t="s">
        <v>48</v>
      </c>
      <c r="M218" s="33" t="n">
        <f>1183</f>
        <v>1183.0</v>
      </c>
      <c r="N218" s="34" t="s">
        <v>50</v>
      </c>
      <c r="O218" s="33" t="n">
        <f>1107.5</f>
        <v>1107.5</v>
      </c>
      <c r="P218" s="34" t="s">
        <v>110</v>
      </c>
      <c r="Q218" s="33" t="n">
        <f>1176.5</f>
        <v>1176.5</v>
      </c>
      <c r="R218" s="34" t="s">
        <v>50</v>
      </c>
      <c r="S218" s="35" t="n">
        <f>1144.4</f>
        <v>1144.4</v>
      </c>
      <c r="T218" s="32" t="n">
        <f>547510</f>
        <v>547510.0</v>
      </c>
      <c r="U218" s="32" t="n">
        <f>116330</f>
        <v>116330.0</v>
      </c>
      <c r="V218" s="32" t="n">
        <f>616203085</f>
        <v>6.16203085E8</v>
      </c>
      <c r="W218" s="32" t="n">
        <f>132005890</f>
        <v>1.3200589E8</v>
      </c>
      <c r="X218" s="36" t="n">
        <f>20</f>
        <v>20.0</v>
      </c>
    </row>
    <row r="219">
      <c r="A219" s="27" t="s">
        <v>42</v>
      </c>
      <c r="B219" s="27" t="s">
        <v>703</v>
      </c>
      <c r="C219" s="27" t="s">
        <v>704</v>
      </c>
      <c r="D219" s="27" t="s">
        <v>705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1032</f>
        <v>1032.0</v>
      </c>
      <c r="L219" s="34" t="s">
        <v>48</v>
      </c>
      <c r="M219" s="33" t="n">
        <f>1090</f>
        <v>1090.0</v>
      </c>
      <c r="N219" s="34" t="s">
        <v>49</v>
      </c>
      <c r="O219" s="33" t="n">
        <f>1024</f>
        <v>1024.0</v>
      </c>
      <c r="P219" s="34" t="s">
        <v>48</v>
      </c>
      <c r="Q219" s="33" t="n">
        <f>1066</f>
        <v>1066.0</v>
      </c>
      <c r="R219" s="34" t="s">
        <v>50</v>
      </c>
      <c r="S219" s="35" t="n">
        <f>1060.8</f>
        <v>1060.8</v>
      </c>
      <c r="T219" s="32" t="n">
        <f>66540</f>
        <v>66540.0</v>
      </c>
      <c r="U219" s="32" t="n">
        <f>37000</f>
        <v>37000.0</v>
      </c>
      <c r="V219" s="32" t="n">
        <f>70731013</f>
        <v>7.0731013E7</v>
      </c>
      <c r="W219" s="32" t="n">
        <f>39604800</f>
        <v>3.96048E7</v>
      </c>
      <c r="X219" s="36" t="n">
        <f>20</f>
        <v>20.0</v>
      </c>
    </row>
    <row r="220">
      <c r="A220" s="27" t="s">
        <v>42</v>
      </c>
      <c r="B220" s="27" t="s">
        <v>706</v>
      </c>
      <c r="C220" s="27" t="s">
        <v>707</v>
      </c>
      <c r="D220" s="27" t="s">
        <v>708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896.7</f>
        <v>896.7</v>
      </c>
      <c r="L220" s="34" t="s">
        <v>48</v>
      </c>
      <c r="M220" s="33" t="n">
        <f>915.6</f>
        <v>915.6</v>
      </c>
      <c r="N220" s="34" t="s">
        <v>50</v>
      </c>
      <c r="O220" s="33" t="n">
        <f>886</f>
        <v>886.0</v>
      </c>
      <c r="P220" s="34" t="s">
        <v>110</v>
      </c>
      <c r="Q220" s="33" t="n">
        <f>915</f>
        <v>915.0</v>
      </c>
      <c r="R220" s="34" t="s">
        <v>50</v>
      </c>
      <c r="S220" s="35" t="n">
        <f>900.22</f>
        <v>900.22</v>
      </c>
      <c r="T220" s="32" t="n">
        <f>149390</f>
        <v>149390.0</v>
      </c>
      <c r="U220" s="32" t="str">
        <f>"－"</f>
        <v>－</v>
      </c>
      <c r="V220" s="32" t="n">
        <f>133573745</f>
        <v>1.33573745E8</v>
      </c>
      <c r="W220" s="32" t="str">
        <f>"－"</f>
        <v>－</v>
      </c>
      <c r="X220" s="36" t="n">
        <f>20</f>
        <v>20.0</v>
      </c>
    </row>
    <row r="221">
      <c r="A221" s="27" t="s">
        <v>42</v>
      </c>
      <c r="B221" s="27" t="s">
        <v>709</v>
      </c>
      <c r="C221" s="27" t="s">
        <v>710</v>
      </c>
      <c r="D221" s="27" t="s">
        <v>711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1100.5</f>
        <v>1100.5</v>
      </c>
      <c r="L221" s="34" t="s">
        <v>48</v>
      </c>
      <c r="M221" s="33" t="n">
        <f>1153.5</f>
        <v>1153.5</v>
      </c>
      <c r="N221" s="34" t="s">
        <v>49</v>
      </c>
      <c r="O221" s="33" t="n">
        <f>1078</f>
        <v>1078.0</v>
      </c>
      <c r="P221" s="34" t="s">
        <v>60</v>
      </c>
      <c r="Q221" s="33" t="n">
        <f>1088.5</f>
        <v>1088.5</v>
      </c>
      <c r="R221" s="34" t="s">
        <v>50</v>
      </c>
      <c r="S221" s="35" t="n">
        <f>1112.2</f>
        <v>1112.2</v>
      </c>
      <c r="T221" s="32" t="n">
        <f>249940</f>
        <v>249940.0</v>
      </c>
      <c r="U221" s="32" t="str">
        <f>"－"</f>
        <v>－</v>
      </c>
      <c r="V221" s="32" t="n">
        <f>275054780</f>
        <v>2.7505478E8</v>
      </c>
      <c r="W221" s="32" t="str">
        <f>"－"</f>
        <v>－</v>
      </c>
      <c r="X221" s="36" t="n">
        <f>20</f>
        <v>20.0</v>
      </c>
    </row>
    <row r="222">
      <c r="A222" s="27" t="s">
        <v>42</v>
      </c>
      <c r="B222" s="27" t="s">
        <v>712</v>
      </c>
      <c r="C222" s="27" t="s">
        <v>713</v>
      </c>
      <c r="D222" s="27" t="s">
        <v>714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1220.5</f>
        <v>1220.5</v>
      </c>
      <c r="L222" s="34" t="s">
        <v>48</v>
      </c>
      <c r="M222" s="33" t="n">
        <f>1331.5</f>
        <v>1331.5</v>
      </c>
      <c r="N222" s="34" t="s">
        <v>50</v>
      </c>
      <c r="O222" s="33" t="n">
        <f>1216</f>
        <v>1216.0</v>
      </c>
      <c r="P222" s="34" t="s">
        <v>48</v>
      </c>
      <c r="Q222" s="33" t="n">
        <f>1329.5</f>
        <v>1329.5</v>
      </c>
      <c r="R222" s="34" t="s">
        <v>50</v>
      </c>
      <c r="S222" s="35" t="n">
        <f>1270.78</f>
        <v>1270.78</v>
      </c>
      <c r="T222" s="32" t="n">
        <f>16830410</f>
        <v>1.683041E7</v>
      </c>
      <c r="U222" s="32" t="n">
        <f>7148500</f>
        <v>7148500.0</v>
      </c>
      <c r="V222" s="32" t="n">
        <f>21522445431</f>
        <v>2.1522445431E10</v>
      </c>
      <c r="W222" s="32" t="n">
        <f>9160739011</f>
        <v>9.160739011E9</v>
      </c>
      <c r="X222" s="36" t="n">
        <f>20</f>
        <v>20.0</v>
      </c>
    </row>
    <row r="223">
      <c r="A223" s="27" t="s">
        <v>42</v>
      </c>
      <c r="B223" s="27" t="s">
        <v>715</v>
      </c>
      <c r="C223" s="27" t="s">
        <v>716</v>
      </c>
      <c r="D223" s="27" t="s">
        <v>717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3220</f>
        <v>3220.0</v>
      </c>
      <c r="L223" s="34" t="s">
        <v>48</v>
      </c>
      <c r="M223" s="33" t="n">
        <f>3555</f>
        <v>3555.0</v>
      </c>
      <c r="N223" s="34" t="s">
        <v>50</v>
      </c>
      <c r="O223" s="33" t="n">
        <f>3180</f>
        <v>3180.0</v>
      </c>
      <c r="P223" s="34" t="s">
        <v>180</v>
      </c>
      <c r="Q223" s="33" t="n">
        <f>3540</f>
        <v>3540.0</v>
      </c>
      <c r="R223" s="34" t="s">
        <v>50</v>
      </c>
      <c r="S223" s="35" t="n">
        <f>3361.25</f>
        <v>3361.25</v>
      </c>
      <c r="T223" s="32" t="n">
        <f>334781</f>
        <v>334781.0</v>
      </c>
      <c r="U223" s="32" t="n">
        <f>150000</f>
        <v>150000.0</v>
      </c>
      <c r="V223" s="32" t="n">
        <f>1146014380</f>
        <v>1.14601438E9</v>
      </c>
      <c r="W223" s="32" t="n">
        <f>516026550</f>
        <v>5.1602655E8</v>
      </c>
      <c r="X223" s="36" t="n">
        <f>20</f>
        <v>20.0</v>
      </c>
    </row>
    <row r="224">
      <c r="A224" s="27" t="s">
        <v>42</v>
      </c>
      <c r="B224" s="27" t="s">
        <v>718</v>
      </c>
      <c r="C224" s="27" t="s">
        <v>719</v>
      </c>
      <c r="D224" s="27" t="s">
        <v>720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1540</f>
        <v>1540.0</v>
      </c>
      <c r="L224" s="34" t="s">
        <v>48</v>
      </c>
      <c r="M224" s="33" t="n">
        <f>1627.5</f>
        <v>1627.5</v>
      </c>
      <c r="N224" s="34" t="s">
        <v>50</v>
      </c>
      <c r="O224" s="33" t="n">
        <f>1540</f>
        <v>1540.0</v>
      </c>
      <c r="P224" s="34" t="s">
        <v>48</v>
      </c>
      <c r="Q224" s="33" t="n">
        <f>1627.5</f>
        <v>1627.5</v>
      </c>
      <c r="R224" s="34" t="s">
        <v>50</v>
      </c>
      <c r="S224" s="35" t="n">
        <f>1593.63</f>
        <v>1593.63</v>
      </c>
      <c r="T224" s="32" t="n">
        <f>1470</f>
        <v>1470.0</v>
      </c>
      <c r="U224" s="32" t="str">
        <f>"－"</f>
        <v>－</v>
      </c>
      <c r="V224" s="32" t="n">
        <f>2339775</f>
        <v>2339775.0</v>
      </c>
      <c r="W224" s="32" t="str">
        <f>"－"</f>
        <v>－</v>
      </c>
      <c r="X224" s="36" t="n">
        <f>16</f>
        <v>16.0</v>
      </c>
    </row>
    <row r="225">
      <c r="A225" s="27" t="s">
        <v>42</v>
      </c>
      <c r="B225" s="27" t="s">
        <v>721</v>
      </c>
      <c r="C225" s="27" t="s">
        <v>722</v>
      </c>
      <c r="D225" s="27" t="s">
        <v>723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1873.5</f>
        <v>1873.5</v>
      </c>
      <c r="L225" s="34" t="s">
        <v>48</v>
      </c>
      <c r="M225" s="33" t="n">
        <f>1978.5</f>
        <v>1978.5</v>
      </c>
      <c r="N225" s="34" t="s">
        <v>49</v>
      </c>
      <c r="O225" s="33" t="n">
        <f>1866</f>
        <v>1866.0</v>
      </c>
      <c r="P225" s="34" t="s">
        <v>48</v>
      </c>
      <c r="Q225" s="33" t="n">
        <f>1955</f>
        <v>1955.0</v>
      </c>
      <c r="R225" s="34" t="s">
        <v>163</v>
      </c>
      <c r="S225" s="35" t="n">
        <f>1946.2</f>
        <v>1946.2</v>
      </c>
      <c r="T225" s="32" t="n">
        <f>975460</f>
        <v>975460.0</v>
      </c>
      <c r="U225" s="32" t="n">
        <f>873000</f>
        <v>873000.0</v>
      </c>
      <c r="V225" s="32" t="n">
        <f>1881777105</f>
        <v>1.881777105E9</v>
      </c>
      <c r="W225" s="32" t="n">
        <f>1687410300</f>
        <v>1.6874103E9</v>
      </c>
      <c r="X225" s="36" t="n">
        <f>10</f>
        <v>10.0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26165</f>
        <v>26165.0</v>
      </c>
      <c r="L226" s="34" t="s">
        <v>48</v>
      </c>
      <c r="M226" s="33" t="n">
        <f>27950</f>
        <v>27950.0</v>
      </c>
      <c r="N226" s="34" t="s">
        <v>50</v>
      </c>
      <c r="O226" s="33" t="n">
        <f>26100</f>
        <v>26100.0</v>
      </c>
      <c r="P226" s="34" t="s">
        <v>48</v>
      </c>
      <c r="Q226" s="33" t="n">
        <f>27950</f>
        <v>27950.0</v>
      </c>
      <c r="R226" s="34" t="s">
        <v>50</v>
      </c>
      <c r="S226" s="35" t="n">
        <f>27511.33</f>
        <v>27511.33</v>
      </c>
      <c r="T226" s="32" t="n">
        <f>1658</f>
        <v>1658.0</v>
      </c>
      <c r="U226" s="32" t="str">
        <f>"－"</f>
        <v>－</v>
      </c>
      <c r="V226" s="32" t="n">
        <f>45425295</f>
        <v>4.5425295E7</v>
      </c>
      <c r="W226" s="32" t="str">
        <f>"－"</f>
        <v>－</v>
      </c>
      <c r="X226" s="36" t="n">
        <f>15</f>
        <v>15.0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16840</f>
        <v>16840.0</v>
      </c>
      <c r="L227" s="34" t="s">
        <v>48</v>
      </c>
      <c r="M227" s="33" t="n">
        <f>17715</f>
        <v>17715.0</v>
      </c>
      <c r="N227" s="34" t="s">
        <v>49</v>
      </c>
      <c r="O227" s="33" t="n">
        <f>16840</f>
        <v>16840.0</v>
      </c>
      <c r="P227" s="34" t="s">
        <v>48</v>
      </c>
      <c r="Q227" s="33" t="n">
        <f>17320</f>
        <v>17320.0</v>
      </c>
      <c r="R227" s="34" t="s">
        <v>167</v>
      </c>
      <c r="S227" s="35" t="n">
        <f>17373.75</f>
        <v>17373.75</v>
      </c>
      <c r="T227" s="32" t="n">
        <f>651</f>
        <v>651.0</v>
      </c>
      <c r="U227" s="32" t="str">
        <f>"－"</f>
        <v>－</v>
      </c>
      <c r="V227" s="32" t="n">
        <f>11196680</f>
        <v>1.119668E7</v>
      </c>
      <c r="W227" s="32" t="str">
        <f>"－"</f>
        <v>－</v>
      </c>
      <c r="X227" s="36" t="n">
        <f>8</f>
        <v>8.0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1167.5</f>
        <v>1167.5</v>
      </c>
      <c r="L228" s="34" t="s">
        <v>48</v>
      </c>
      <c r="M228" s="33" t="n">
        <f>1183</f>
        <v>1183.0</v>
      </c>
      <c r="N228" s="34" t="s">
        <v>50</v>
      </c>
      <c r="O228" s="33" t="n">
        <f>1117.5</f>
        <v>1117.5</v>
      </c>
      <c r="P228" s="34" t="s">
        <v>72</v>
      </c>
      <c r="Q228" s="33" t="n">
        <f>1178.5</f>
        <v>1178.5</v>
      </c>
      <c r="R228" s="34" t="s">
        <v>50</v>
      </c>
      <c r="S228" s="35" t="n">
        <f>1147.89</f>
        <v>1147.89</v>
      </c>
      <c r="T228" s="32" t="n">
        <f>866070</f>
        <v>866070.0</v>
      </c>
      <c r="U228" s="32" t="n">
        <f>479000</f>
        <v>479000.0</v>
      </c>
      <c r="V228" s="32" t="n">
        <f>978929890</f>
        <v>9.7892989E8</v>
      </c>
      <c r="W228" s="32" t="n">
        <f>541634800</f>
        <v>5.416348E8</v>
      </c>
      <c r="X228" s="36" t="n">
        <f>9</f>
        <v>9.0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1150.5</f>
        <v>1150.5</v>
      </c>
      <c r="L229" s="34" t="s">
        <v>48</v>
      </c>
      <c r="M229" s="33" t="n">
        <f>1174</f>
        <v>1174.0</v>
      </c>
      <c r="N229" s="34" t="s">
        <v>50</v>
      </c>
      <c r="O229" s="33" t="n">
        <f>1100</f>
        <v>1100.0</v>
      </c>
      <c r="P229" s="34" t="s">
        <v>193</v>
      </c>
      <c r="Q229" s="33" t="n">
        <f>1171</f>
        <v>1171.0</v>
      </c>
      <c r="R229" s="34" t="s">
        <v>50</v>
      </c>
      <c r="S229" s="35" t="n">
        <f>1136.1</f>
        <v>1136.1</v>
      </c>
      <c r="T229" s="32" t="n">
        <f>192270</f>
        <v>192270.0</v>
      </c>
      <c r="U229" s="32" t="n">
        <f>77600</f>
        <v>77600.0</v>
      </c>
      <c r="V229" s="32" t="n">
        <f>215397840</f>
        <v>2.1539784E8</v>
      </c>
      <c r="W229" s="32" t="n">
        <f>85732480</f>
        <v>8.573248E7</v>
      </c>
      <c r="X229" s="36" t="n">
        <f>20</f>
        <v>20.0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1190</f>
        <v>1190.0</v>
      </c>
      <c r="L230" s="34" t="s">
        <v>48</v>
      </c>
      <c r="M230" s="33" t="n">
        <f>1233</f>
        <v>1233.0</v>
      </c>
      <c r="N230" s="34" t="s">
        <v>109</v>
      </c>
      <c r="O230" s="33" t="n">
        <f>1180</f>
        <v>1180.0</v>
      </c>
      <c r="P230" s="34" t="s">
        <v>48</v>
      </c>
      <c r="Q230" s="33" t="n">
        <f>1210</f>
        <v>1210.0</v>
      </c>
      <c r="R230" s="34" t="s">
        <v>50</v>
      </c>
      <c r="S230" s="35" t="n">
        <f>1205.3</f>
        <v>1205.3</v>
      </c>
      <c r="T230" s="32" t="n">
        <f>82492</f>
        <v>82492.0</v>
      </c>
      <c r="U230" s="32" t="n">
        <f>15</f>
        <v>15.0</v>
      </c>
      <c r="V230" s="32" t="n">
        <f>99022715</f>
        <v>9.9022715E7</v>
      </c>
      <c r="W230" s="32" t="n">
        <f>19140</f>
        <v>19140.0</v>
      </c>
      <c r="X230" s="36" t="n">
        <f>20</f>
        <v>20.0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13315</f>
        <v>13315.0</v>
      </c>
      <c r="L231" s="34" t="s">
        <v>48</v>
      </c>
      <c r="M231" s="33" t="n">
        <f>13805</f>
        <v>13805.0</v>
      </c>
      <c r="N231" s="34" t="s">
        <v>49</v>
      </c>
      <c r="O231" s="33" t="n">
        <f>12120</f>
        <v>12120.0</v>
      </c>
      <c r="P231" s="34" t="s">
        <v>50</v>
      </c>
      <c r="Q231" s="33" t="n">
        <f>12560</f>
        <v>12560.0</v>
      </c>
      <c r="R231" s="34" t="s">
        <v>50</v>
      </c>
      <c r="S231" s="35" t="n">
        <f>13104.5</f>
        <v>13104.5</v>
      </c>
      <c r="T231" s="32" t="n">
        <f>3407</f>
        <v>3407.0</v>
      </c>
      <c r="U231" s="32" t="str">
        <f>"－"</f>
        <v>－</v>
      </c>
      <c r="V231" s="32" t="n">
        <f>44462325</f>
        <v>4.4462325E7</v>
      </c>
      <c r="W231" s="32" t="str">
        <f>"－"</f>
        <v>－</v>
      </c>
      <c r="X231" s="36" t="n">
        <f>20</f>
        <v>20.0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2105</f>
        <v>2105.0</v>
      </c>
      <c r="L232" s="34" t="s">
        <v>48</v>
      </c>
      <c r="M232" s="33" t="n">
        <f>2141</f>
        <v>2141.0</v>
      </c>
      <c r="N232" s="34" t="s">
        <v>49</v>
      </c>
      <c r="O232" s="33" t="n">
        <f>1976</f>
        <v>1976.0</v>
      </c>
      <c r="P232" s="34" t="s">
        <v>110</v>
      </c>
      <c r="Q232" s="33" t="n">
        <f>2105</f>
        <v>2105.0</v>
      </c>
      <c r="R232" s="34" t="s">
        <v>50</v>
      </c>
      <c r="S232" s="35" t="n">
        <f>2051.55</f>
        <v>2051.55</v>
      </c>
      <c r="T232" s="32" t="n">
        <f>227220</f>
        <v>227220.0</v>
      </c>
      <c r="U232" s="32" t="n">
        <f>212800</f>
        <v>212800.0</v>
      </c>
      <c r="V232" s="32" t="n">
        <f>480065097</f>
        <v>4.80065097E8</v>
      </c>
      <c r="W232" s="32" t="n">
        <f>450644640</f>
        <v>4.5064464E8</v>
      </c>
      <c r="X232" s="36" t="n">
        <f>20</f>
        <v>20.0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1540.5</f>
        <v>1540.5</v>
      </c>
      <c r="L233" s="34" t="s">
        <v>48</v>
      </c>
      <c r="M233" s="33" t="n">
        <f>1684</f>
        <v>1684.0</v>
      </c>
      <c r="N233" s="34" t="s">
        <v>77</v>
      </c>
      <c r="O233" s="33" t="n">
        <f>1540.5</f>
        <v>1540.5</v>
      </c>
      <c r="P233" s="34" t="s">
        <v>48</v>
      </c>
      <c r="Q233" s="33" t="n">
        <f>1584.5</f>
        <v>1584.5</v>
      </c>
      <c r="R233" s="34" t="s">
        <v>50</v>
      </c>
      <c r="S233" s="35" t="n">
        <f>1621.82</f>
        <v>1621.82</v>
      </c>
      <c r="T233" s="32" t="n">
        <f>1500</f>
        <v>1500.0</v>
      </c>
      <c r="U233" s="32" t="str">
        <f>"－"</f>
        <v>－</v>
      </c>
      <c r="V233" s="32" t="n">
        <f>2429835</f>
        <v>2429835.0</v>
      </c>
      <c r="W233" s="32" t="str">
        <f>"－"</f>
        <v>－</v>
      </c>
      <c r="X233" s="36" t="n">
        <f>17</f>
        <v>17.0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840</f>
        <v>840.0</v>
      </c>
      <c r="L234" s="34" t="s">
        <v>48</v>
      </c>
      <c r="M234" s="33" t="n">
        <f>852.5</f>
        <v>852.5</v>
      </c>
      <c r="N234" s="34" t="s">
        <v>76</v>
      </c>
      <c r="O234" s="33" t="n">
        <f>824</f>
        <v>824.0</v>
      </c>
      <c r="P234" s="34" t="s">
        <v>72</v>
      </c>
      <c r="Q234" s="33" t="n">
        <f>835.9</f>
        <v>835.9</v>
      </c>
      <c r="R234" s="34" t="s">
        <v>50</v>
      </c>
      <c r="S234" s="35" t="n">
        <f>836.3</f>
        <v>836.3</v>
      </c>
      <c r="T234" s="32" t="n">
        <f>753220</f>
        <v>753220.0</v>
      </c>
      <c r="U234" s="32" t="n">
        <f>715990</f>
        <v>715990.0</v>
      </c>
      <c r="V234" s="32" t="n">
        <f>628066948</f>
        <v>6.28066948E8</v>
      </c>
      <c r="W234" s="32" t="n">
        <f>596934961</f>
        <v>5.96934961E8</v>
      </c>
      <c r="X234" s="36" t="n">
        <f>20</f>
        <v>20.0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2030</f>
        <v>2030.0</v>
      </c>
      <c r="L235" s="34" t="s">
        <v>48</v>
      </c>
      <c r="M235" s="33" t="n">
        <f>2047</f>
        <v>2047.0</v>
      </c>
      <c r="N235" s="34" t="s">
        <v>109</v>
      </c>
      <c r="O235" s="33" t="n">
        <f>1894.5</f>
        <v>1894.5</v>
      </c>
      <c r="P235" s="34" t="s">
        <v>193</v>
      </c>
      <c r="Q235" s="33" t="n">
        <f>2014</f>
        <v>2014.0</v>
      </c>
      <c r="R235" s="34" t="s">
        <v>50</v>
      </c>
      <c r="S235" s="35" t="n">
        <f>1964.75</f>
        <v>1964.75</v>
      </c>
      <c r="T235" s="32" t="n">
        <f>64670</f>
        <v>64670.0</v>
      </c>
      <c r="U235" s="32" t="n">
        <f>15040</f>
        <v>15040.0</v>
      </c>
      <c r="V235" s="32" t="n">
        <f>126314565</f>
        <v>1.26314565E8</v>
      </c>
      <c r="W235" s="32" t="n">
        <f>28829675</f>
        <v>2.8829675E7</v>
      </c>
      <c r="X235" s="36" t="n">
        <f>20</f>
        <v>20.0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2038.5</f>
        <v>2038.5</v>
      </c>
      <c r="L236" s="34" t="s">
        <v>48</v>
      </c>
      <c r="M236" s="33" t="n">
        <f>2054.5</f>
        <v>2054.5</v>
      </c>
      <c r="N236" s="34" t="s">
        <v>109</v>
      </c>
      <c r="O236" s="33" t="n">
        <f>1888</f>
        <v>1888.0</v>
      </c>
      <c r="P236" s="34" t="s">
        <v>193</v>
      </c>
      <c r="Q236" s="33" t="n">
        <f>2014.5</f>
        <v>2014.5</v>
      </c>
      <c r="R236" s="34" t="s">
        <v>50</v>
      </c>
      <c r="S236" s="35" t="n">
        <f>1961.6</f>
        <v>1961.6</v>
      </c>
      <c r="T236" s="32" t="n">
        <f>684060</f>
        <v>684060.0</v>
      </c>
      <c r="U236" s="32" t="n">
        <f>382680</f>
        <v>382680.0</v>
      </c>
      <c r="V236" s="32" t="n">
        <f>1340837552</f>
        <v>1.340837552E9</v>
      </c>
      <c r="W236" s="32" t="n">
        <f>755435607</f>
        <v>7.55435607E8</v>
      </c>
      <c r="X236" s="36" t="n">
        <f>20</f>
        <v>20.0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1860.5</f>
        <v>1860.5</v>
      </c>
      <c r="L237" s="34" t="s">
        <v>48</v>
      </c>
      <c r="M237" s="33" t="n">
        <f>1959</f>
        <v>1959.0</v>
      </c>
      <c r="N237" s="34" t="s">
        <v>109</v>
      </c>
      <c r="O237" s="33" t="n">
        <f>1853.5</f>
        <v>1853.5</v>
      </c>
      <c r="P237" s="34" t="s">
        <v>48</v>
      </c>
      <c r="Q237" s="33" t="n">
        <f>1939</f>
        <v>1939.0</v>
      </c>
      <c r="R237" s="34" t="s">
        <v>50</v>
      </c>
      <c r="S237" s="35" t="n">
        <f>1916.88</f>
        <v>1916.88</v>
      </c>
      <c r="T237" s="32" t="n">
        <f>24570</f>
        <v>24570.0</v>
      </c>
      <c r="U237" s="32" t="n">
        <f>15840</f>
        <v>15840.0</v>
      </c>
      <c r="V237" s="32" t="n">
        <f>46904696</f>
        <v>4.6904696E7</v>
      </c>
      <c r="W237" s="32" t="n">
        <f>29959581</f>
        <v>2.9959581E7</v>
      </c>
      <c r="X237" s="36" t="n">
        <f>13</f>
        <v>13.0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14920</f>
        <v>14920.0</v>
      </c>
      <c r="L238" s="34" t="s">
        <v>48</v>
      </c>
      <c r="M238" s="33" t="n">
        <f>16620</f>
        <v>16620.0</v>
      </c>
      <c r="N238" s="34" t="s">
        <v>50</v>
      </c>
      <c r="O238" s="33" t="n">
        <f>14845</f>
        <v>14845.0</v>
      </c>
      <c r="P238" s="34" t="s">
        <v>48</v>
      </c>
      <c r="Q238" s="33" t="n">
        <f>16595</f>
        <v>16595.0</v>
      </c>
      <c r="R238" s="34" t="s">
        <v>50</v>
      </c>
      <c r="S238" s="35" t="n">
        <f>15775.5</f>
        <v>15775.5</v>
      </c>
      <c r="T238" s="32" t="n">
        <f>1531007</f>
        <v>1531007.0</v>
      </c>
      <c r="U238" s="32" t="n">
        <f>12999</f>
        <v>12999.0</v>
      </c>
      <c r="V238" s="32" t="n">
        <f>24126916053</f>
        <v>2.4126916053E10</v>
      </c>
      <c r="W238" s="32" t="n">
        <f>199827188</f>
        <v>1.99827188E8</v>
      </c>
      <c r="X238" s="36" t="n">
        <f>20</f>
        <v>20.0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13500</f>
        <v>13500.0</v>
      </c>
      <c r="L239" s="34" t="s">
        <v>48</v>
      </c>
      <c r="M239" s="33" t="n">
        <f>14395</f>
        <v>14395.0</v>
      </c>
      <c r="N239" s="34" t="s">
        <v>50</v>
      </c>
      <c r="O239" s="33" t="n">
        <f>13330</f>
        <v>13330.0</v>
      </c>
      <c r="P239" s="34" t="s">
        <v>48</v>
      </c>
      <c r="Q239" s="33" t="n">
        <f>14345</f>
        <v>14345.0</v>
      </c>
      <c r="R239" s="34" t="s">
        <v>50</v>
      </c>
      <c r="S239" s="35" t="n">
        <f>13973.75</f>
        <v>13973.75</v>
      </c>
      <c r="T239" s="32" t="n">
        <f>147806</f>
        <v>147806.0</v>
      </c>
      <c r="U239" s="32" t="str">
        <f>"－"</f>
        <v>－</v>
      </c>
      <c r="V239" s="32" t="n">
        <f>2053694625</f>
        <v>2.053694625E9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25500</f>
        <v>25500.0</v>
      </c>
      <c r="L240" s="34" t="s">
        <v>77</v>
      </c>
      <c r="M240" s="33" t="n">
        <f>25885</f>
        <v>25885.0</v>
      </c>
      <c r="N240" s="34" t="s">
        <v>129</v>
      </c>
      <c r="O240" s="33" t="n">
        <f>25405</f>
        <v>25405.0</v>
      </c>
      <c r="P240" s="34" t="s">
        <v>77</v>
      </c>
      <c r="Q240" s="33" t="n">
        <f>25655</f>
        <v>25655.0</v>
      </c>
      <c r="R240" s="34" t="s">
        <v>163</v>
      </c>
      <c r="S240" s="35" t="n">
        <f>25576</f>
        <v>25576.0</v>
      </c>
      <c r="T240" s="32" t="n">
        <f>32</f>
        <v>32.0</v>
      </c>
      <c r="U240" s="32" t="str">
        <f>"－"</f>
        <v>－</v>
      </c>
      <c r="V240" s="32" t="n">
        <f>818215</f>
        <v>818215.0</v>
      </c>
      <c r="W240" s="32" t="str">
        <f>"－"</f>
        <v>－</v>
      </c>
      <c r="X240" s="36" t="n">
        <f>5</f>
        <v>5.0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2567</f>
        <v>2567.0</v>
      </c>
      <c r="L241" s="34" t="s">
        <v>48</v>
      </c>
      <c r="M241" s="33" t="n">
        <f>2568</f>
        <v>2568.0</v>
      </c>
      <c r="N241" s="34" t="s">
        <v>76</v>
      </c>
      <c r="O241" s="33" t="n">
        <f>2475</f>
        <v>2475.0</v>
      </c>
      <c r="P241" s="34" t="s">
        <v>193</v>
      </c>
      <c r="Q241" s="33" t="n">
        <f>2533</f>
        <v>2533.0</v>
      </c>
      <c r="R241" s="34" t="s">
        <v>50</v>
      </c>
      <c r="S241" s="35" t="n">
        <f>2526.95</f>
        <v>2526.95</v>
      </c>
      <c r="T241" s="32" t="n">
        <f>206109</f>
        <v>206109.0</v>
      </c>
      <c r="U241" s="32" t="n">
        <f>24932</f>
        <v>24932.0</v>
      </c>
      <c r="V241" s="32" t="n">
        <f>522835095</f>
        <v>5.22835095E8</v>
      </c>
      <c r="W241" s="32" t="n">
        <f>63344089</f>
        <v>6.3344089E7</v>
      </c>
      <c r="X241" s="36" t="n">
        <f>20</f>
        <v>20.0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2429.5</f>
        <v>2429.5</v>
      </c>
      <c r="L242" s="34" t="s">
        <v>48</v>
      </c>
      <c r="M242" s="33" t="n">
        <f>2784.5</f>
        <v>2784.5</v>
      </c>
      <c r="N242" s="34" t="s">
        <v>50</v>
      </c>
      <c r="O242" s="33" t="n">
        <f>2419.5</f>
        <v>2419.5</v>
      </c>
      <c r="P242" s="34" t="s">
        <v>48</v>
      </c>
      <c r="Q242" s="33" t="n">
        <f>2780</f>
        <v>2780.0</v>
      </c>
      <c r="R242" s="34" t="s">
        <v>50</v>
      </c>
      <c r="S242" s="35" t="n">
        <f>2580.85</f>
        <v>2580.85</v>
      </c>
      <c r="T242" s="32" t="n">
        <f>3537820</f>
        <v>3537820.0</v>
      </c>
      <c r="U242" s="32" t="n">
        <f>2524310</f>
        <v>2524310.0</v>
      </c>
      <c r="V242" s="32" t="n">
        <f>9248749124</f>
        <v>9.248749124E9</v>
      </c>
      <c r="W242" s="32" t="n">
        <f>6621533884</f>
        <v>6.621533884E9</v>
      </c>
      <c r="X242" s="36" t="n">
        <f>20</f>
        <v>20.0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227</f>
        <v>227.0</v>
      </c>
      <c r="L243" s="34" t="s">
        <v>48</v>
      </c>
      <c r="M243" s="33" t="n">
        <f>246.9</f>
        <v>246.9</v>
      </c>
      <c r="N243" s="34" t="s">
        <v>50</v>
      </c>
      <c r="O243" s="33" t="n">
        <f>225.5</f>
        <v>225.5</v>
      </c>
      <c r="P243" s="34" t="s">
        <v>48</v>
      </c>
      <c r="Q243" s="33" t="n">
        <f>246.6</f>
        <v>246.6</v>
      </c>
      <c r="R243" s="34" t="s">
        <v>50</v>
      </c>
      <c r="S243" s="35" t="n">
        <f>235.75</f>
        <v>235.75</v>
      </c>
      <c r="T243" s="32" t="n">
        <f>111194030</f>
        <v>1.1119403E8</v>
      </c>
      <c r="U243" s="32" t="n">
        <f>14341670</f>
        <v>1.434167E7</v>
      </c>
      <c r="V243" s="32" t="n">
        <f>26222593958</f>
        <v>2.6222593958E10</v>
      </c>
      <c r="W243" s="32" t="n">
        <f>3398830806</f>
        <v>3.398830806E9</v>
      </c>
      <c r="X243" s="36" t="n">
        <f>20</f>
        <v>20.0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1939</f>
        <v>1939.0</v>
      </c>
      <c r="L244" s="34" t="s">
        <v>48</v>
      </c>
      <c r="M244" s="33" t="n">
        <f>2024</f>
        <v>2024.0</v>
      </c>
      <c r="N244" s="34" t="s">
        <v>109</v>
      </c>
      <c r="O244" s="33" t="n">
        <f>1919</f>
        <v>1919.0</v>
      </c>
      <c r="P244" s="34" t="s">
        <v>60</v>
      </c>
      <c r="Q244" s="33" t="n">
        <f>1950</f>
        <v>1950.0</v>
      </c>
      <c r="R244" s="34" t="s">
        <v>50</v>
      </c>
      <c r="S244" s="35" t="n">
        <f>1971.1</f>
        <v>1971.1</v>
      </c>
      <c r="T244" s="32" t="n">
        <f>428156</f>
        <v>428156.0</v>
      </c>
      <c r="U244" s="32" t="n">
        <f>255017</f>
        <v>255017.0</v>
      </c>
      <c r="V244" s="32" t="n">
        <f>850984477</f>
        <v>8.50984477E8</v>
      </c>
      <c r="W244" s="32" t="n">
        <f>508708962</f>
        <v>5.08708962E8</v>
      </c>
      <c r="X244" s="36" t="n">
        <f>20</f>
        <v>20.0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1066</f>
        <v>1066.0</v>
      </c>
      <c r="L245" s="34" t="s">
        <v>48</v>
      </c>
      <c r="M245" s="33" t="n">
        <f>1093</f>
        <v>1093.0</v>
      </c>
      <c r="N245" s="34" t="s">
        <v>76</v>
      </c>
      <c r="O245" s="33" t="n">
        <f>974</f>
        <v>974.0</v>
      </c>
      <c r="P245" s="34" t="s">
        <v>72</v>
      </c>
      <c r="Q245" s="33" t="n">
        <f>1037</f>
        <v>1037.0</v>
      </c>
      <c r="R245" s="34" t="s">
        <v>50</v>
      </c>
      <c r="S245" s="35" t="n">
        <f>1026</f>
        <v>1026.0</v>
      </c>
      <c r="T245" s="32" t="n">
        <f>352922</f>
        <v>352922.0</v>
      </c>
      <c r="U245" s="32" t="n">
        <f>28148</f>
        <v>28148.0</v>
      </c>
      <c r="V245" s="32" t="n">
        <f>360462899</f>
        <v>3.60462899E8</v>
      </c>
      <c r="W245" s="32" t="n">
        <f>29977951</f>
        <v>2.9977951E7</v>
      </c>
      <c r="X245" s="36" t="n">
        <f>20</f>
        <v>20.0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1105.5</f>
        <v>1105.5</v>
      </c>
      <c r="L246" s="34" t="s">
        <v>48</v>
      </c>
      <c r="M246" s="33" t="n">
        <f>1125</f>
        <v>1125.0</v>
      </c>
      <c r="N246" s="34" t="s">
        <v>109</v>
      </c>
      <c r="O246" s="33" t="n">
        <f>1040.5</f>
        <v>1040.5</v>
      </c>
      <c r="P246" s="34" t="s">
        <v>193</v>
      </c>
      <c r="Q246" s="33" t="n">
        <f>1114</f>
        <v>1114.0</v>
      </c>
      <c r="R246" s="34" t="s">
        <v>50</v>
      </c>
      <c r="S246" s="35" t="n">
        <f>1080.35</f>
        <v>1080.35</v>
      </c>
      <c r="T246" s="32" t="n">
        <f>797100</f>
        <v>797100.0</v>
      </c>
      <c r="U246" s="32" t="n">
        <f>730700</f>
        <v>730700.0</v>
      </c>
      <c r="V246" s="32" t="n">
        <f>856220695</f>
        <v>8.56220695E8</v>
      </c>
      <c r="W246" s="32" t="n">
        <f>783194800</f>
        <v>7.831948E8</v>
      </c>
      <c r="X246" s="36" t="n">
        <f>20</f>
        <v>20.0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239.4</f>
        <v>239.4</v>
      </c>
      <c r="L247" s="34" t="s">
        <v>48</v>
      </c>
      <c r="M247" s="33" t="n">
        <f>245.1</f>
        <v>245.1</v>
      </c>
      <c r="N247" s="34" t="s">
        <v>129</v>
      </c>
      <c r="O247" s="33" t="n">
        <f>233</f>
        <v>233.0</v>
      </c>
      <c r="P247" s="34" t="s">
        <v>48</v>
      </c>
      <c r="Q247" s="33" t="n">
        <f>243.5</f>
        <v>243.5</v>
      </c>
      <c r="R247" s="34" t="s">
        <v>50</v>
      </c>
      <c r="S247" s="35" t="n">
        <f>240.43</f>
        <v>240.43</v>
      </c>
      <c r="T247" s="32" t="n">
        <f>6180</f>
        <v>6180.0</v>
      </c>
      <c r="U247" s="32" t="str">
        <f>"－"</f>
        <v>－</v>
      </c>
      <c r="V247" s="32" t="n">
        <f>1478240</f>
        <v>1478240.0</v>
      </c>
      <c r="W247" s="32" t="str">
        <f>"－"</f>
        <v>－</v>
      </c>
      <c r="X247" s="36" t="n">
        <f>19</f>
        <v>19.0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2712.5</f>
        <v>2712.5</v>
      </c>
      <c r="L248" s="34" t="s">
        <v>48</v>
      </c>
      <c r="M248" s="33" t="n">
        <f>2940</f>
        <v>2940.0</v>
      </c>
      <c r="N248" s="34" t="s">
        <v>50</v>
      </c>
      <c r="O248" s="33" t="n">
        <f>2703.5</f>
        <v>2703.5</v>
      </c>
      <c r="P248" s="34" t="s">
        <v>48</v>
      </c>
      <c r="Q248" s="33" t="n">
        <f>2932.5</f>
        <v>2932.5</v>
      </c>
      <c r="R248" s="34" t="s">
        <v>50</v>
      </c>
      <c r="S248" s="35" t="n">
        <f>2840.48</f>
        <v>2840.48</v>
      </c>
      <c r="T248" s="32" t="n">
        <f>2152950</f>
        <v>2152950.0</v>
      </c>
      <c r="U248" s="32" t="str">
        <f>"－"</f>
        <v>－</v>
      </c>
      <c r="V248" s="32" t="n">
        <f>6066699875</f>
        <v>6.066699875E9</v>
      </c>
      <c r="W248" s="32" t="str">
        <f>"－"</f>
        <v>－</v>
      </c>
      <c r="X248" s="36" t="n">
        <f>20</f>
        <v>20.0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1897.5</f>
        <v>1897.5</v>
      </c>
      <c r="L249" s="34" t="s">
        <v>48</v>
      </c>
      <c r="M249" s="33" t="n">
        <f>2037.5</f>
        <v>2037.5</v>
      </c>
      <c r="N249" s="34" t="s">
        <v>49</v>
      </c>
      <c r="O249" s="33" t="n">
        <f>1869</f>
        <v>1869.0</v>
      </c>
      <c r="P249" s="34" t="s">
        <v>270</v>
      </c>
      <c r="Q249" s="33" t="n">
        <f>2008</f>
        <v>2008.0</v>
      </c>
      <c r="R249" s="34" t="s">
        <v>50</v>
      </c>
      <c r="S249" s="35" t="n">
        <f>1955.5</f>
        <v>1955.5</v>
      </c>
      <c r="T249" s="32" t="n">
        <f>8015640</f>
        <v>8015640.0</v>
      </c>
      <c r="U249" s="32" t="n">
        <f>1577000</f>
        <v>1577000.0</v>
      </c>
      <c r="V249" s="32" t="n">
        <f>15609103872</f>
        <v>1.5609103872E10</v>
      </c>
      <c r="W249" s="32" t="n">
        <f>3074076482</f>
        <v>3.074076482E9</v>
      </c>
      <c r="X249" s="36" t="n">
        <f>20</f>
        <v>20.0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498</v>
      </c>
      <c r="F250" s="29" t="s">
        <v>499</v>
      </c>
      <c r="G250" s="30" t="s">
        <v>46</v>
      </c>
      <c r="H250" s="31"/>
      <c r="I250" s="31" t="s">
        <v>47</v>
      </c>
      <c r="J250" s="32" t="n">
        <v>10.0</v>
      </c>
      <c r="K250" s="33" t="n">
        <f>3210</f>
        <v>3210.0</v>
      </c>
      <c r="L250" s="34" t="s">
        <v>48</v>
      </c>
      <c r="M250" s="33" t="n">
        <f>3225</f>
        <v>3225.0</v>
      </c>
      <c r="N250" s="34" t="s">
        <v>76</v>
      </c>
      <c r="O250" s="33" t="n">
        <f>3185</f>
        <v>3185.0</v>
      </c>
      <c r="P250" s="34" t="s">
        <v>109</v>
      </c>
      <c r="Q250" s="33" t="n">
        <f>3210</f>
        <v>3210.0</v>
      </c>
      <c r="R250" s="34" t="s">
        <v>49</v>
      </c>
      <c r="S250" s="35" t="n">
        <f>3212.5</f>
        <v>3212.5</v>
      </c>
      <c r="T250" s="32" t="n">
        <f>156527</f>
        <v>156527.0</v>
      </c>
      <c r="U250" s="32" t="n">
        <f>76230</f>
        <v>76230.0</v>
      </c>
      <c r="V250" s="32" t="n">
        <f>501804853</f>
        <v>5.01804853E8</v>
      </c>
      <c r="W250" s="32" t="n">
        <f>244368498</f>
        <v>2.44368498E8</v>
      </c>
      <c r="X250" s="36" t="n">
        <f>4</f>
        <v>4.0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498</v>
      </c>
      <c r="F251" s="29" t="s">
        <v>499</v>
      </c>
      <c r="G251" s="30" t="s">
        <v>46</v>
      </c>
      <c r="H251" s="31"/>
      <c r="I251" s="31" t="s">
        <v>47</v>
      </c>
      <c r="J251" s="32" t="n">
        <v>10.0</v>
      </c>
      <c r="K251" s="33" t="n">
        <f>322</f>
        <v>322.0</v>
      </c>
      <c r="L251" s="34" t="s">
        <v>67</v>
      </c>
      <c r="M251" s="33" t="n">
        <f>331.9</f>
        <v>331.9</v>
      </c>
      <c r="N251" s="34" t="s">
        <v>554</v>
      </c>
      <c r="O251" s="33" t="n">
        <f>319.4</f>
        <v>319.4</v>
      </c>
      <c r="P251" s="34" t="s">
        <v>67</v>
      </c>
      <c r="Q251" s="33" t="n">
        <f>325.7</f>
        <v>325.7</v>
      </c>
      <c r="R251" s="34" t="s">
        <v>50</v>
      </c>
      <c r="S251" s="35" t="n">
        <f>325.45</f>
        <v>325.45</v>
      </c>
      <c r="T251" s="32" t="n">
        <f>134705360</f>
        <v>1.3470536E8</v>
      </c>
      <c r="U251" s="32" t="n">
        <f>130308240</f>
        <v>1.3030824E8</v>
      </c>
      <c r="V251" s="32" t="n">
        <f>44002245943</f>
        <v>4.4002245943E10</v>
      </c>
      <c r="W251" s="32" t="n">
        <f>42568635931</f>
        <v>4.2568635931E10</v>
      </c>
      <c r="X251" s="36" t="n">
        <f>16</f>
        <v>16.0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1517</f>
        <v>1517.0</v>
      </c>
      <c r="L252" s="34" t="s">
        <v>48</v>
      </c>
      <c r="M252" s="33" t="n">
        <f>1550</f>
        <v>1550.0</v>
      </c>
      <c r="N252" s="34" t="s">
        <v>76</v>
      </c>
      <c r="O252" s="33" t="n">
        <f>1353</f>
        <v>1353.0</v>
      </c>
      <c r="P252" s="34" t="s">
        <v>193</v>
      </c>
      <c r="Q252" s="33" t="n">
        <f>1410</f>
        <v>1410.0</v>
      </c>
      <c r="R252" s="34" t="s">
        <v>50</v>
      </c>
      <c r="S252" s="35" t="n">
        <f>1445.65</f>
        <v>1445.65</v>
      </c>
      <c r="T252" s="32" t="n">
        <f>2794692</f>
        <v>2794692.0</v>
      </c>
      <c r="U252" s="32" t="str">
        <f>"－"</f>
        <v>－</v>
      </c>
      <c r="V252" s="32" t="n">
        <f>4005583339</f>
        <v>4.005583339E9</v>
      </c>
      <c r="W252" s="32" t="str">
        <f>"－"</f>
        <v>－</v>
      </c>
      <c r="X252" s="36" t="n">
        <f>20</f>
        <v>20.0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1789</f>
        <v>1789.0</v>
      </c>
      <c r="L253" s="34" t="s">
        <v>48</v>
      </c>
      <c r="M253" s="33" t="n">
        <f>1901</f>
        <v>1901.0</v>
      </c>
      <c r="N253" s="34" t="s">
        <v>49</v>
      </c>
      <c r="O253" s="33" t="n">
        <f>1670</f>
        <v>1670.0</v>
      </c>
      <c r="P253" s="34" t="s">
        <v>72</v>
      </c>
      <c r="Q253" s="33" t="n">
        <f>1728</f>
        <v>1728.0</v>
      </c>
      <c r="R253" s="34" t="s">
        <v>50</v>
      </c>
      <c r="S253" s="35" t="n">
        <f>1731.15</f>
        <v>1731.15</v>
      </c>
      <c r="T253" s="32" t="n">
        <f>41460</f>
        <v>41460.0</v>
      </c>
      <c r="U253" s="32" t="str">
        <f>"－"</f>
        <v>－</v>
      </c>
      <c r="V253" s="32" t="n">
        <f>71455915</f>
        <v>7.1455915E7</v>
      </c>
      <c r="W253" s="32" t="str">
        <f>"－"</f>
        <v>－</v>
      </c>
      <c r="X253" s="36" t="n">
        <f>20</f>
        <v>20.0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2104</f>
        <v>2104.0</v>
      </c>
      <c r="L254" s="34" t="s">
        <v>48</v>
      </c>
      <c r="M254" s="33" t="n">
        <f>2137</f>
        <v>2137.0</v>
      </c>
      <c r="N254" s="34" t="s">
        <v>50</v>
      </c>
      <c r="O254" s="33" t="n">
        <f>2068</f>
        <v>2068.0</v>
      </c>
      <c r="P254" s="34" t="s">
        <v>72</v>
      </c>
      <c r="Q254" s="33" t="n">
        <f>2101</f>
        <v>2101.0</v>
      </c>
      <c r="R254" s="34" t="s">
        <v>50</v>
      </c>
      <c r="S254" s="35" t="n">
        <f>2089.83</f>
        <v>2089.83</v>
      </c>
      <c r="T254" s="32" t="n">
        <f>9248</f>
        <v>9248.0</v>
      </c>
      <c r="U254" s="32" t="str">
        <f>"－"</f>
        <v>－</v>
      </c>
      <c r="V254" s="32" t="n">
        <f>19360299</f>
        <v>1.9360299E7</v>
      </c>
      <c r="W254" s="32" t="str">
        <f>"－"</f>
        <v>－</v>
      </c>
      <c r="X254" s="36" t="n">
        <f>12</f>
        <v>12.0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2606</f>
        <v>2606.0</v>
      </c>
      <c r="L255" s="34" t="s">
        <v>48</v>
      </c>
      <c r="M255" s="33" t="n">
        <f>2770</f>
        <v>2770.0</v>
      </c>
      <c r="N255" s="34" t="s">
        <v>50</v>
      </c>
      <c r="O255" s="33" t="n">
        <f>2593</f>
        <v>2593.0</v>
      </c>
      <c r="P255" s="34" t="s">
        <v>48</v>
      </c>
      <c r="Q255" s="33" t="n">
        <f>2768</f>
        <v>2768.0</v>
      </c>
      <c r="R255" s="34" t="s">
        <v>50</v>
      </c>
      <c r="S255" s="35" t="n">
        <f>2712.75</f>
        <v>2712.75</v>
      </c>
      <c r="T255" s="32" t="n">
        <f>482370</f>
        <v>482370.0</v>
      </c>
      <c r="U255" s="32" t="n">
        <f>182000</f>
        <v>182000.0</v>
      </c>
      <c r="V255" s="32" t="n">
        <f>1294362732</f>
        <v>1.294362732E9</v>
      </c>
      <c r="W255" s="32" t="n">
        <f>486693400</f>
        <v>4.866934E8</v>
      </c>
      <c r="X255" s="36" t="n">
        <f>20</f>
        <v>20.0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1848</f>
        <v>1848.0</v>
      </c>
      <c r="L256" s="34" t="s">
        <v>48</v>
      </c>
      <c r="M256" s="33" t="n">
        <f>1945</f>
        <v>1945.0</v>
      </c>
      <c r="N256" s="34" t="s">
        <v>109</v>
      </c>
      <c r="O256" s="33" t="n">
        <f>1837</f>
        <v>1837.0</v>
      </c>
      <c r="P256" s="34" t="s">
        <v>48</v>
      </c>
      <c r="Q256" s="33" t="n">
        <f>1931</f>
        <v>1931.0</v>
      </c>
      <c r="R256" s="34" t="s">
        <v>50</v>
      </c>
      <c r="S256" s="35" t="n">
        <f>1901.95</f>
        <v>1901.95</v>
      </c>
      <c r="T256" s="32" t="n">
        <f>752845</f>
        <v>752845.0</v>
      </c>
      <c r="U256" s="32" t="n">
        <f>293920</f>
        <v>293920.0</v>
      </c>
      <c r="V256" s="32" t="n">
        <f>1429270895</f>
        <v>1.429270895E9</v>
      </c>
      <c r="W256" s="32" t="n">
        <f>556008269</f>
        <v>5.56008269E8</v>
      </c>
      <c r="X256" s="36" t="n">
        <f>20</f>
        <v>20.0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1793</f>
        <v>1793.0</v>
      </c>
      <c r="L257" s="34" t="s">
        <v>48</v>
      </c>
      <c r="M257" s="33" t="n">
        <f>1900</f>
        <v>1900.0</v>
      </c>
      <c r="N257" s="34" t="s">
        <v>129</v>
      </c>
      <c r="O257" s="33" t="n">
        <f>1767</f>
        <v>1767.0</v>
      </c>
      <c r="P257" s="34" t="s">
        <v>48</v>
      </c>
      <c r="Q257" s="33" t="n">
        <f>1891</f>
        <v>1891.0</v>
      </c>
      <c r="R257" s="34" t="s">
        <v>50</v>
      </c>
      <c r="S257" s="35" t="n">
        <f>1858.95</f>
        <v>1858.95</v>
      </c>
      <c r="T257" s="32" t="n">
        <f>20213</f>
        <v>20213.0</v>
      </c>
      <c r="U257" s="32" t="str">
        <f>"－"</f>
        <v>－</v>
      </c>
      <c r="V257" s="32" t="n">
        <f>37140945</f>
        <v>3.7140945E7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1417</f>
        <v>1417.0</v>
      </c>
      <c r="L258" s="34" t="s">
        <v>48</v>
      </c>
      <c r="M258" s="33" t="n">
        <f>1529</f>
        <v>1529.0</v>
      </c>
      <c r="N258" s="34" t="s">
        <v>49</v>
      </c>
      <c r="O258" s="33" t="n">
        <f>1395</f>
        <v>1395.0</v>
      </c>
      <c r="P258" s="34" t="s">
        <v>48</v>
      </c>
      <c r="Q258" s="33" t="n">
        <f>1489</f>
        <v>1489.0</v>
      </c>
      <c r="R258" s="34" t="s">
        <v>50</v>
      </c>
      <c r="S258" s="35" t="n">
        <f>1473.6</f>
        <v>1473.6</v>
      </c>
      <c r="T258" s="32" t="n">
        <f>31707</f>
        <v>31707.0</v>
      </c>
      <c r="U258" s="32" t="str">
        <f>"－"</f>
        <v>－</v>
      </c>
      <c r="V258" s="32" t="n">
        <f>46710063</f>
        <v>4.6710063E7</v>
      </c>
      <c r="W258" s="32" t="str">
        <f>"－"</f>
        <v>－</v>
      </c>
      <c r="X258" s="36" t="n">
        <f>20</f>
        <v>20.0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1946</f>
        <v>1946.0</v>
      </c>
      <c r="L259" s="34" t="s">
        <v>48</v>
      </c>
      <c r="M259" s="33" t="n">
        <f>2160</f>
        <v>2160.0</v>
      </c>
      <c r="N259" s="34" t="s">
        <v>129</v>
      </c>
      <c r="O259" s="33" t="n">
        <f>1830</f>
        <v>1830.0</v>
      </c>
      <c r="P259" s="34" t="s">
        <v>68</v>
      </c>
      <c r="Q259" s="33" t="n">
        <f>2096</f>
        <v>2096.0</v>
      </c>
      <c r="R259" s="34" t="s">
        <v>50</v>
      </c>
      <c r="S259" s="35" t="n">
        <f>2012.85</f>
        <v>2012.85</v>
      </c>
      <c r="T259" s="32" t="n">
        <f>37425</f>
        <v>37425.0</v>
      </c>
      <c r="U259" s="32" t="str">
        <f>"－"</f>
        <v>－</v>
      </c>
      <c r="V259" s="32" t="n">
        <f>75333147</f>
        <v>7.5333147E7</v>
      </c>
      <c r="W259" s="32" t="str">
        <f>"－"</f>
        <v>－</v>
      </c>
      <c r="X259" s="36" t="n">
        <f>20</f>
        <v>20.0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2319</f>
        <v>2319.0</v>
      </c>
      <c r="L260" s="34" t="s">
        <v>48</v>
      </c>
      <c r="M260" s="33" t="n">
        <f>2440</f>
        <v>2440.0</v>
      </c>
      <c r="N260" s="34" t="s">
        <v>49</v>
      </c>
      <c r="O260" s="33" t="n">
        <f>2120</f>
        <v>2120.0</v>
      </c>
      <c r="P260" s="34" t="s">
        <v>50</v>
      </c>
      <c r="Q260" s="33" t="n">
        <f>2140</f>
        <v>2140.0</v>
      </c>
      <c r="R260" s="34" t="s">
        <v>50</v>
      </c>
      <c r="S260" s="35" t="n">
        <f>2296.15</f>
        <v>2296.15</v>
      </c>
      <c r="T260" s="32" t="n">
        <f>17381</f>
        <v>17381.0</v>
      </c>
      <c r="U260" s="32" t="str">
        <f>"－"</f>
        <v>－</v>
      </c>
      <c r="V260" s="32" t="n">
        <f>38899283</f>
        <v>3.8899283E7</v>
      </c>
      <c r="W260" s="32" t="str">
        <f>"－"</f>
        <v>－</v>
      </c>
      <c r="X260" s="36" t="n">
        <f>20</f>
        <v>20.0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9034</f>
        <v>9034.0</v>
      </c>
      <c r="L261" s="34" t="s">
        <v>48</v>
      </c>
      <c r="M261" s="33" t="n">
        <f>9826</f>
        <v>9826.0</v>
      </c>
      <c r="N261" s="34" t="s">
        <v>50</v>
      </c>
      <c r="O261" s="33" t="n">
        <f>8984</f>
        <v>8984.0</v>
      </c>
      <c r="P261" s="34" t="s">
        <v>48</v>
      </c>
      <c r="Q261" s="33" t="n">
        <f>9815</f>
        <v>9815.0</v>
      </c>
      <c r="R261" s="34" t="s">
        <v>50</v>
      </c>
      <c r="S261" s="35" t="n">
        <f>9379.35</f>
        <v>9379.35</v>
      </c>
      <c r="T261" s="32" t="n">
        <f>869758</f>
        <v>869758.0</v>
      </c>
      <c r="U261" s="32" t="n">
        <f>153748</f>
        <v>153748.0</v>
      </c>
      <c r="V261" s="32" t="n">
        <f>8143714271</f>
        <v>8.143714271E9</v>
      </c>
      <c r="W261" s="32" t="n">
        <f>1443267548</f>
        <v>1.443267548E9</v>
      </c>
      <c r="X261" s="36" t="n">
        <f>20</f>
        <v>20.0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11350</f>
        <v>11350.0</v>
      </c>
      <c r="L262" s="34" t="s">
        <v>48</v>
      </c>
      <c r="M262" s="33" t="n">
        <f>12275</f>
        <v>12275.0</v>
      </c>
      <c r="N262" s="34" t="s">
        <v>50</v>
      </c>
      <c r="O262" s="33" t="n">
        <f>11290</f>
        <v>11290.0</v>
      </c>
      <c r="P262" s="34" t="s">
        <v>48</v>
      </c>
      <c r="Q262" s="33" t="n">
        <f>12240</f>
        <v>12240.0</v>
      </c>
      <c r="R262" s="34" t="s">
        <v>50</v>
      </c>
      <c r="S262" s="35" t="n">
        <f>11861.75</f>
        <v>11861.75</v>
      </c>
      <c r="T262" s="32" t="n">
        <f>1053546</f>
        <v>1053546.0</v>
      </c>
      <c r="U262" s="32" t="n">
        <f>10003</f>
        <v>10003.0</v>
      </c>
      <c r="V262" s="32" t="n">
        <f>12484904785</f>
        <v>1.2484904785E10</v>
      </c>
      <c r="W262" s="32" t="n">
        <f>120986100</f>
        <v>1.209861E8</v>
      </c>
      <c r="X262" s="36" t="n">
        <f>20</f>
        <v>20.0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8036</f>
        <v>8036.0</v>
      </c>
      <c r="L263" s="34" t="s">
        <v>48</v>
      </c>
      <c r="M263" s="33" t="n">
        <f>8538</f>
        <v>8538.0</v>
      </c>
      <c r="N263" s="34" t="s">
        <v>49</v>
      </c>
      <c r="O263" s="33" t="n">
        <f>7825</f>
        <v>7825.0</v>
      </c>
      <c r="P263" s="34" t="s">
        <v>270</v>
      </c>
      <c r="Q263" s="33" t="n">
        <f>8410</f>
        <v>8410.0</v>
      </c>
      <c r="R263" s="34" t="s">
        <v>50</v>
      </c>
      <c r="S263" s="35" t="n">
        <f>8190.55</f>
        <v>8190.55</v>
      </c>
      <c r="T263" s="32" t="n">
        <f>1030789</f>
        <v>1030789.0</v>
      </c>
      <c r="U263" s="32" t="n">
        <f>4</f>
        <v>4.0</v>
      </c>
      <c r="V263" s="32" t="n">
        <f>8443640582</f>
        <v>8.443640582E9</v>
      </c>
      <c r="W263" s="32" t="n">
        <f>32292</f>
        <v>32292.0</v>
      </c>
      <c r="X263" s="36" t="n">
        <f>20</f>
        <v>20.0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2387</f>
        <v>2387.0</v>
      </c>
      <c r="L264" s="34" t="s">
        <v>48</v>
      </c>
      <c r="M264" s="33" t="n">
        <f>2662</f>
        <v>2662.0</v>
      </c>
      <c r="N264" s="34" t="s">
        <v>50</v>
      </c>
      <c r="O264" s="33" t="n">
        <f>2377</f>
        <v>2377.0</v>
      </c>
      <c r="P264" s="34" t="s">
        <v>48</v>
      </c>
      <c r="Q264" s="33" t="n">
        <f>2657.5</f>
        <v>2657.5</v>
      </c>
      <c r="R264" s="34" t="s">
        <v>50</v>
      </c>
      <c r="S264" s="35" t="n">
        <f>2525.9</f>
        <v>2525.9</v>
      </c>
      <c r="T264" s="32" t="n">
        <f>1535210</f>
        <v>1535210.0</v>
      </c>
      <c r="U264" s="32" t="n">
        <f>160</f>
        <v>160.0</v>
      </c>
      <c r="V264" s="32" t="n">
        <f>3892602160</f>
        <v>3.89260216E9</v>
      </c>
      <c r="W264" s="32" t="n">
        <f>360320</f>
        <v>360320.0</v>
      </c>
      <c r="X264" s="36" t="n">
        <f>20</f>
        <v>20.0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1765</f>
        <v>1765.0</v>
      </c>
      <c r="L265" s="34" t="s">
        <v>48</v>
      </c>
      <c r="M265" s="33" t="n">
        <f>1922</f>
        <v>1922.0</v>
      </c>
      <c r="N265" s="34" t="s">
        <v>50</v>
      </c>
      <c r="O265" s="33" t="n">
        <f>1754.5</f>
        <v>1754.5</v>
      </c>
      <c r="P265" s="34" t="s">
        <v>48</v>
      </c>
      <c r="Q265" s="33" t="n">
        <f>1919</f>
        <v>1919.0</v>
      </c>
      <c r="R265" s="34" t="s">
        <v>50</v>
      </c>
      <c r="S265" s="35" t="n">
        <f>1834.9</f>
        <v>1834.9</v>
      </c>
      <c r="T265" s="32" t="n">
        <f>7670270</f>
        <v>7670270.0</v>
      </c>
      <c r="U265" s="32" t="n">
        <f>1849010</f>
        <v>1849010.0</v>
      </c>
      <c r="V265" s="32" t="n">
        <f>14040139765</f>
        <v>1.4040139765E10</v>
      </c>
      <c r="W265" s="32" t="n">
        <f>3389452910</f>
        <v>3.38945291E9</v>
      </c>
      <c r="X265" s="36" t="n">
        <f>20</f>
        <v>20.0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2448.5</f>
        <v>2448.5</v>
      </c>
      <c r="L266" s="34" t="s">
        <v>48</v>
      </c>
      <c r="M266" s="33" t="n">
        <f>2746</f>
        <v>2746.0</v>
      </c>
      <c r="N266" s="34" t="s">
        <v>50</v>
      </c>
      <c r="O266" s="33" t="n">
        <f>2443.5</f>
        <v>2443.5</v>
      </c>
      <c r="P266" s="34" t="s">
        <v>48</v>
      </c>
      <c r="Q266" s="33" t="n">
        <f>2739</f>
        <v>2739.0</v>
      </c>
      <c r="R266" s="34" t="s">
        <v>50</v>
      </c>
      <c r="S266" s="35" t="n">
        <f>2604.75</f>
        <v>2604.75</v>
      </c>
      <c r="T266" s="32" t="n">
        <f>454990</f>
        <v>454990.0</v>
      </c>
      <c r="U266" s="32" t="n">
        <f>20</f>
        <v>20.0</v>
      </c>
      <c r="V266" s="32" t="n">
        <f>1190845455</f>
        <v>1.190845455E9</v>
      </c>
      <c r="W266" s="32" t="n">
        <f>50055</f>
        <v>50055.0</v>
      </c>
      <c r="X266" s="36" t="n">
        <f>20</f>
        <v>20.0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2375</f>
        <v>2375.0</v>
      </c>
      <c r="L267" s="34" t="s">
        <v>48</v>
      </c>
      <c r="M267" s="33" t="n">
        <f>2551</f>
        <v>2551.0</v>
      </c>
      <c r="N267" s="34" t="s">
        <v>554</v>
      </c>
      <c r="O267" s="33" t="n">
        <f>2370</f>
        <v>2370.0</v>
      </c>
      <c r="P267" s="34" t="s">
        <v>48</v>
      </c>
      <c r="Q267" s="33" t="n">
        <f>2513</f>
        <v>2513.0</v>
      </c>
      <c r="R267" s="34" t="s">
        <v>50</v>
      </c>
      <c r="S267" s="35" t="n">
        <f>2467.47</f>
        <v>2467.47</v>
      </c>
      <c r="T267" s="32" t="n">
        <f>24987</f>
        <v>24987.0</v>
      </c>
      <c r="U267" s="32" t="str">
        <f>"－"</f>
        <v>－</v>
      </c>
      <c r="V267" s="32" t="n">
        <f>61560323</f>
        <v>6.1560323E7</v>
      </c>
      <c r="W267" s="32" t="str">
        <f>"－"</f>
        <v>－</v>
      </c>
      <c r="X267" s="36" t="n">
        <f>19</f>
        <v>19.0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1515</f>
        <v>1515.0</v>
      </c>
      <c r="L268" s="34" t="s">
        <v>48</v>
      </c>
      <c r="M268" s="33" t="n">
        <f>1609</f>
        <v>1609.0</v>
      </c>
      <c r="N268" s="34" t="s">
        <v>49</v>
      </c>
      <c r="O268" s="33" t="n">
        <f>1497</f>
        <v>1497.0</v>
      </c>
      <c r="P268" s="34" t="s">
        <v>180</v>
      </c>
      <c r="Q268" s="33" t="n">
        <f>1539</f>
        <v>1539.0</v>
      </c>
      <c r="R268" s="34" t="s">
        <v>50</v>
      </c>
      <c r="S268" s="35" t="n">
        <f>1541.6</f>
        <v>1541.6</v>
      </c>
      <c r="T268" s="32" t="n">
        <f>61050</f>
        <v>61050.0</v>
      </c>
      <c r="U268" s="32" t="n">
        <f>1</f>
        <v>1.0</v>
      </c>
      <c r="V268" s="32" t="n">
        <f>92856467</f>
        <v>9.2856467E7</v>
      </c>
      <c r="W268" s="32" t="n">
        <f>1536</f>
        <v>1536.0</v>
      </c>
      <c r="X268" s="36" t="n">
        <f>20</f>
        <v>20.0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1775</f>
        <v>1775.0</v>
      </c>
      <c r="L269" s="34" t="s">
        <v>48</v>
      </c>
      <c r="M269" s="33" t="n">
        <f>1903</f>
        <v>1903.0</v>
      </c>
      <c r="N269" s="34" t="s">
        <v>49</v>
      </c>
      <c r="O269" s="33" t="n">
        <f>1772</f>
        <v>1772.0</v>
      </c>
      <c r="P269" s="34" t="s">
        <v>48</v>
      </c>
      <c r="Q269" s="33" t="n">
        <f>1885</f>
        <v>1885.0</v>
      </c>
      <c r="R269" s="34" t="s">
        <v>50</v>
      </c>
      <c r="S269" s="35" t="n">
        <f>1844.3</f>
        <v>1844.3</v>
      </c>
      <c r="T269" s="32" t="n">
        <f>289286</f>
        <v>289286.0</v>
      </c>
      <c r="U269" s="32" t="str">
        <f>"－"</f>
        <v>－</v>
      </c>
      <c r="V269" s="32" t="n">
        <f>534993017</f>
        <v>5.34993017E8</v>
      </c>
      <c r="W269" s="32" t="str">
        <f>"－"</f>
        <v>－</v>
      </c>
      <c r="X269" s="36" t="n">
        <f>20</f>
        <v>20.0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1560</f>
        <v>1560.0</v>
      </c>
      <c r="L270" s="34" t="s">
        <v>48</v>
      </c>
      <c r="M270" s="33" t="n">
        <f>1666</f>
        <v>1666.0</v>
      </c>
      <c r="N270" s="34" t="s">
        <v>50</v>
      </c>
      <c r="O270" s="33" t="n">
        <f>1545</f>
        <v>1545.0</v>
      </c>
      <c r="P270" s="34" t="s">
        <v>48</v>
      </c>
      <c r="Q270" s="33" t="n">
        <f>1666</f>
        <v>1666.0</v>
      </c>
      <c r="R270" s="34" t="s">
        <v>50</v>
      </c>
      <c r="S270" s="35" t="n">
        <f>1628.2</f>
        <v>1628.2</v>
      </c>
      <c r="T270" s="32" t="n">
        <f>10451</f>
        <v>10451.0</v>
      </c>
      <c r="U270" s="32" t="str">
        <f>"－"</f>
        <v>－</v>
      </c>
      <c r="V270" s="32" t="n">
        <f>16834590</f>
        <v>1.683459E7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2475</f>
        <v>2475.0</v>
      </c>
      <c r="L271" s="34" t="s">
        <v>48</v>
      </c>
      <c r="M271" s="33" t="n">
        <f>2610</f>
        <v>2610.0</v>
      </c>
      <c r="N271" s="34" t="s">
        <v>109</v>
      </c>
      <c r="O271" s="33" t="n">
        <f>2444</f>
        <v>2444.0</v>
      </c>
      <c r="P271" s="34" t="s">
        <v>48</v>
      </c>
      <c r="Q271" s="33" t="n">
        <f>2588</f>
        <v>2588.0</v>
      </c>
      <c r="R271" s="34" t="s">
        <v>50</v>
      </c>
      <c r="S271" s="35" t="n">
        <f>2547.7</f>
        <v>2547.7</v>
      </c>
      <c r="T271" s="32" t="n">
        <f>37928</f>
        <v>37928.0</v>
      </c>
      <c r="U271" s="32" t="str">
        <f>"－"</f>
        <v>－</v>
      </c>
      <c r="V271" s="32" t="n">
        <f>95538484</f>
        <v>9.5538484E7</v>
      </c>
      <c r="W271" s="32" t="str">
        <f>"－"</f>
        <v>－</v>
      </c>
      <c r="X271" s="36" t="n">
        <f>20</f>
        <v>20.0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1885</f>
        <v>1885.0</v>
      </c>
      <c r="L272" s="34" t="s">
        <v>48</v>
      </c>
      <c r="M272" s="33" t="n">
        <f>2010</f>
        <v>2010.0</v>
      </c>
      <c r="N272" s="34" t="s">
        <v>49</v>
      </c>
      <c r="O272" s="33" t="n">
        <f>1885</f>
        <v>1885.0</v>
      </c>
      <c r="P272" s="34" t="s">
        <v>48</v>
      </c>
      <c r="Q272" s="33" t="n">
        <f>2004</f>
        <v>2004.0</v>
      </c>
      <c r="R272" s="34" t="s">
        <v>50</v>
      </c>
      <c r="S272" s="35" t="n">
        <f>1971.5</f>
        <v>1971.5</v>
      </c>
      <c r="T272" s="32" t="n">
        <f>11453</f>
        <v>11453.0</v>
      </c>
      <c r="U272" s="32" t="n">
        <f>2</f>
        <v>2.0</v>
      </c>
      <c r="V272" s="32" t="n">
        <f>22704808</f>
        <v>2.2704808E7</v>
      </c>
      <c r="W272" s="32" t="n">
        <f>3905</f>
        <v>3905.0</v>
      </c>
      <c r="X272" s="36" t="n">
        <f>20</f>
        <v>20.0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24330</f>
        <v>24330.0</v>
      </c>
      <c r="L273" s="34" t="s">
        <v>48</v>
      </c>
      <c r="M273" s="33" t="n">
        <f>25660</f>
        <v>25660.0</v>
      </c>
      <c r="N273" s="34" t="s">
        <v>49</v>
      </c>
      <c r="O273" s="33" t="n">
        <f>24330</f>
        <v>24330.0</v>
      </c>
      <c r="P273" s="34" t="s">
        <v>48</v>
      </c>
      <c r="Q273" s="33" t="n">
        <f>25660</f>
        <v>25660.0</v>
      </c>
      <c r="R273" s="34" t="s">
        <v>50</v>
      </c>
      <c r="S273" s="35" t="n">
        <f>25299.69</f>
        <v>25299.69</v>
      </c>
      <c r="T273" s="32" t="n">
        <f>51</f>
        <v>51.0</v>
      </c>
      <c r="U273" s="32" t="str">
        <f>"－"</f>
        <v>－</v>
      </c>
      <c r="V273" s="32" t="n">
        <f>1293505</f>
        <v>1293505.0</v>
      </c>
      <c r="W273" s="32" t="str">
        <f>"－"</f>
        <v>－</v>
      </c>
      <c r="X273" s="36" t="n">
        <f>16</f>
        <v>16.0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1900</f>
        <v>1900.0</v>
      </c>
      <c r="L274" s="34" t="s">
        <v>48</v>
      </c>
      <c r="M274" s="33" t="n">
        <f>2018</f>
        <v>2018.0</v>
      </c>
      <c r="N274" s="34" t="s">
        <v>78</v>
      </c>
      <c r="O274" s="33" t="n">
        <f>1890</f>
        <v>1890.0</v>
      </c>
      <c r="P274" s="34" t="s">
        <v>48</v>
      </c>
      <c r="Q274" s="33" t="n">
        <f>1974</f>
        <v>1974.0</v>
      </c>
      <c r="R274" s="34" t="s">
        <v>50</v>
      </c>
      <c r="S274" s="35" t="n">
        <f>1960.35</f>
        <v>1960.35</v>
      </c>
      <c r="T274" s="32" t="n">
        <f>84734</f>
        <v>84734.0</v>
      </c>
      <c r="U274" s="32" t="str">
        <f>"－"</f>
        <v>－</v>
      </c>
      <c r="V274" s="32" t="n">
        <f>167073161</f>
        <v>1.67073161E8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1839</f>
        <v>1839.0</v>
      </c>
      <c r="L275" s="34" t="s">
        <v>48</v>
      </c>
      <c r="M275" s="33" t="n">
        <f>2059</f>
        <v>2059.0</v>
      </c>
      <c r="N275" s="34" t="s">
        <v>50</v>
      </c>
      <c r="O275" s="33" t="n">
        <f>1837</f>
        <v>1837.0</v>
      </c>
      <c r="P275" s="34" t="s">
        <v>48</v>
      </c>
      <c r="Q275" s="33" t="n">
        <f>2047</f>
        <v>2047.0</v>
      </c>
      <c r="R275" s="34" t="s">
        <v>50</v>
      </c>
      <c r="S275" s="35" t="n">
        <f>1960.75</f>
        <v>1960.75</v>
      </c>
      <c r="T275" s="32" t="n">
        <f>208400</f>
        <v>208400.0</v>
      </c>
      <c r="U275" s="32" t="n">
        <f>3</f>
        <v>3.0</v>
      </c>
      <c r="V275" s="32" t="n">
        <f>410249352</f>
        <v>4.10249352E8</v>
      </c>
      <c r="W275" s="32" t="n">
        <f>6033</f>
        <v>6033.0</v>
      </c>
      <c r="X275" s="36" t="n">
        <f>20</f>
        <v>20.0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1733</f>
        <v>1733.0</v>
      </c>
      <c r="L276" s="34" t="s">
        <v>48</v>
      </c>
      <c r="M276" s="33" t="n">
        <f>1830</f>
        <v>1830.0</v>
      </c>
      <c r="N276" s="34" t="s">
        <v>77</v>
      </c>
      <c r="O276" s="33" t="n">
        <f>1710</f>
        <v>1710.0</v>
      </c>
      <c r="P276" s="34" t="s">
        <v>48</v>
      </c>
      <c r="Q276" s="33" t="n">
        <f>1806</f>
        <v>1806.0</v>
      </c>
      <c r="R276" s="34" t="s">
        <v>50</v>
      </c>
      <c r="S276" s="35" t="n">
        <f>1796.55</f>
        <v>1796.55</v>
      </c>
      <c r="T276" s="32" t="n">
        <f>18111</f>
        <v>18111.0</v>
      </c>
      <c r="U276" s="32" t="str">
        <f>"－"</f>
        <v>－</v>
      </c>
      <c r="V276" s="32" t="n">
        <f>32861800</f>
        <v>3.28618E7</v>
      </c>
      <c r="W276" s="32" t="str">
        <f>"－"</f>
        <v>－</v>
      </c>
      <c r="X276" s="36" t="n">
        <f>20</f>
        <v>20.0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1298</f>
        <v>1298.0</v>
      </c>
      <c r="L277" s="34" t="s">
        <v>48</v>
      </c>
      <c r="M277" s="33" t="n">
        <f>1375</f>
        <v>1375.0</v>
      </c>
      <c r="N277" s="34" t="s">
        <v>49</v>
      </c>
      <c r="O277" s="33" t="n">
        <f>1291</f>
        <v>1291.0</v>
      </c>
      <c r="P277" s="34" t="s">
        <v>48</v>
      </c>
      <c r="Q277" s="33" t="n">
        <f>1312</f>
        <v>1312.0</v>
      </c>
      <c r="R277" s="34" t="s">
        <v>50</v>
      </c>
      <c r="S277" s="35" t="n">
        <f>1327.35</f>
        <v>1327.35</v>
      </c>
      <c r="T277" s="32" t="n">
        <f>10062</f>
        <v>10062.0</v>
      </c>
      <c r="U277" s="32" t="str">
        <f>"－"</f>
        <v>－</v>
      </c>
      <c r="V277" s="32" t="n">
        <f>13562410</f>
        <v>1.356241E7</v>
      </c>
      <c r="W277" s="32" t="str">
        <f>"－"</f>
        <v>－</v>
      </c>
      <c r="X277" s="36" t="n">
        <f>20</f>
        <v>20.0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5356</f>
        <v>5356.0</v>
      </c>
      <c r="L278" s="34" t="s">
        <v>48</v>
      </c>
      <c r="M278" s="33" t="n">
        <f>5465</f>
        <v>5465.0</v>
      </c>
      <c r="N278" s="34" t="s">
        <v>77</v>
      </c>
      <c r="O278" s="33" t="n">
        <f>5350</f>
        <v>5350.0</v>
      </c>
      <c r="P278" s="34" t="s">
        <v>78</v>
      </c>
      <c r="Q278" s="33" t="n">
        <f>5430</f>
        <v>5430.0</v>
      </c>
      <c r="R278" s="34" t="s">
        <v>50</v>
      </c>
      <c r="S278" s="35" t="n">
        <f>5401.94</f>
        <v>5401.94</v>
      </c>
      <c r="T278" s="32" t="n">
        <f>342590</f>
        <v>342590.0</v>
      </c>
      <c r="U278" s="32" t="n">
        <f>341300</f>
        <v>341300.0</v>
      </c>
      <c r="V278" s="32" t="n">
        <f>1860396220</f>
        <v>1.86039622E9</v>
      </c>
      <c r="W278" s="32" t="n">
        <f>1853421590</f>
        <v>1.85342159E9</v>
      </c>
      <c r="X278" s="36" t="n">
        <f>16</f>
        <v>16.0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4129</f>
        <v>4129.0</v>
      </c>
      <c r="L279" s="34" t="s">
        <v>48</v>
      </c>
      <c r="M279" s="33" t="n">
        <f>4195</f>
        <v>4195.0</v>
      </c>
      <c r="N279" s="34" t="s">
        <v>76</v>
      </c>
      <c r="O279" s="33" t="n">
        <f>3980</f>
        <v>3980.0</v>
      </c>
      <c r="P279" s="34" t="s">
        <v>72</v>
      </c>
      <c r="Q279" s="33" t="n">
        <f>4099</f>
        <v>4099.0</v>
      </c>
      <c r="R279" s="34" t="s">
        <v>60</v>
      </c>
      <c r="S279" s="35" t="n">
        <f>4083.93</f>
        <v>4083.93</v>
      </c>
      <c r="T279" s="32" t="n">
        <f>299610</f>
        <v>299610.0</v>
      </c>
      <c r="U279" s="32" t="n">
        <f>254040</f>
        <v>254040.0</v>
      </c>
      <c r="V279" s="32" t="n">
        <f>1218919290</f>
        <v>1.21891929E9</v>
      </c>
      <c r="W279" s="32" t="n">
        <f>1033065680</f>
        <v>1.03306568E9</v>
      </c>
      <c r="X279" s="36" t="n">
        <f>14</f>
        <v>14.0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688.9</f>
        <v>688.9</v>
      </c>
      <c r="L280" s="34" t="s">
        <v>48</v>
      </c>
      <c r="M280" s="33" t="n">
        <f>696.4</f>
        <v>696.4</v>
      </c>
      <c r="N280" s="34" t="s">
        <v>76</v>
      </c>
      <c r="O280" s="33" t="n">
        <f>665</f>
        <v>665.0</v>
      </c>
      <c r="P280" s="34" t="s">
        <v>72</v>
      </c>
      <c r="Q280" s="33" t="n">
        <f>683</f>
        <v>683.0</v>
      </c>
      <c r="R280" s="34" t="s">
        <v>50</v>
      </c>
      <c r="S280" s="35" t="n">
        <f>679.72</f>
        <v>679.72</v>
      </c>
      <c r="T280" s="32" t="n">
        <f>54610</f>
        <v>54610.0</v>
      </c>
      <c r="U280" s="32" t="str">
        <f>"－"</f>
        <v>－</v>
      </c>
      <c r="V280" s="32" t="n">
        <f>37292585</f>
        <v>3.7292585E7</v>
      </c>
      <c r="W280" s="32" t="str">
        <f>"－"</f>
        <v>－</v>
      </c>
      <c r="X280" s="36" t="n">
        <f>17</f>
        <v>17.0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1980</f>
        <v>1980.0</v>
      </c>
      <c r="L281" s="34" t="s">
        <v>48</v>
      </c>
      <c r="M281" s="33" t="n">
        <f>2164</f>
        <v>2164.0</v>
      </c>
      <c r="N281" s="34" t="s">
        <v>129</v>
      </c>
      <c r="O281" s="33" t="n">
        <f>1975</f>
        <v>1975.0</v>
      </c>
      <c r="P281" s="34" t="s">
        <v>48</v>
      </c>
      <c r="Q281" s="33" t="n">
        <f>2137</f>
        <v>2137.0</v>
      </c>
      <c r="R281" s="34" t="s">
        <v>50</v>
      </c>
      <c r="S281" s="35" t="n">
        <f>2093.89</f>
        <v>2093.89</v>
      </c>
      <c r="T281" s="32" t="n">
        <f>38781</f>
        <v>38781.0</v>
      </c>
      <c r="U281" s="32" t="str">
        <f>"－"</f>
        <v>－</v>
      </c>
      <c r="V281" s="32" t="n">
        <f>80964649</f>
        <v>8.0964649E7</v>
      </c>
      <c r="W281" s="32" t="str">
        <f>"－"</f>
        <v>－</v>
      </c>
      <c r="X281" s="36" t="n">
        <f>18</f>
        <v>18.0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1741</f>
        <v>1741.0</v>
      </c>
      <c r="L282" s="34" t="s">
        <v>48</v>
      </c>
      <c r="M282" s="33" t="n">
        <f>1860</f>
        <v>1860.0</v>
      </c>
      <c r="N282" s="34" t="s">
        <v>49</v>
      </c>
      <c r="O282" s="33" t="n">
        <f>1730</f>
        <v>1730.0</v>
      </c>
      <c r="P282" s="34" t="s">
        <v>48</v>
      </c>
      <c r="Q282" s="33" t="n">
        <f>1843</f>
        <v>1843.0</v>
      </c>
      <c r="R282" s="34" t="s">
        <v>50</v>
      </c>
      <c r="S282" s="35" t="n">
        <f>1806.7</f>
        <v>1806.7</v>
      </c>
      <c r="T282" s="32" t="n">
        <f>9682</f>
        <v>9682.0</v>
      </c>
      <c r="U282" s="32" t="str">
        <f>"－"</f>
        <v>－</v>
      </c>
      <c r="V282" s="32" t="n">
        <f>17406964</f>
        <v>1.7406964E7</v>
      </c>
      <c r="W282" s="32" t="str">
        <f>"－"</f>
        <v>－</v>
      </c>
      <c r="X282" s="36" t="n">
        <f>20</f>
        <v>20.0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8037</f>
        <v>8037.0</v>
      </c>
      <c r="L283" s="34" t="s">
        <v>48</v>
      </c>
      <c r="M283" s="33" t="n">
        <f>8156</f>
        <v>8156.0</v>
      </c>
      <c r="N283" s="34" t="s">
        <v>77</v>
      </c>
      <c r="O283" s="33" t="n">
        <f>7953</f>
        <v>7953.0</v>
      </c>
      <c r="P283" s="34" t="s">
        <v>78</v>
      </c>
      <c r="Q283" s="33" t="n">
        <f>8103</f>
        <v>8103.0</v>
      </c>
      <c r="R283" s="34" t="s">
        <v>50</v>
      </c>
      <c r="S283" s="35" t="n">
        <f>8070.42</f>
        <v>8070.42</v>
      </c>
      <c r="T283" s="32" t="n">
        <f>64745</f>
        <v>64745.0</v>
      </c>
      <c r="U283" s="32" t="n">
        <f>62490</f>
        <v>62490.0</v>
      </c>
      <c r="V283" s="32" t="n">
        <f>523643082</f>
        <v>5.23643082E8</v>
      </c>
      <c r="W283" s="32" t="n">
        <f>505436469</f>
        <v>5.05436469E8</v>
      </c>
      <c r="X283" s="36" t="n">
        <f>19</f>
        <v>19.0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6250</f>
        <v>6250.0</v>
      </c>
      <c r="L284" s="34" t="s">
        <v>76</v>
      </c>
      <c r="M284" s="33" t="n">
        <f>6250</f>
        <v>6250.0</v>
      </c>
      <c r="N284" s="34" t="s">
        <v>76</v>
      </c>
      <c r="O284" s="33" t="n">
        <f>5940</f>
        <v>5940.0</v>
      </c>
      <c r="P284" s="34" t="s">
        <v>72</v>
      </c>
      <c r="Q284" s="33" t="n">
        <f>6057</f>
        <v>6057.0</v>
      </c>
      <c r="R284" s="34" t="s">
        <v>50</v>
      </c>
      <c r="S284" s="35" t="n">
        <f>6083.42</f>
        <v>6083.42</v>
      </c>
      <c r="T284" s="32" t="n">
        <f>165303</f>
        <v>165303.0</v>
      </c>
      <c r="U284" s="32" t="n">
        <f>91045</f>
        <v>91045.0</v>
      </c>
      <c r="V284" s="32" t="n">
        <f>1005862920</f>
        <v>1.00586292E9</v>
      </c>
      <c r="W284" s="32" t="n">
        <f>557054692</f>
        <v>5.57054692E8</v>
      </c>
      <c r="X284" s="36" t="n">
        <f>19</f>
        <v>19.0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14835</f>
        <v>14835.0</v>
      </c>
      <c r="L285" s="34" t="s">
        <v>48</v>
      </c>
      <c r="M285" s="33" t="n">
        <f>16060</f>
        <v>16060.0</v>
      </c>
      <c r="N285" s="34" t="s">
        <v>50</v>
      </c>
      <c r="O285" s="33" t="n">
        <f>14780</f>
        <v>14780.0</v>
      </c>
      <c r="P285" s="34" t="s">
        <v>48</v>
      </c>
      <c r="Q285" s="33" t="n">
        <f>16015</f>
        <v>16015.0</v>
      </c>
      <c r="R285" s="34" t="s">
        <v>50</v>
      </c>
      <c r="S285" s="35" t="n">
        <f>15514.25</f>
        <v>15514.25</v>
      </c>
      <c r="T285" s="32" t="n">
        <f>434899</f>
        <v>434899.0</v>
      </c>
      <c r="U285" s="32" t="str">
        <f>"－"</f>
        <v>－</v>
      </c>
      <c r="V285" s="32" t="n">
        <f>6759912085</f>
        <v>6.759912085E9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7540</f>
        <v>7540.0</v>
      </c>
      <c r="L286" s="34" t="s">
        <v>48</v>
      </c>
      <c r="M286" s="33" t="n">
        <f>8021</f>
        <v>8021.0</v>
      </c>
      <c r="N286" s="34" t="s">
        <v>49</v>
      </c>
      <c r="O286" s="33" t="n">
        <f>7348</f>
        <v>7348.0</v>
      </c>
      <c r="P286" s="34" t="s">
        <v>270</v>
      </c>
      <c r="Q286" s="33" t="n">
        <f>7903</f>
        <v>7903.0</v>
      </c>
      <c r="R286" s="34" t="s">
        <v>50</v>
      </c>
      <c r="S286" s="35" t="n">
        <f>7695.65</f>
        <v>7695.65</v>
      </c>
      <c r="T286" s="32" t="n">
        <f>994923</f>
        <v>994923.0</v>
      </c>
      <c r="U286" s="32" t="str">
        <f>"－"</f>
        <v>－</v>
      </c>
      <c r="V286" s="32" t="n">
        <f>7638573829</f>
        <v>7.638573829E9</v>
      </c>
      <c r="W286" s="32" t="str">
        <f>"－"</f>
        <v>－</v>
      </c>
      <c r="X286" s="36" t="n">
        <f>20</f>
        <v>20.0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34080</f>
        <v>34080.0</v>
      </c>
      <c r="L287" s="34" t="s">
        <v>48</v>
      </c>
      <c r="M287" s="33" t="n">
        <f>34470</f>
        <v>34470.0</v>
      </c>
      <c r="N287" s="34" t="s">
        <v>270</v>
      </c>
      <c r="O287" s="33" t="n">
        <f>31720</f>
        <v>31720.0</v>
      </c>
      <c r="P287" s="34" t="s">
        <v>49</v>
      </c>
      <c r="Q287" s="33" t="n">
        <f>32000</f>
        <v>32000.0</v>
      </c>
      <c r="R287" s="34" t="s">
        <v>50</v>
      </c>
      <c r="S287" s="35" t="n">
        <f>32979.5</f>
        <v>32979.5</v>
      </c>
      <c r="T287" s="32" t="n">
        <f>1093543</f>
        <v>1093543.0</v>
      </c>
      <c r="U287" s="32" t="n">
        <f>386243</f>
        <v>386243.0</v>
      </c>
      <c r="V287" s="32" t="n">
        <f>36387302617</f>
        <v>3.6387302617E10</v>
      </c>
      <c r="W287" s="32" t="n">
        <f>12893068747</f>
        <v>1.2893068747E10</v>
      </c>
      <c r="X287" s="36" t="n">
        <f>20</f>
        <v>20.0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4409</f>
        <v>4409.0</v>
      </c>
      <c r="L288" s="34" t="s">
        <v>49</v>
      </c>
      <c r="M288" s="33" t="n">
        <f>4411</f>
        <v>4411.0</v>
      </c>
      <c r="N288" s="34" t="s">
        <v>50</v>
      </c>
      <c r="O288" s="33" t="n">
        <f>4263</f>
        <v>4263.0</v>
      </c>
      <c r="P288" s="34" t="s">
        <v>72</v>
      </c>
      <c r="Q288" s="33" t="n">
        <f>4411</f>
        <v>4411.0</v>
      </c>
      <c r="R288" s="34" t="s">
        <v>50</v>
      </c>
      <c r="S288" s="35" t="n">
        <f>4342.64</f>
        <v>4342.64</v>
      </c>
      <c r="T288" s="32" t="n">
        <f>220</f>
        <v>220.0</v>
      </c>
      <c r="U288" s="32" t="str">
        <f>"－"</f>
        <v>－</v>
      </c>
      <c r="V288" s="32" t="n">
        <f>952750</f>
        <v>952750.0</v>
      </c>
      <c r="W288" s="32" t="str">
        <f>"－"</f>
        <v>－</v>
      </c>
      <c r="X288" s="36" t="n">
        <f>11</f>
        <v>11.0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4989</f>
        <v>4989.0</v>
      </c>
      <c r="L289" s="34" t="s">
        <v>48</v>
      </c>
      <c r="M289" s="33" t="n">
        <f>5200</f>
        <v>5200.0</v>
      </c>
      <c r="N289" s="34" t="s">
        <v>49</v>
      </c>
      <c r="O289" s="33" t="n">
        <f>4820</f>
        <v>4820.0</v>
      </c>
      <c r="P289" s="34" t="s">
        <v>78</v>
      </c>
      <c r="Q289" s="33" t="n">
        <f>5130</f>
        <v>5130.0</v>
      </c>
      <c r="R289" s="34" t="s">
        <v>50</v>
      </c>
      <c r="S289" s="35" t="n">
        <f>4984.65</f>
        <v>4984.65</v>
      </c>
      <c r="T289" s="32" t="n">
        <f>574770</f>
        <v>574770.0</v>
      </c>
      <c r="U289" s="32" t="n">
        <f>549000</f>
        <v>549000.0</v>
      </c>
      <c r="V289" s="32" t="n">
        <f>2846760933</f>
        <v>2.846760933E9</v>
      </c>
      <c r="W289" s="32" t="n">
        <f>2720368123</f>
        <v>2.720368123E9</v>
      </c>
      <c r="X289" s="36" t="n">
        <f>20</f>
        <v>20.0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1557</f>
        <v>1557.0</v>
      </c>
      <c r="L290" s="34" t="s">
        <v>48</v>
      </c>
      <c r="M290" s="33" t="n">
        <f>1673.5</f>
        <v>1673.5</v>
      </c>
      <c r="N290" s="34" t="s">
        <v>49</v>
      </c>
      <c r="O290" s="33" t="n">
        <f>1533</f>
        <v>1533.0</v>
      </c>
      <c r="P290" s="34" t="s">
        <v>270</v>
      </c>
      <c r="Q290" s="33" t="n">
        <f>1645.5</f>
        <v>1645.5</v>
      </c>
      <c r="R290" s="34" t="s">
        <v>50</v>
      </c>
      <c r="S290" s="35" t="n">
        <f>1606.65</f>
        <v>1606.65</v>
      </c>
      <c r="T290" s="32" t="n">
        <f>8961110</f>
        <v>8961110.0</v>
      </c>
      <c r="U290" s="32" t="n">
        <f>6270000</f>
        <v>6270000.0</v>
      </c>
      <c r="V290" s="32" t="n">
        <f>14346536236</f>
        <v>1.4346536236E10</v>
      </c>
      <c r="W290" s="32" t="n">
        <f>10034335431</f>
        <v>1.0034335431E10</v>
      </c>
      <c r="X290" s="36" t="n">
        <f>20</f>
        <v>20.0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1668.5</f>
        <v>1668.5</v>
      </c>
      <c r="L291" s="34" t="s">
        <v>48</v>
      </c>
      <c r="M291" s="33" t="n">
        <f>1912</f>
        <v>1912.0</v>
      </c>
      <c r="N291" s="34" t="s">
        <v>50</v>
      </c>
      <c r="O291" s="33" t="n">
        <f>1661.5</f>
        <v>1661.5</v>
      </c>
      <c r="P291" s="34" t="s">
        <v>48</v>
      </c>
      <c r="Q291" s="33" t="n">
        <f>1911</f>
        <v>1911.0</v>
      </c>
      <c r="R291" s="34" t="s">
        <v>50</v>
      </c>
      <c r="S291" s="35" t="n">
        <f>1772.9</f>
        <v>1772.9</v>
      </c>
      <c r="T291" s="32" t="n">
        <f>1347880</f>
        <v>1347880.0</v>
      </c>
      <c r="U291" s="32" t="n">
        <f>1170000</f>
        <v>1170000.0</v>
      </c>
      <c r="V291" s="32" t="n">
        <f>2317731890</f>
        <v>2.31773189E9</v>
      </c>
      <c r="W291" s="32" t="n">
        <f>1996371000</f>
        <v>1.996371E9</v>
      </c>
      <c r="X291" s="36" t="n">
        <f>20</f>
        <v>20.0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1508</f>
        <v>1508.0</v>
      </c>
      <c r="L292" s="34" t="s">
        <v>48</v>
      </c>
      <c r="M292" s="33" t="n">
        <f>1599</f>
        <v>1599.0</v>
      </c>
      <c r="N292" s="34" t="s">
        <v>49</v>
      </c>
      <c r="O292" s="33" t="n">
        <f>1503</f>
        <v>1503.0</v>
      </c>
      <c r="P292" s="34" t="s">
        <v>48</v>
      </c>
      <c r="Q292" s="33" t="n">
        <f>1582</f>
        <v>1582.0</v>
      </c>
      <c r="R292" s="34" t="s">
        <v>50</v>
      </c>
      <c r="S292" s="35" t="n">
        <f>1566.8</f>
        <v>1566.8</v>
      </c>
      <c r="T292" s="32" t="n">
        <f>2871</f>
        <v>2871.0</v>
      </c>
      <c r="U292" s="32" t="str">
        <f>"－"</f>
        <v>－</v>
      </c>
      <c r="V292" s="32" t="n">
        <f>4417243</f>
        <v>4417243.0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1455</f>
        <v>1455.0</v>
      </c>
      <c r="L293" s="34" t="s">
        <v>48</v>
      </c>
      <c r="M293" s="33" t="n">
        <f>1546</f>
        <v>1546.0</v>
      </c>
      <c r="N293" s="34" t="s">
        <v>49</v>
      </c>
      <c r="O293" s="33" t="n">
        <f>1455</f>
        <v>1455.0</v>
      </c>
      <c r="P293" s="34" t="s">
        <v>48</v>
      </c>
      <c r="Q293" s="33" t="n">
        <f>1533</f>
        <v>1533.0</v>
      </c>
      <c r="R293" s="34" t="s">
        <v>50</v>
      </c>
      <c r="S293" s="35" t="n">
        <f>1515.63</f>
        <v>1515.63</v>
      </c>
      <c r="T293" s="32" t="n">
        <f>82670</f>
        <v>82670.0</v>
      </c>
      <c r="U293" s="32" t="str">
        <f>"－"</f>
        <v>－</v>
      </c>
      <c r="V293" s="32" t="n">
        <f>123319960</f>
        <v>1.2331996E8</v>
      </c>
      <c r="W293" s="32" t="str">
        <f>"－"</f>
        <v>－</v>
      </c>
      <c r="X293" s="36" t="n">
        <f>19</f>
        <v>19.0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3135</f>
        <v>3135.0</v>
      </c>
      <c r="L294" s="34" t="s">
        <v>48</v>
      </c>
      <c r="M294" s="33" t="n">
        <f>3390</f>
        <v>3390.0</v>
      </c>
      <c r="N294" s="34" t="s">
        <v>554</v>
      </c>
      <c r="O294" s="33" t="n">
        <f>3100</f>
        <v>3100.0</v>
      </c>
      <c r="P294" s="34" t="s">
        <v>48</v>
      </c>
      <c r="Q294" s="33" t="n">
        <f>3165</f>
        <v>3165.0</v>
      </c>
      <c r="R294" s="34" t="s">
        <v>50</v>
      </c>
      <c r="S294" s="35" t="n">
        <f>3188.75</f>
        <v>3188.75</v>
      </c>
      <c r="T294" s="32" t="n">
        <f>7160</f>
        <v>7160.0</v>
      </c>
      <c r="U294" s="32" t="str">
        <f>"－"</f>
        <v>－</v>
      </c>
      <c r="V294" s="32" t="n">
        <f>22770090</f>
        <v>2.277009E7</v>
      </c>
      <c r="W294" s="32" t="str">
        <f>"－"</f>
        <v>－</v>
      </c>
      <c r="X294" s="36" t="n">
        <f>20</f>
        <v>20.0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1880.5</f>
        <v>1880.5</v>
      </c>
      <c r="L295" s="34" t="s">
        <v>48</v>
      </c>
      <c r="M295" s="33" t="n">
        <f>2005</f>
        <v>2005.0</v>
      </c>
      <c r="N295" s="34" t="s">
        <v>50</v>
      </c>
      <c r="O295" s="33" t="n">
        <f>1880.5</f>
        <v>1880.5</v>
      </c>
      <c r="P295" s="34" t="s">
        <v>48</v>
      </c>
      <c r="Q295" s="33" t="n">
        <f>2005</f>
        <v>2005.0</v>
      </c>
      <c r="R295" s="34" t="s">
        <v>50</v>
      </c>
      <c r="S295" s="35" t="n">
        <f>1962.15</f>
        <v>1962.15</v>
      </c>
      <c r="T295" s="32" t="n">
        <f>12950</f>
        <v>12950.0</v>
      </c>
      <c r="U295" s="32" t="str">
        <f>"－"</f>
        <v>－</v>
      </c>
      <c r="V295" s="32" t="n">
        <f>24539325</f>
        <v>2.4539325E7</v>
      </c>
      <c r="W295" s="32" t="str">
        <f>"－"</f>
        <v>－</v>
      </c>
      <c r="X295" s="36" t="n">
        <f>10</f>
        <v>10.0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184.1</f>
        <v>184.1</v>
      </c>
      <c r="L296" s="34" t="s">
        <v>48</v>
      </c>
      <c r="M296" s="33" t="n">
        <f>209.1</f>
        <v>209.1</v>
      </c>
      <c r="N296" s="34" t="s">
        <v>129</v>
      </c>
      <c r="O296" s="33" t="n">
        <f>184</f>
        <v>184.0</v>
      </c>
      <c r="P296" s="34" t="s">
        <v>48</v>
      </c>
      <c r="Q296" s="33" t="n">
        <f>197.1</f>
        <v>197.1</v>
      </c>
      <c r="R296" s="34" t="s">
        <v>50</v>
      </c>
      <c r="S296" s="35" t="n">
        <f>194.99</f>
        <v>194.99</v>
      </c>
      <c r="T296" s="32" t="n">
        <f>8370</f>
        <v>8370.0</v>
      </c>
      <c r="U296" s="32" t="str">
        <f>"－"</f>
        <v>－</v>
      </c>
      <c r="V296" s="32" t="n">
        <f>1643326</f>
        <v>1643326.0</v>
      </c>
      <c r="W296" s="32" t="str">
        <f>"－"</f>
        <v>－</v>
      </c>
      <c r="X296" s="36" t="n">
        <f>20</f>
        <v>20.0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201</f>
        <v>201.0</v>
      </c>
      <c r="L297" s="34" t="s">
        <v>48</v>
      </c>
      <c r="M297" s="33" t="n">
        <f>203</f>
        <v>203.0</v>
      </c>
      <c r="N297" s="34" t="s">
        <v>76</v>
      </c>
      <c r="O297" s="33" t="n">
        <f>189</f>
        <v>189.0</v>
      </c>
      <c r="P297" s="34" t="s">
        <v>110</v>
      </c>
      <c r="Q297" s="33" t="n">
        <f>199.8</f>
        <v>199.8</v>
      </c>
      <c r="R297" s="34" t="s">
        <v>50</v>
      </c>
      <c r="S297" s="35" t="n">
        <f>196.63</f>
        <v>196.63</v>
      </c>
      <c r="T297" s="32" t="n">
        <f>2159960</f>
        <v>2159960.0</v>
      </c>
      <c r="U297" s="32" t="n">
        <f>2143810</f>
        <v>2143810.0</v>
      </c>
      <c r="V297" s="32" t="n">
        <f>402982824</f>
        <v>4.02982824E8</v>
      </c>
      <c r="W297" s="32" t="n">
        <f>399820546</f>
        <v>3.99820546E8</v>
      </c>
      <c r="X297" s="36" t="n">
        <f>20</f>
        <v>20.0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727.2</f>
        <v>727.2</v>
      </c>
      <c r="L298" s="34" t="s">
        <v>48</v>
      </c>
      <c r="M298" s="33" t="n">
        <f>730</f>
        <v>730.0</v>
      </c>
      <c r="N298" s="34" t="s">
        <v>60</v>
      </c>
      <c r="O298" s="33" t="n">
        <f>703.4</f>
        <v>703.4</v>
      </c>
      <c r="P298" s="34" t="s">
        <v>110</v>
      </c>
      <c r="Q298" s="33" t="n">
        <f>727.3</f>
        <v>727.3</v>
      </c>
      <c r="R298" s="34" t="s">
        <v>50</v>
      </c>
      <c r="S298" s="35" t="n">
        <f>715.48</f>
        <v>715.48</v>
      </c>
      <c r="T298" s="32" t="n">
        <f>52740</f>
        <v>52740.0</v>
      </c>
      <c r="U298" s="32" t="n">
        <f>50720</f>
        <v>50720.0</v>
      </c>
      <c r="V298" s="32" t="n">
        <f>37205639</f>
        <v>3.7205639E7</v>
      </c>
      <c r="W298" s="32" t="n">
        <f>35754822</f>
        <v>3.5754822E7</v>
      </c>
      <c r="X298" s="36" t="n">
        <f>16</f>
        <v>16.0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968</f>
        <v>968.0</v>
      </c>
      <c r="L299" s="34" t="s">
        <v>48</v>
      </c>
      <c r="M299" s="33" t="n">
        <f>1046</f>
        <v>1046.0</v>
      </c>
      <c r="N299" s="34" t="s">
        <v>49</v>
      </c>
      <c r="O299" s="33" t="n">
        <f>968</f>
        <v>968.0</v>
      </c>
      <c r="P299" s="34" t="s">
        <v>48</v>
      </c>
      <c r="Q299" s="33" t="n">
        <f>1037</f>
        <v>1037.0</v>
      </c>
      <c r="R299" s="34" t="s">
        <v>50</v>
      </c>
      <c r="S299" s="35" t="n">
        <f>1014.55</f>
        <v>1014.55</v>
      </c>
      <c r="T299" s="32" t="n">
        <f>74505</f>
        <v>74505.0</v>
      </c>
      <c r="U299" s="32" t="str">
        <f>"－"</f>
        <v>－</v>
      </c>
      <c r="V299" s="32" t="n">
        <f>75801331</f>
        <v>7.5801331E7</v>
      </c>
      <c r="W299" s="32" t="str">
        <f>"－"</f>
        <v>－</v>
      </c>
      <c r="X299" s="36" t="n">
        <f>20</f>
        <v>20.0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1026</f>
        <v>1026.0</v>
      </c>
      <c r="L300" s="34" t="s">
        <v>48</v>
      </c>
      <c r="M300" s="33" t="n">
        <f>1043</f>
        <v>1043.0</v>
      </c>
      <c r="N300" s="34" t="s">
        <v>109</v>
      </c>
      <c r="O300" s="33" t="n">
        <f>962</f>
        <v>962.0</v>
      </c>
      <c r="P300" s="34" t="s">
        <v>72</v>
      </c>
      <c r="Q300" s="33" t="n">
        <f>1030</f>
        <v>1030.0</v>
      </c>
      <c r="R300" s="34" t="s">
        <v>50</v>
      </c>
      <c r="S300" s="35" t="n">
        <f>1002.8</f>
        <v>1002.8</v>
      </c>
      <c r="T300" s="32" t="n">
        <f>452805</f>
        <v>452805.0</v>
      </c>
      <c r="U300" s="32" t="n">
        <f>80000</f>
        <v>80000.0</v>
      </c>
      <c r="V300" s="32" t="n">
        <f>450502052</f>
        <v>4.50502052E8</v>
      </c>
      <c r="W300" s="32" t="n">
        <f>79470000</f>
        <v>7.947E7</v>
      </c>
      <c r="X300" s="36" t="n">
        <f>20</f>
        <v>20.0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798.4</f>
        <v>798.4</v>
      </c>
      <c r="L301" s="34" t="s">
        <v>48</v>
      </c>
      <c r="M301" s="33" t="n">
        <f>798.4</f>
        <v>798.4</v>
      </c>
      <c r="N301" s="34" t="s">
        <v>48</v>
      </c>
      <c r="O301" s="33" t="n">
        <f>740.6</f>
        <v>740.6</v>
      </c>
      <c r="P301" s="34" t="s">
        <v>72</v>
      </c>
      <c r="Q301" s="33" t="n">
        <f>750.6</f>
        <v>750.6</v>
      </c>
      <c r="R301" s="34" t="s">
        <v>50</v>
      </c>
      <c r="S301" s="35" t="n">
        <f>752.06</f>
        <v>752.06</v>
      </c>
      <c r="T301" s="32" t="n">
        <f>2224480</f>
        <v>2224480.0</v>
      </c>
      <c r="U301" s="32" t="n">
        <f>1992380</f>
        <v>1992380.0</v>
      </c>
      <c r="V301" s="32" t="n">
        <f>1674159465</f>
        <v>1.674159465E9</v>
      </c>
      <c r="W301" s="32" t="n">
        <f>1499582210</f>
        <v>1.49958221E9</v>
      </c>
      <c r="X301" s="36" t="n">
        <f>20</f>
        <v>20.0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741</f>
        <v>741.0</v>
      </c>
      <c r="L302" s="34" t="s">
        <v>48</v>
      </c>
      <c r="M302" s="33" t="n">
        <f>771.2</f>
        <v>771.2</v>
      </c>
      <c r="N302" s="34" t="s">
        <v>109</v>
      </c>
      <c r="O302" s="33" t="n">
        <f>720</f>
        <v>720.0</v>
      </c>
      <c r="P302" s="34" t="s">
        <v>72</v>
      </c>
      <c r="Q302" s="33" t="n">
        <f>740.1</f>
        <v>740.1</v>
      </c>
      <c r="R302" s="34" t="s">
        <v>50</v>
      </c>
      <c r="S302" s="35" t="n">
        <f>735.67</f>
        <v>735.67</v>
      </c>
      <c r="T302" s="32" t="n">
        <f>2344380</f>
        <v>2344380.0</v>
      </c>
      <c r="U302" s="32" t="n">
        <f>2072090</f>
        <v>2072090.0</v>
      </c>
      <c r="V302" s="32" t="n">
        <f>1731709558</f>
        <v>1.731709558E9</v>
      </c>
      <c r="W302" s="32" t="n">
        <f>1530764250</f>
        <v>1.53076425E9</v>
      </c>
      <c r="X302" s="36" t="n">
        <f>19</f>
        <v>19.0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950</f>
        <v>950.0</v>
      </c>
      <c r="L303" s="34" t="s">
        <v>48</v>
      </c>
      <c r="M303" s="33" t="n">
        <f>1008</f>
        <v>1008.0</v>
      </c>
      <c r="N303" s="34" t="s">
        <v>49</v>
      </c>
      <c r="O303" s="33" t="n">
        <f>946</f>
        <v>946.0</v>
      </c>
      <c r="P303" s="34" t="s">
        <v>48</v>
      </c>
      <c r="Q303" s="33" t="n">
        <f>1008</f>
        <v>1008.0</v>
      </c>
      <c r="R303" s="34" t="s">
        <v>50</v>
      </c>
      <c r="S303" s="35" t="n">
        <f>995.9</f>
        <v>995.9</v>
      </c>
      <c r="T303" s="32" t="n">
        <f>100155</f>
        <v>100155.0</v>
      </c>
      <c r="U303" s="32" t="str">
        <f>"－"</f>
        <v>－</v>
      </c>
      <c r="V303" s="32" t="n">
        <f>98416714</f>
        <v>9.8416714E7</v>
      </c>
      <c r="W303" s="32" t="str">
        <f>"－"</f>
        <v>－</v>
      </c>
      <c r="X303" s="36" t="n">
        <f>20</f>
        <v>20.0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1822.5</f>
        <v>1822.5</v>
      </c>
      <c r="L304" s="34" t="s">
        <v>48</v>
      </c>
      <c r="M304" s="33" t="n">
        <f>2031</f>
        <v>2031.0</v>
      </c>
      <c r="N304" s="34" t="s">
        <v>50</v>
      </c>
      <c r="O304" s="33" t="n">
        <f>1811.5</f>
        <v>1811.5</v>
      </c>
      <c r="P304" s="34" t="s">
        <v>48</v>
      </c>
      <c r="Q304" s="33" t="n">
        <f>2027.5</f>
        <v>2027.5</v>
      </c>
      <c r="R304" s="34" t="s">
        <v>50</v>
      </c>
      <c r="S304" s="35" t="n">
        <f>1918.75</f>
        <v>1918.75</v>
      </c>
      <c r="T304" s="32" t="n">
        <f>6350</f>
        <v>6350.0</v>
      </c>
      <c r="U304" s="32" t="str">
        <f>"－"</f>
        <v>－</v>
      </c>
      <c r="V304" s="32" t="n">
        <f>11999240</f>
        <v>1.199924E7</v>
      </c>
      <c r="W304" s="32" t="str">
        <f>"－"</f>
        <v>－</v>
      </c>
      <c r="X304" s="36" t="n">
        <f>16</f>
        <v>16.0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1809</f>
        <v>1809.0</v>
      </c>
      <c r="L305" s="34" t="s">
        <v>48</v>
      </c>
      <c r="M305" s="33" t="n">
        <f>2045.5</f>
        <v>2045.5</v>
      </c>
      <c r="N305" s="34" t="s">
        <v>50</v>
      </c>
      <c r="O305" s="33" t="n">
        <f>1809</f>
        <v>1809.0</v>
      </c>
      <c r="P305" s="34" t="s">
        <v>48</v>
      </c>
      <c r="Q305" s="33" t="n">
        <f>2040.5</f>
        <v>2040.5</v>
      </c>
      <c r="R305" s="34" t="s">
        <v>50</v>
      </c>
      <c r="S305" s="35" t="n">
        <f>1933.67</f>
        <v>1933.67</v>
      </c>
      <c r="T305" s="32" t="n">
        <f>13160</f>
        <v>13160.0</v>
      </c>
      <c r="U305" s="32" t="str">
        <f>"－"</f>
        <v>－</v>
      </c>
      <c r="V305" s="32" t="n">
        <f>25694840</f>
        <v>2.569484E7</v>
      </c>
      <c r="W305" s="32" t="str">
        <f>"－"</f>
        <v>－</v>
      </c>
      <c r="X305" s="36" t="n">
        <f>18</f>
        <v>18.0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4842</f>
        <v>4842.0</v>
      </c>
      <c r="L306" s="34" t="s">
        <v>76</v>
      </c>
      <c r="M306" s="33" t="n">
        <f>5000</f>
        <v>5000.0</v>
      </c>
      <c r="N306" s="34" t="s">
        <v>60</v>
      </c>
      <c r="O306" s="33" t="n">
        <f>4685</f>
        <v>4685.0</v>
      </c>
      <c r="P306" s="34" t="s">
        <v>78</v>
      </c>
      <c r="Q306" s="33" t="n">
        <f>4975</f>
        <v>4975.0</v>
      </c>
      <c r="R306" s="34" t="s">
        <v>50</v>
      </c>
      <c r="S306" s="35" t="n">
        <f>4854.27</f>
        <v>4854.27</v>
      </c>
      <c r="T306" s="32" t="n">
        <f>33130</f>
        <v>33130.0</v>
      </c>
      <c r="U306" s="32" t="n">
        <f>32230</f>
        <v>32230.0</v>
      </c>
      <c r="V306" s="32" t="n">
        <f>161457317</f>
        <v>1.61457317E8</v>
      </c>
      <c r="W306" s="32" t="n">
        <f>157118027</f>
        <v>1.57118027E8</v>
      </c>
      <c r="X306" s="36" t="n">
        <f>11</f>
        <v>11.0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4519</f>
        <v>4519.0</v>
      </c>
      <c r="L307" s="34" t="s">
        <v>48</v>
      </c>
      <c r="M307" s="33" t="n">
        <f>4631</f>
        <v>4631.0</v>
      </c>
      <c r="N307" s="34" t="s">
        <v>76</v>
      </c>
      <c r="O307" s="33" t="n">
        <f>4458</f>
        <v>4458.0</v>
      </c>
      <c r="P307" s="34" t="s">
        <v>68</v>
      </c>
      <c r="Q307" s="33" t="n">
        <f>4473</f>
        <v>4473.0</v>
      </c>
      <c r="R307" s="34" t="s">
        <v>110</v>
      </c>
      <c r="S307" s="35" t="n">
        <f>4538.6</f>
        <v>4538.6</v>
      </c>
      <c r="T307" s="32" t="n">
        <f>150</f>
        <v>150.0</v>
      </c>
      <c r="U307" s="32" t="str">
        <f>"－"</f>
        <v>－</v>
      </c>
      <c r="V307" s="32" t="n">
        <f>673340</f>
        <v>673340.0</v>
      </c>
      <c r="W307" s="32" t="str">
        <f>"－"</f>
        <v>－</v>
      </c>
      <c r="X307" s="36" t="n">
        <f>5</f>
        <v>5.0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1871</f>
        <v>1871.0</v>
      </c>
      <c r="L308" s="34" t="s">
        <v>48</v>
      </c>
      <c r="M308" s="33" t="n">
        <f>1950</f>
        <v>1950.0</v>
      </c>
      <c r="N308" s="34" t="s">
        <v>67</v>
      </c>
      <c r="O308" s="33" t="n">
        <f>1860.5</f>
        <v>1860.5</v>
      </c>
      <c r="P308" s="34" t="s">
        <v>72</v>
      </c>
      <c r="Q308" s="33" t="n">
        <f>1920</f>
        <v>1920.0</v>
      </c>
      <c r="R308" s="34" t="s">
        <v>50</v>
      </c>
      <c r="S308" s="35" t="n">
        <f>1903.75</f>
        <v>1903.75</v>
      </c>
      <c r="T308" s="32" t="n">
        <f>62980</f>
        <v>62980.0</v>
      </c>
      <c r="U308" s="32" t="str">
        <f>"－"</f>
        <v>－</v>
      </c>
      <c r="V308" s="32" t="n">
        <f>118956545</f>
        <v>1.18956545E8</v>
      </c>
      <c r="W308" s="32" t="str">
        <f>"－"</f>
        <v>－</v>
      </c>
      <c r="X308" s="36" t="n">
        <f>16</f>
        <v>16.0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997</f>
        <v>997.0</v>
      </c>
      <c r="L309" s="34" t="s">
        <v>48</v>
      </c>
      <c r="M309" s="33" t="n">
        <f>1088</f>
        <v>1088.0</v>
      </c>
      <c r="N309" s="34" t="s">
        <v>50</v>
      </c>
      <c r="O309" s="33" t="n">
        <f>964</f>
        <v>964.0</v>
      </c>
      <c r="P309" s="34" t="s">
        <v>78</v>
      </c>
      <c r="Q309" s="33" t="n">
        <f>1085</f>
        <v>1085.0</v>
      </c>
      <c r="R309" s="34" t="s">
        <v>50</v>
      </c>
      <c r="S309" s="35" t="n">
        <f>1021.5</f>
        <v>1021.5</v>
      </c>
      <c r="T309" s="32" t="n">
        <f>64242</f>
        <v>64242.0</v>
      </c>
      <c r="U309" s="32" t="str">
        <f>"－"</f>
        <v>－</v>
      </c>
      <c r="V309" s="32" t="n">
        <f>67695646</f>
        <v>6.7695646E7</v>
      </c>
      <c r="W309" s="32" t="str">
        <f>"－"</f>
        <v>－</v>
      </c>
      <c r="X309" s="36" t="n">
        <f>20</f>
        <v>20.0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988</f>
        <v>988.0</v>
      </c>
      <c r="L310" s="34" t="s">
        <v>48</v>
      </c>
      <c r="M310" s="33" t="n">
        <f>1050</f>
        <v>1050.0</v>
      </c>
      <c r="N310" s="34" t="s">
        <v>263</v>
      </c>
      <c r="O310" s="33" t="n">
        <f>960</f>
        <v>960.0</v>
      </c>
      <c r="P310" s="34" t="s">
        <v>48</v>
      </c>
      <c r="Q310" s="33" t="n">
        <f>1036</f>
        <v>1036.0</v>
      </c>
      <c r="R310" s="34" t="s">
        <v>50</v>
      </c>
      <c r="S310" s="35" t="n">
        <f>1010.2</f>
        <v>1010.2</v>
      </c>
      <c r="T310" s="32" t="n">
        <f>1435588</f>
        <v>1435588.0</v>
      </c>
      <c r="U310" s="32" t="str">
        <f>"－"</f>
        <v>－</v>
      </c>
      <c r="V310" s="32" t="n">
        <f>1462677877</f>
        <v>1.462677877E9</v>
      </c>
      <c r="W310" s="32" t="str">
        <f>"－"</f>
        <v>－</v>
      </c>
      <c r="X310" s="36" t="n">
        <f>20</f>
        <v>20.0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998</f>
        <v>998.0</v>
      </c>
      <c r="L311" s="34" t="s">
        <v>48</v>
      </c>
      <c r="M311" s="33" t="n">
        <f>1021</f>
        <v>1021.0</v>
      </c>
      <c r="N311" s="34" t="s">
        <v>76</v>
      </c>
      <c r="O311" s="33" t="n">
        <f>955</f>
        <v>955.0</v>
      </c>
      <c r="P311" s="34" t="s">
        <v>110</v>
      </c>
      <c r="Q311" s="33" t="n">
        <f>979</f>
        <v>979.0</v>
      </c>
      <c r="R311" s="34" t="s">
        <v>50</v>
      </c>
      <c r="S311" s="35" t="n">
        <f>983.75</f>
        <v>983.75</v>
      </c>
      <c r="T311" s="32" t="n">
        <f>347708</f>
        <v>347708.0</v>
      </c>
      <c r="U311" s="32" t="n">
        <f>50</f>
        <v>50.0</v>
      </c>
      <c r="V311" s="32" t="n">
        <f>342435879</f>
        <v>3.42435879E8</v>
      </c>
      <c r="W311" s="32" t="n">
        <f>53420</f>
        <v>53420.0</v>
      </c>
      <c r="X311" s="36" t="n">
        <f>20</f>
        <v>20.0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113300</f>
        <v>113300.0</v>
      </c>
      <c r="L312" s="34" t="s">
        <v>48</v>
      </c>
      <c r="M312" s="33" t="n">
        <f>116600</f>
        <v>116600.0</v>
      </c>
      <c r="N312" s="34" t="s">
        <v>109</v>
      </c>
      <c r="O312" s="33" t="n">
        <f>107400</f>
        <v>107400.0</v>
      </c>
      <c r="P312" s="34" t="s">
        <v>167</v>
      </c>
      <c r="Q312" s="33" t="n">
        <f>115200</f>
        <v>115200.0</v>
      </c>
      <c r="R312" s="34" t="s">
        <v>50</v>
      </c>
      <c r="S312" s="35" t="n">
        <f>112025</f>
        <v>112025.0</v>
      </c>
      <c r="T312" s="32" t="n">
        <f>47319</f>
        <v>47319.0</v>
      </c>
      <c r="U312" s="32" t="n">
        <f>5062</f>
        <v>5062.0</v>
      </c>
      <c r="V312" s="32" t="n">
        <f>5290962046</f>
        <v>5.290962046E9</v>
      </c>
      <c r="W312" s="32" t="n">
        <f>567604546</f>
        <v>5.67604546E8</v>
      </c>
      <c r="X312" s="36" t="n">
        <f>20</f>
        <v>20.0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600</v>
      </c>
      <c r="J313" s="32" t="n">
        <v>1.0</v>
      </c>
      <c r="K313" s="33" t="n">
        <f>95700</f>
        <v>95700.0</v>
      </c>
      <c r="L313" s="34" t="s">
        <v>48</v>
      </c>
      <c r="M313" s="33" t="n">
        <f>97600</f>
        <v>97600.0</v>
      </c>
      <c r="N313" s="34" t="s">
        <v>109</v>
      </c>
      <c r="O313" s="33" t="n">
        <f>89500</f>
        <v>89500.0</v>
      </c>
      <c r="P313" s="34" t="s">
        <v>193</v>
      </c>
      <c r="Q313" s="33" t="n">
        <f>93300</f>
        <v>93300.0</v>
      </c>
      <c r="R313" s="34" t="s">
        <v>50</v>
      </c>
      <c r="S313" s="35" t="n">
        <f>93445</f>
        <v>93445.0</v>
      </c>
      <c r="T313" s="32" t="n">
        <f>73243</f>
        <v>73243.0</v>
      </c>
      <c r="U313" s="32" t="n">
        <f>17217</f>
        <v>17217.0</v>
      </c>
      <c r="V313" s="32" t="n">
        <f>6830198741</f>
        <v>6.830198741E9</v>
      </c>
      <c r="W313" s="32" t="n">
        <f>1602278541</f>
        <v>1.602278541E9</v>
      </c>
      <c r="X313" s="36" t="n">
        <f>20</f>
        <v>20.0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600</v>
      </c>
      <c r="J314" s="32" t="n">
        <v>1.0</v>
      </c>
      <c r="K314" s="33" t="n">
        <f>151000</f>
        <v>151000.0</v>
      </c>
      <c r="L314" s="34" t="s">
        <v>48</v>
      </c>
      <c r="M314" s="33" t="n">
        <f>152900</f>
        <v>152900.0</v>
      </c>
      <c r="N314" s="34" t="s">
        <v>109</v>
      </c>
      <c r="O314" s="33" t="n">
        <f>132700</f>
        <v>132700.0</v>
      </c>
      <c r="P314" s="34" t="s">
        <v>193</v>
      </c>
      <c r="Q314" s="33" t="n">
        <f>142500</f>
        <v>142500.0</v>
      </c>
      <c r="R314" s="34" t="s">
        <v>50</v>
      </c>
      <c r="S314" s="35" t="n">
        <f>143585</f>
        <v>143585.0</v>
      </c>
      <c r="T314" s="32" t="n">
        <f>45544</f>
        <v>45544.0</v>
      </c>
      <c r="U314" s="32" t="n">
        <f>8908</f>
        <v>8908.0</v>
      </c>
      <c r="V314" s="32" t="n">
        <f>6464388240</f>
        <v>6.46438824E9</v>
      </c>
      <c r="W314" s="32" t="n">
        <f>1262030540</f>
        <v>1.26203054E9</v>
      </c>
      <c r="X314" s="36" t="n">
        <f>20</f>
        <v>20.0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600</v>
      </c>
      <c r="J315" s="32" t="n">
        <v>1.0</v>
      </c>
      <c r="K315" s="33" t="n">
        <f>119800</f>
        <v>119800.0</v>
      </c>
      <c r="L315" s="34" t="s">
        <v>48</v>
      </c>
      <c r="M315" s="33" t="n">
        <f>123000</f>
        <v>123000.0</v>
      </c>
      <c r="N315" s="34" t="s">
        <v>60</v>
      </c>
      <c r="O315" s="33" t="n">
        <f>114200</f>
        <v>114200.0</v>
      </c>
      <c r="P315" s="34" t="s">
        <v>193</v>
      </c>
      <c r="Q315" s="33" t="n">
        <f>121400</f>
        <v>121400.0</v>
      </c>
      <c r="R315" s="34" t="s">
        <v>50</v>
      </c>
      <c r="S315" s="35" t="n">
        <f>118070</f>
        <v>118070.0</v>
      </c>
      <c r="T315" s="32" t="n">
        <f>15588</f>
        <v>15588.0</v>
      </c>
      <c r="U315" s="32" t="n">
        <f>4094</f>
        <v>4094.0</v>
      </c>
      <c r="V315" s="32" t="n">
        <f>1837291793</f>
        <v>1.837291793E9</v>
      </c>
      <c r="W315" s="32" t="n">
        <f>480542093</f>
        <v>4.80542093E8</v>
      </c>
      <c r="X315" s="36" t="n">
        <f>20</f>
        <v>20.0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656000</f>
        <v>656000.0</v>
      </c>
      <c r="L316" s="34" t="s">
        <v>48</v>
      </c>
      <c r="M316" s="33" t="n">
        <f>664000</f>
        <v>664000.0</v>
      </c>
      <c r="N316" s="34" t="s">
        <v>76</v>
      </c>
      <c r="O316" s="33" t="n">
        <f>600000</f>
        <v>600000.0</v>
      </c>
      <c r="P316" s="34" t="s">
        <v>193</v>
      </c>
      <c r="Q316" s="33" t="n">
        <f>633000</f>
        <v>633000.0</v>
      </c>
      <c r="R316" s="34" t="s">
        <v>50</v>
      </c>
      <c r="S316" s="35" t="n">
        <f>627900</f>
        <v>627900.0</v>
      </c>
      <c r="T316" s="32" t="n">
        <f>36685</f>
        <v>36685.0</v>
      </c>
      <c r="U316" s="32" t="n">
        <f>9155</f>
        <v>9155.0</v>
      </c>
      <c r="V316" s="32" t="n">
        <f>22982005788</f>
        <v>2.2982005788E10</v>
      </c>
      <c r="W316" s="32" t="n">
        <f>5714680788</f>
        <v>5.714680788E9</v>
      </c>
      <c r="X316" s="36" t="n">
        <f>20</f>
        <v>20.0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156700</f>
        <v>156700.0</v>
      </c>
      <c r="L317" s="34" t="s">
        <v>48</v>
      </c>
      <c r="M317" s="33" t="n">
        <f>163400</f>
        <v>163400.0</v>
      </c>
      <c r="N317" s="34" t="s">
        <v>50</v>
      </c>
      <c r="O317" s="33" t="n">
        <f>149200</f>
        <v>149200.0</v>
      </c>
      <c r="P317" s="34" t="s">
        <v>193</v>
      </c>
      <c r="Q317" s="33" t="n">
        <f>162700</f>
        <v>162700.0</v>
      </c>
      <c r="R317" s="34" t="s">
        <v>50</v>
      </c>
      <c r="S317" s="35" t="n">
        <f>156295</f>
        <v>156295.0</v>
      </c>
      <c r="T317" s="32" t="n">
        <f>103471</f>
        <v>103471.0</v>
      </c>
      <c r="U317" s="32" t="n">
        <f>24244</f>
        <v>24244.0</v>
      </c>
      <c r="V317" s="32" t="n">
        <f>16189266931</f>
        <v>1.6189266931E10</v>
      </c>
      <c r="W317" s="32" t="n">
        <f>3774161531</f>
        <v>3.774161531E9</v>
      </c>
      <c r="X317" s="36" t="n">
        <f>20</f>
        <v>20.0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164700</f>
        <v>164700.0</v>
      </c>
      <c r="L318" s="34" t="s">
        <v>48</v>
      </c>
      <c r="M318" s="33" t="n">
        <f>169200</f>
        <v>169200.0</v>
      </c>
      <c r="N318" s="34" t="s">
        <v>76</v>
      </c>
      <c r="O318" s="33" t="n">
        <f>149500</f>
        <v>149500.0</v>
      </c>
      <c r="P318" s="34" t="s">
        <v>193</v>
      </c>
      <c r="Q318" s="33" t="n">
        <f>157000</f>
        <v>157000.0</v>
      </c>
      <c r="R318" s="34" t="s">
        <v>50</v>
      </c>
      <c r="S318" s="35" t="n">
        <f>158300</f>
        <v>158300.0</v>
      </c>
      <c r="T318" s="32" t="n">
        <f>204902</f>
        <v>204902.0</v>
      </c>
      <c r="U318" s="32" t="n">
        <f>45105</f>
        <v>45105.0</v>
      </c>
      <c r="V318" s="32" t="n">
        <f>32349368869</f>
        <v>3.2349368869E10</v>
      </c>
      <c r="W318" s="32" t="n">
        <f>7114574169</f>
        <v>7.114574169E9</v>
      </c>
      <c r="X318" s="36" t="n">
        <f>20</f>
        <v>20.0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358500</f>
        <v>358500.0</v>
      </c>
      <c r="L319" s="34" t="s">
        <v>48</v>
      </c>
      <c r="M319" s="33" t="n">
        <f>361000</f>
        <v>361000.0</v>
      </c>
      <c r="N319" s="34" t="s">
        <v>76</v>
      </c>
      <c r="O319" s="33" t="n">
        <f>326000</f>
        <v>326000.0</v>
      </c>
      <c r="P319" s="34" t="s">
        <v>110</v>
      </c>
      <c r="Q319" s="33" t="n">
        <f>346000</f>
        <v>346000.0</v>
      </c>
      <c r="R319" s="34" t="s">
        <v>50</v>
      </c>
      <c r="S319" s="35" t="n">
        <f>341275</f>
        <v>341275.0</v>
      </c>
      <c r="T319" s="32" t="n">
        <f>102286</f>
        <v>102286.0</v>
      </c>
      <c r="U319" s="32" t="n">
        <f>29181</f>
        <v>29181.0</v>
      </c>
      <c r="V319" s="32" t="n">
        <f>34954388205</f>
        <v>3.4954388205E10</v>
      </c>
      <c r="W319" s="32" t="n">
        <f>9969211205</f>
        <v>9.969211205E9</v>
      </c>
      <c r="X319" s="36" t="n">
        <f>20</f>
        <v>20.0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215300</f>
        <v>215300.0</v>
      </c>
      <c r="L320" s="34" t="s">
        <v>48</v>
      </c>
      <c r="M320" s="33" t="n">
        <f>220000</f>
        <v>220000.0</v>
      </c>
      <c r="N320" s="34" t="s">
        <v>109</v>
      </c>
      <c r="O320" s="33" t="n">
        <f>203900</f>
        <v>203900.0</v>
      </c>
      <c r="P320" s="34" t="s">
        <v>72</v>
      </c>
      <c r="Q320" s="33" t="n">
        <f>217800</f>
        <v>217800.0</v>
      </c>
      <c r="R320" s="34" t="s">
        <v>50</v>
      </c>
      <c r="S320" s="35" t="n">
        <f>211220</f>
        <v>211220.0</v>
      </c>
      <c r="T320" s="32" t="n">
        <f>79993</f>
        <v>79993.0</v>
      </c>
      <c r="U320" s="32" t="n">
        <f>26149</f>
        <v>26149.0</v>
      </c>
      <c r="V320" s="32" t="n">
        <f>16925796198</f>
        <v>1.6925796198E10</v>
      </c>
      <c r="W320" s="32" t="n">
        <f>5505395398</f>
        <v>5.505395398E9</v>
      </c>
      <c r="X320" s="36" t="n">
        <f>20</f>
        <v>20.0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424500</f>
        <v>424500.0</v>
      </c>
      <c r="L321" s="34" t="s">
        <v>48</v>
      </c>
      <c r="M321" s="33" t="n">
        <f>443000</f>
        <v>443000.0</v>
      </c>
      <c r="N321" s="34" t="s">
        <v>50</v>
      </c>
      <c r="O321" s="33" t="n">
        <f>408500</f>
        <v>408500.0</v>
      </c>
      <c r="P321" s="34" t="s">
        <v>110</v>
      </c>
      <c r="Q321" s="33" t="n">
        <f>440500</f>
        <v>440500.0</v>
      </c>
      <c r="R321" s="34" t="s">
        <v>50</v>
      </c>
      <c r="S321" s="35" t="n">
        <f>425050</f>
        <v>425050.0</v>
      </c>
      <c r="T321" s="32" t="n">
        <f>59780</f>
        <v>59780.0</v>
      </c>
      <c r="U321" s="32" t="n">
        <f>16179</f>
        <v>16179.0</v>
      </c>
      <c r="V321" s="32" t="n">
        <f>25411973921</f>
        <v>2.5411973921E10</v>
      </c>
      <c r="W321" s="32" t="n">
        <f>6844796421</f>
        <v>6.844796421E9</v>
      </c>
      <c r="X321" s="36" t="n">
        <f>20</f>
        <v>20.0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161000</f>
        <v>161000.0</v>
      </c>
      <c r="L322" s="34" t="s">
        <v>48</v>
      </c>
      <c r="M322" s="33" t="n">
        <f>162800</f>
        <v>162800.0</v>
      </c>
      <c r="N322" s="34" t="s">
        <v>76</v>
      </c>
      <c r="O322" s="33" t="n">
        <f>142400</f>
        <v>142400.0</v>
      </c>
      <c r="P322" s="34" t="s">
        <v>263</v>
      </c>
      <c r="Q322" s="33" t="n">
        <f>154100</f>
        <v>154100.0</v>
      </c>
      <c r="R322" s="34" t="s">
        <v>50</v>
      </c>
      <c r="S322" s="35" t="n">
        <f>153100</f>
        <v>153100.0</v>
      </c>
      <c r="T322" s="32" t="n">
        <f>667381</f>
        <v>667381.0</v>
      </c>
      <c r="U322" s="32" t="n">
        <f>116844</f>
        <v>116844.0</v>
      </c>
      <c r="V322" s="32" t="n">
        <f>100053067678</f>
        <v>1.00053067678E11</v>
      </c>
      <c r="W322" s="32" t="n">
        <f>17470471978</f>
        <v>1.7470471978E10</v>
      </c>
      <c r="X322" s="36" t="n">
        <f>20</f>
        <v>20.0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330500</f>
        <v>330500.0</v>
      </c>
      <c r="L323" s="34" t="s">
        <v>48</v>
      </c>
      <c r="M323" s="33" t="n">
        <f>332500</f>
        <v>332500.0</v>
      </c>
      <c r="N323" s="34" t="s">
        <v>76</v>
      </c>
      <c r="O323" s="33" t="n">
        <f>295700</f>
        <v>295700.0</v>
      </c>
      <c r="P323" s="34" t="s">
        <v>193</v>
      </c>
      <c r="Q323" s="33" t="n">
        <f>315500</f>
        <v>315500.0</v>
      </c>
      <c r="R323" s="34" t="s">
        <v>50</v>
      </c>
      <c r="S323" s="35" t="n">
        <f>310010</f>
        <v>310010.0</v>
      </c>
      <c r="T323" s="32" t="n">
        <f>64288</f>
        <v>64288.0</v>
      </c>
      <c r="U323" s="32" t="n">
        <f>16708</f>
        <v>16708.0</v>
      </c>
      <c r="V323" s="32" t="n">
        <f>19982483426</f>
        <v>1.9982483426E10</v>
      </c>
      <c r="W323" s="32" t="n">
        <f>5193268526</f>
        <v>5.193268526E9</v>
      </c>
      <c r="X323" s="36" t="n">
        <f>20</f>
        <v>20.0</v>
      </c>
    </row>
    <row r="324">
      <c r="A324" s="27" t="s">
        <v>42</v>
      </c>
      <c r="B324" s="27" t="s">
        <v>1015</v>
      </c>
      <c r="C324" s="27" t="s">
        <v>1016</v>
      </c>
      <c r="D324" s="27" t="s">
        <v>1017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321000</f>
        <v>321000.0</v>
      </c>
      <c r="L324" s="34" t="s">
        <v>48</v>
      </c>
      <c r="M324" s="33" t="n">
        <f>329000</f>
        <v>329000.0</v>
      </c>
      <c r="N324" s="34" t="s">
        <v>109</v>
      </c>
      <c r="O324" s="33" t="n">
        <f>287900</f>
        <v>287900.0</v>
      </c>
      <c r="P324" s="34" t="s">
        <v>110</v>
      </c>
      <c r="Q324" s="33" t="n">
        <f>311500</f>
        <v>311500.0</v>
      </c>
      <c r="R324" s="34" t="s">
        <v>50</v>
      </c>
      <c r="S324" s="35" t="n">
        <f>307110</f>
        <v>307110.0</v>
      </c>
      <c r="T324" s="32" t="n">
        <f>201052</f>
        <v>201052.0</v>
      </c>
      <c r="U324" s="32" t="n">
        <f>33385</f>
        <v>33385.0</v>
      </c>
      <c r="V324" s="32" t="n">
        <f>61605644737</f>
        <v>6.1605644737E10</v>
      </c>
      <c r="W324" s="32" t="n">
        <f>10243776237</f>
        <v>1.0243776237E10</v>
      </c>
      <c r="X324" s="36" t="n">
        <f>20</f>
        <v>20.0</v>
      </c>
    </row>
    <row r="325">
      <c r="A325" s="27" t="s">
        <v>42</v>
      </c>
      <c r="B325" s="27" t="s">
        <v>1018</v>
      </c>
      <c r="C325" s="27" t="s">
        <v>1019</v>
      </c>
      <c r="D325" s="27" t="s">
        <v>1020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672000</f>
        <v>672000.0</v>
      </c>
      <c r="L325" s="34" t="s">
        <v>48</v>
      </c>
      <c r="M325" s="33" t="n">
        <f>709000</f>
        <v>709000.0</v>
      </c>
      <c r="N325" s="34" t="s">
        <v>50</v>
      </c>
      <c r="O325" s="33" t="n">
        <f>660000</f>
        <v>660000.0</v>
      </c>
      <c r="P325" s="34" t="s">
        <v>48</v>
      </c>
      <c r="Q325" s="33" t="n">
        <f>706000</f>
        <v>706000.0</v>
      </c>
      <c r="R325" s="34" t="s">
        <v>50</v>
      </c>
      <c r="S325" s="35" t="n">
        <f>678800</f>
        <v>678800.0</v>
      </c>
      <c r="T325" s="32" t="n">
        <f>27342</f>
        <v>27342.0</v>
      </c>
      <c r="U325" s="32" t="n">
        <f>6464</f>
        <v>6464.0</v>
      </c>
      <c r="V325" s="32" t="n">
        <f>18616368737</f>
        <v>1.8616368737E10</v>
      </c>
      <c r="W325" s="32" t="n">
        <f>4391396737</f>
        <v>4.391396737E9</v>
      </c>
      <c r="X325" s="36" t="n">
        <f>20</f>
        <v>20.0</v>
      </c>
    </row>
    <row r="326">
      <c r="A326" s="27" t="s">
        <v>42</v>
      </c>
      <c r="B326" s="27" t="s">
        <v>1021</v>
      </c>
      <c r="C326" s="27" t="s">
        <v>1022</v>
      </c>
      <c r="D326" s="27" t="s">
        <v>1023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262200</f>
        <v>262200.0</v>
      </c>
      <c r="L326" s="34" t="s">
        <v>48</v>
      </c>
      <c r="M326" s="33" t="n">
        <f>269300</f>
        <v>269300.0</v>
      </c>
      <c r="N326" s="34" t="s">
        <v>109</v>
      </c>
      <c r="O326" s="33" t="n">
        <f>231300</f>
        <v>231300.0</v>
      </c>
      <c r="P326" s="34" t="s">
        <v>110</v>
      </c>
      <c r="Q326" s="33" t="n">
        <f>247900</f>
        <v>247900.0</v>
      </c>
      <c r="R326" s="34" t="s">
        <v>50</v>
      </c>
      <c r="S326" s="35" t="n">
        <f>250050</f>
        <v>250050.0</v>
      </c>
      <c r="T326" s="32" t="n">
        <f>33629</f>
        <v>33629.0</v>
      </c>
      <c r="U326" s="32" t="n">
        <f>6192</f>
        <v>6192.0</v>
      </c>
      <c r="V326" s="32" t="n">
        <f>8340583101</f>
        <v>8.340583101E9</v>
      </c>
      <c r="W326" s="32" t="n">
        <f>1531850001</f>
        <v>1.531850001E9</v>
      </c>
      <c r="X326" s="36" t="n">
        <f>20</f>
        <v>20.0</v>
      </c>
    </row>
    <row r="327">
      <c r="A327" s="27" t="s">
        <v>42</v>
      </c>
      <c r="B327" s="27" t="s">
        <v>1024</v>
      </c>
      <c r="C327" s="27" t="s">
        <v>1025</v>
      </c>
      <c r="D327" s="27" t="s">
        <v>1026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156300</f>
        <v>156300.0</v>
      </c>
      <c r="L327" s="34" t="s">
        <v>48</v>
      </c>
      <c r="M327" s="33" t="n">
        <f>161000</f>
        <v>161000.0</v>
      </c>
      <c r="N327" s="34" t="s">
        <v>50</v>
      </c>
      <c r="O327" s="33" t="n">
        <f>149600</f>
        <v>149600.0</v>
      </c>
      <c r="P327" s="34" t="s">
        <v>193</v>
      </c>
      <c r="Q327" s="33" t="n">
        <f>160000</f>
        <v>160000.0</v>
      </c>
      <c r="R327" s="34" t="s">
        <v>50</v>
      </c>
      <c r="S327" s="35" t="n">
        <f>155020</f>
        <v>155020.0</v>
      </c>
      <c r="T327" s="32" t="n">
        <f>121586</f>
        <v>121586.0</v>
      </c>
      <c r="U327" s="32" t="n">
        <f>28966</f>
        <v>28966.0</v>
      </c>
      <c r="V327" s="32" t="n">
        <f>18865814941</f>
        <v>1.8865814941E10</v>
      </c>
      <c r="W327" s="32" t="n">
        <f>4488118941</f>
        <v>4.488118941E9</v>
      </c>
      <c r="X327" s="36" t="n">
        <f>20</f>
        <v>20.0</v>
      </c>
    </row>
    <row r="328">
      <c r="A328" s="27" t="s">
        <v>42</v>
      </c>
      <c r="B328" s="27" t="s">
        <v>1027</v>
      </c>
      <c r="C328" s="27" t="s">
        <v>1028</v>
      </c>
      <c r="D328" s="27" t="s">
        <v>1029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166400</f>
        <v>166400.0</v>
      </c>
      <c r="L328" s="34" t="s">
        <v>48</v>
      </c>
      <c r="M328" s="33" t="n">
        <f>175100</f>
        <v>175100.0</v>
      </c>
      <c r="N328" s="34" t="s">
        <v>50</v>
      </c>
      <c r="O328" s="33" t="n">
        <f>160600</f>
        <v>160600.0</v>
      </c>
      <c r="P328" s="34" t="s">
        <v>110</v>
      </c>
      <c r="Q328" s="33" t="n">
        <f>174100</f>
        <v>174100.0</v>
      </c>
      <c r="R328" s="34" t="s">
        <v>50</v>
      </c>
      <c r="S328" s="35" t="n">
        <f>167365</f>
        <v>167365.0</v>
      </c>
      <c r="T328" s="32" t="n">
        <f>140142</f>
        <v>140142.0</v>
      </c>
      <c r="U328" s="32" t="n">
        <f>39974</f>
        <v>39974.0</v>
      </c>
      <c r="V328" s="32" t="n">
        <f>23496334119</f>
        <v>2.3496334119E10</v>
      </c>
      <c r="W328" s="32" t="n">
        <f>6703315119</f>
        <v>6.703315119E9</v>
      </c>
      <c r="X328" s="36" t="n">
        <f>20</f>
        <v>20.0</v>
      </c>
    </row>
    <row r="329">
      <c r="A329" s="27" t="s">
        <v>42</v>
      </c>
      <c r="B329" s="27" t="s">
        <v>1030</v>
      </c>
      <c r="C329" s="27" t="s">
        <v>1031</v>
      </c>
      <c r="D329" s="27" t="s">
        <v>1032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370000</f>
        <v>370000.0</v>
      </c>
      <c r="L329" s="34" t="s">
        <v>48</v>
      </c>
      <c r="M329" s="33" t="n">
        <f>376500</f>
        <v>376500.0</v>
      </c>
      <c r="N329" s="34" t="s">
        <v>76</v>
      </c>
      <c r="O329" s="33" t="n">
        <f>341000</f>
        <v>341000.0</v>
      </c>
      <c r="P329" s="34" t="s">
        <v>193</v>
      </c>
      <c r="Q329" s="33" t="n">
        <f>367000</f>
        <v>367000.0</v>
      </c>
      <c r="R329" s="34" t="s">
        <v>50</v>
      </c>
      <c r="S329" s="35" t="n">
        <f>360100</f>
        <v>360100.0</v>
      </c>
      <c r="T329" s="32" t="n">
        <f>36008</f>
        <v>36008.0</v>
      </c>
      <c r="U329" s="32" t="n">
        <f>8234</f>
        <v>8234.0</v>
      </c>
      <c r="V329" s="32" t="n">
        <f>12923334674</f>
        <v>1.2923334674E10</v>
      </c>
      <c r="W329" s="32" t="n">
        <f>2945741674</f>
        <v>2.945741674E9</v>
      </c>
      <c r="X329" s="36" t="n">
        <f>20</f>
        <v>20.0</v>
      </c>
    </row>
    <row r="330">
      <c r="A330" s="27" t="s">
        <v>42</v>
      </c>
      <c r="B330" s="27" t="s">
        <v>1033</v>
      </c>
      <c r="C330" s="27" t="s">
        <v>1034</v>
      </c>
      <c r="D330" s="27" t="s">
        <v>1035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81900</f>
        <v>81900.0</v>
      </c>
      <c r="L330" s="34" t="s">
        <v>48</v>
      </c>
      <c r="M330" s="33" t="n">
        <f>83000</f>
        <v>83000.0</v>
      </c>
      <c r="N330" s="34" t="s">
        <v>76</v>
      </c>
      <c r="O330" s="33" t="n">
        <f>77400</f>
        <v>77400.0</v>
      </c>
      <c r="P330" s="34" t="s">
        <v>263</v>
      </c>
      <c r="Q330" s="33" t="n">
        <f>80100</f>
        <v>80100.0</v>
      </c>
      <c r="R330" s="34" t="s">
        <v>50</v>
      </c>
      <c r="S330" s="35" t="n">
        <f>80050</f>
        <v>80050.0</v>
      </c>
      <c r="T330" s="32" t="n">
        <f>384671</f>
        <v>384671.0</v>
      </c>
      <c r="U330" s="32" t="n">
        <f>87245</f>
        <v>87245.0</v>
      </c>
      <c r="V330" s="32" t="n">
        <f>30767970838</f>
        <v>3.0767970838E10</v>
      </c>
      <c r="W330" s="32" t="n">
        <f>6972704038</f>
        <v>6.972704038E9</v>
      </c>
      <c r="X330" s="36" t="n">
        <f>20</f>
        <v>20.0</v>
      </c>
    </row>
    <row r="331">
      <c r="A331" s="27" t="s">
        <v>42</v>
      </c>
      <c r="B331" s="27" t="s">
        <v>1036</v>
      </c>
      <c r="C331" s="27" t="s">
        <v>1037</v>
      </c>
      <c r="D331" s="27" t="s">
        <v>1038</v>
      </c>
      <c r="E331" s="28" t="s">
        <v>46</v>
      </c>
      <c r="F331" s="29" t="s">
        <v>46</v>
      </c>
      <c r="G331" s="30" t="s">
        <v>46</v>
      </c>
      <c r="H331" s="31"/>
      <c r="I331" s="31" t="s">
        <v>600</v>
      </c>
      <c r="J331" s="32" t="n">
        <v>1.0</v>
      </c>
      <c r="K331" s="33" t="n">
        <f>135600</f>
        <v>135600.0</v>
      </c>
      <c r="L331" s="34" t="s">
        <v>48</v>
      </c>
      <c r="M331" s="33" t="n">
        <f>140800</f>
        <v>140800.0</v>
      </c>
      <c r="N331" s="34" t="s">
        <v>78</v>
      </c>
      <c r="O331" s="33" t="n">
        <f>134800</f>
        <v>134800.0</v>
      </c>
      <c r="P331" s="34" t="s">
        <v>193</v>
      </c>
      <c r="Q331" s="33" t="n">
        <f>137200</f>
        <v>137200.0</v>
      </c>
      <c r="R331" s="34" t="s">
        <v>50</v>
      </c>
      <c r="S331" s="35" t="n">
        <f>138175</f>
        <v>138175.0</v>
      </c>
      <c r="T331" s="32" t="n">
        <f>40216</f>
        <v>40216.0</v>
      </c>
      <c r="U331" s="32" t="n">
        <f>7301</f>
        <v>7301.0</v>
      </c>
      <c r="V331" s="32" t="n">
        <f>5554403170</f>
        <v>5.55440317E9</v>
      </c>
      <c r="W331" s="32" t="n">
        <f>1006866970</f>
        <v>1.00686697E9</v>
      </c>
      <c r="X331" s="36" t="n">
        <f>20</f>
        <v>20.0</v>
      </c>
    </row>
    <row r="332">
      <c r="A332" s="27" t="s">
        <v>42</v>
      </c>
      <c r="B332" s="27" t="s">
        <v>1039</v>
      </c>
      <c r="C332" s="27" t="s">
        <v>1040</v>
      </c>
      <c r="D332" s="27" t="s">
        <v>1041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268400</f>
        <v>268400.0</v>
      </c>
      <c r="L332" s="34" t="s">
        <v>48</v>
      </c>
      <c r="M332" s="33" t="n">
        <f>279200</f>
        <v>279200.0</v>
      </c>
      <c r="N332" s="34" t="s">
        <v>109</v>
      </c>
      <c r="O332" s="33" t="n">
        <f>250700</f>
        <v>250700.0</v>
      </c>
      <c r="P332" s="34" t="s">
        <v>193</v>
      </c>
      <c r="Q332" s="33" t="n">
        <f>267300</f>
        <v>267300.0</v>
      </c>
      <c r="R332" s="34" t="s">
        <v>50</v>
      </c>
      <c r="S332" s="35" t="n">
        <f>263190</f>
        <v>263190.0</v>
      </c>
      <c r="T332" s="32" t="n">
        <f>92970</f>
        <v>92970.0</v>
      </c>
      <c r="U332" s="32" t="n">
        <f>17028</f>
        <v>17028.0</v>
      </c>
      <c r="V332" s="32" t="n">
        <f>24385847922</f>
        <v>2.4385847922E10</v>
      </c>
      <c r="W332" s="32" t="n">
        <f>4450113622</f>
        <v>4.450113622E9</v>
      </c>
      <c r="X332" s="36" t="n">
        <f>20</f>
        <v>20.0</v>
      </c>
    </row>
    <row r="333">
      <c r="A333" s="27" t="s">
        <v>42</v>
      </c>
      <c r="B333" s="27" t="s">
        <v>1042</v>
      </c>
      <c r="C333" s="27" t="s">
        <v>1043</v>
      </c>
      <c r="D333" s="27" t="s">
        <v>1044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180000</f>
        <v>180000.0</v>
      </c>
      <c r="L333" s="34" t="s">
        <v>48</v>
      </c>
      <c r="M333" s="33" t="n">
        <f>204500</f>
        <v>204500.0</v>
      </c>
      <c r="N333" s="34" t="s">
        <v>50</v>
      </c>
      <c r="O333" s="33" t="n">
        <f>176200</f>
        <v>176200.0</v>
      </c>
      <c r="P333" s="34" t="s">
        <v>48</v>
      </c>
      <c r="Q333" s="33" t="n">
        <f>204500</f>
        <v>204500.0</v>
      </c>
      <c r="R333" s="34" t="s">
        <v>50</v>
      </c>
      <c r="S333" s="35" t="n">
        <f>186110</f>
        <v>186110.0</v>
      </c>
      <c r="T333" s="32" t="n">
        <f>43285</f>
        <v>43285.0</v>
      </c>
      <c r="U333" s="32" t="n">
        <f>8737</f>
        <v>8737.0</v>
      </c>
      <c r="V333" s="32" t="n">
        <f>8070196477</f>
        <v>8.070196477E9</v>
      </c>
      <c r="W333" s="32" t="n">
        <f>1621918677</f>
        <v>1.621918677E9</v>
      </c>
      <c r="X333" s="36" t="n">
        <f>20</f>
        <v>20.0</v>
      </c>
    </row>
    <row r="334">
      <c r="A334" s="27" t="s">
        <v>42</v>
      </c>
      <c r="B334" s="27" t="s">
        <v>1045</v>
      </c>
      <c r="C334" s="27" t="s">
        <v>1046</v>
      </c>
      <c r="D334" s="27" t="s">
        <v>1047</v>
      </c>
      <c r="E334" s="28" t="s">
        <v>46</v>
      </c>
      <c r="F334" s="29" t="s">
        <v>46</v>
      </c>
      <c r="G334" s="30" t="s">
        <v>46</v>
      </c>
      <c r="H334" s="31"/>
      <c r="I334" s="31" t="s">
        <v>600</v>
      </c>
      <c r="J334" s="32" t="n">
        <v>1.0</v>
      </c>
      <c r="K334" s="33" t="n">
        <f>121500</f>
        <v>121500.0</v>
      </c>
      <c r="L334" s="34" t="s">
        <v>48</v>
      </c>
      <c r="M334" s="33" t="n">
        <f>124900</f>
        <v>124900.0</v>
      </c>
      <c r="N334" s="34" t="s">
        <v>109</v>
      </c>
      <c r="O334" s="33" t="n">
        <f>114100</f>
        <v>114100.0</v>
      </c>
      <c r="P334" s="34" t="s">
        <v>193</v>
      </c>
      <c r="Q334" s="33" t="n">
        <f>120100</f>
        <v>120100.0</v>
      </c>
      <c r="R334" s="34" t="s">
        <v>50</v>
      </c>
      <c r="S334" s="35" t="n">
        <f>119120</f>
        <v>119120.0</v>
      </c>
      <c r="T334" s="32" t="n">
        <f>31620</f>
        <v>31620.0</v>
      </c>
      <c r="U334" s="32" t="n">
        <f>4083</f>
        <v>4083.0</v>
      </c>
      <c r="V334" s="32" t="n">
        <f>3760992847</f>
        <v>3.760992847E9</v>
      </c>
      <c r="W334" s="32" t="n">
        <f>486420547</f>
        <v>4.86420547E8</v>
      </c>
      <c r="X334" s="36" t="n">
        <f>20</f>
        <v>20.0</v>
      </c>
    </row>
    <row r="335">
      <c r="A335" s="27" t="s">
        <v>42</v>
      </c>
      <c r="B335" s="27" t="s">
        <v>1048</v>
      </c>
      <c r="C335" s="27" t="s">
        <v>1049</v>
      </c>
      <c r="D335" s="27" t="s">
        <v>1050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158100</f>
        <v>158100.0</v>
      </c>
      <c r="L335" s="34" t="s">
        <v>48</v>
      </c>
      <c r="M335" s="33" t="n">
        <f>170800</f>
        <v>170800.0</v>
      </c>
      <c r="N335" s="34" t="s">
        <v>60</v>
      </c>
      <c r="O335" s="33" t="n">
        <f>153600</f>
        <v>153600.0</v>
      </c>
      <c r="P335" s="34" t="s">
        <v>263</v>
      </c>
      <c r="Q335" s="33" t="n">
        <f>169500</f>
        <v>169500.0</v>
      </c>
      <c r="R335" s="34" t="s">
        <v>50</v>
      </c>
      <c r="S335" s="35" t="n">
        <f>160735</f>
        <v>160735.0</v>
      </c>
      <c r="T335" s="32" t="n">
        <f>304676</f>
        <v>304676.0</v>
      </c>
      <c r="U335" s="32" t="n">
        <f>74801</f>
        <v>74801.0</v>
      </c>
      <c r="V335" s="32" t="n">
        <f>49129833521</f>
        <v>4.9129833521E10</v>
      </c>
      <c r="W335" s="32" t="n">
        <f>12037246921</f>
        <v>1.2037246921E10</v>
      </c>
      <c r="X335" s="36" t="n">
        <f>20</f>
        <v>20.0</v>
      </c>
    </row>
    <row r="336">
      <c r="A336" s="27" t="s">
        <v>42</v>
      </c>
      <c r="B336" s="27" t="s">
        <v>1051</v>
      </c>
      <c r="C336" s="27" t="s">
        <v>1052</v>
      </c>
      <c r="D336" s="27" t="s">
        <v>1053</v>
      </c>
      <c r="E336" s="28" t="s">
        <v>46</v>
      </c>
      <c r="F336" s="29" t="s">
        <v>46</v>
      </c>
      <c r="G336" s="30" t="s">
        <v>46</v>
      </c>
      <c r="H336" s="31"/>
      <c r="I336" s="31" t="s">
        <v>600</v>
      </c>
      <c r="J336" s="32" t="n">
        <v>1.0</v>
      </c>
      <c r="K336" s="33" t="n">
        <f>102100</f>
        <v>102100.0</v>
      </c>
      <c r="L336" s="34" t="s">
        <v>48</v>
      </c>
      <c r="M336" s="33" t="n">
        <f>108600</f>
        <v>108600.0</v>
      </c>
      <c r="N336" s="34" t="s">
        <v>129</v>
      </c>
      <c r="O336" s="33" t="n">
        <f>99000</f>
        <v>99000.0</v>
      </c>
      <c r="P336" s="34" t="s">
        <v>193</v>
      </c>
      <c r="Q336" s="33" t="n">
        <f>107000</f>
        <v>107000.0</v>
      </c>
      <c r="R336" s="34" t="s">
        <v>50</v>
      </c>
      <c r="S336" s="35" t="n">
        <f>103305</f>
        <v>103305.0</v>
      </c>
      <c r="T336" s="32" t="n">
        <f>41696</f>
        <v>41696.0</v>
      </c>
      <c r="U336" s="32" t="n">
        <f>5452</f>
        <v>5452.0</v>
      </c>
      <c r="V336" s="32" t="n">
        <f>4305838626</f>
        <v>4.305838626E9</v>
      </c>
      <c r="W336" s="32" t="n">
        <f>562332826</f>
        <v>5.62332826E8</v>
      </c>
      <c r="X336" s="36" t="n">
        <f>20</f>
        <v>20.0</v>
      </c>
    </row>
    <row r="337">
      <c r="A337" s="27" t="s">
        <v>42</v>
      </c>
      <c r="B337" s="27" t="s">
        <v>1054</v>
      </c>
      <c r="C337" s="27" t="s">
        <v>1055</v>
      </c>
      <c r="D337" s="27" t="s">
        <v>1056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160500</f>
        <v>160500.0</v>
      </c>
      <c r="L337" s="34" t="s">
        <v>48</v>
      </c>
      <c r="M337" s="33" t="n">
        <f>164300</f>
        <v>164300.0</v>
      </c>
      <c r="N337" s="34" t="s">
        <v>76</v>
      </c>
      <c r="O337" s="33" t="n">
        <f>148900</f>
        <v>148900.0</v>
      </c>
      <c r="P337" s="34" t="s">
        <v>193</v>
      </c>
      <c r="Q337" s="33" t="n">
        <f>158700</f>
        <v>158700.0</v>
      </c>
      <c r="R337" s="34" t="s">
        <v>50</v>
      </c>
      <c r="S337" s="35" t="n">
        <f>156255</f>
        <v>156255.0</v>
      </c>
      <c r="T337" s="32" t="n">
        <f>162057</f>
        <v>162057.0</v>
      </c>
      <c r="U337" s="32" t="n">
        <f>52594</f>
        <v>52594.0</v>
      </c>
      <c r="V337" s="32" t="n">
        <f>25199228164</f>
        <v>2.5199228164E10</v>
      </c>
      <c r="W337" s="32" t="n">
        <f>8130285064</f>
        <v>8.130285064E9</v>
      </c>
      <c r="X337" s="36" t="n">
        <f>20</f>
        <v>20.0</v>
      </c>
    </row>
    <row r="338">
      <c r="A338" s="27" t="s">
        <v>42</v>
      </c>
      <c r="B338" s="27" t="s">
        <v>1057</v>
      </c>
      <c r="C338" s="27" t="s">
        <v>1058</v>
      </c>
      <c r="D338" s="27" t="s">
        <v>1059</v>
      </c>
      <c r="E338" s="28" t="s">
        <v>46</v>
      </c>
      <c r="F338" s="29" t="s">
        <v>46</v>
      </c>
      <c r="G338" s="30" t="s">
        <v>46</v>
      </c>
      <c r="H338" s="31"/>
      <c r="I338" s="31" t="s">
        <v>600</v>
      </c>
      <c r="J338" s="32" t="n">
        <v>1.0</v>
      </c>
      <c r="K338" s="33" t="n">
        <f>56600</f>
        <v>56600.0</v>
      </c>
      <c r="L338" s="34" t="s">
        <v>48</v>
      </c>
      <c r="M338" s="33" t="n">
        <f>57100</f>
        <v>57100.0</v>
      </c>
      <c r="N338" s="34" t="s">
        <v>50</v>
      </c>
      <c r="O338" s="33" t="n">
        <f>52800</f>
        <v>52800.0</v>
      </c>
      <c r="P338" s="34" t="s">
        <v>193</v>
      </c>
      <c r="Q338" s="33" t="n">
        <f>56700</f>
        <v>56700.0</v>
      </c>
      <c r="R338" s="34" t="s">
        <v>50</v>
      </c>
      <c r="S338" s="35" t="n">
        <f>55075</f>
        <v>55075.0</v>
      </c>
      <c r="T338" s="32" t="n">
        <f>156420</f>
        <v>156420.0</v>
      </c>
      <c r="U338" s="32" t="n">
        <f>34092</f>
        <v>34092.0</v>
      </c>
      <c r="V338" s="32" t="n">
        <f>8619199888</f>
        <v>8.619199888E9</v>
      </c>
      <c r="W338" s="32" t="n">
        <f>1884793688</f>
        <v>1.884793688E9</v>
      </c>
      <c r="X338" s="36" t="n">
        <f>20</f>
        <v>20.0</v>
      </c>
    </row>
    <row r="339">
      <c r="A339" s="27" t="s">
        <v>42</v>
      </c>
      <c r="B339" s="27" t="s">
        <v>1060</v>
      </c>
      <c r="C339" s="27" t="s">
        <v>1061</v>
      </c>
      <c r="D339" s="27" t="s">
        <v>1062</v>
      </c>
      <c r="E339" s="28" t="s">
        <v>46</v>
      </c>
      <c r="F339" s="29" t="s">
        <v>46</v>
      </c>
      <c r="G339" s="30" t="s">
        <v>46</v>
      </c>
      <c r="H339" s="31"/>
      <c r="I339" s="31" t="s">
        <v>600</v>
      </c>
      <c r="J339" s="32" t="n">
        <v>1.0</v>
      </c>
      <c r="K339" s="33" t="n">
        <f>131700</f>
        <v>131700.0</v>
      </c>
      <c r="L339" s="34" t="s">
        <v>48</v>
      </c>
      <c r="M339" s="33" t="n">
        <f>138800</f>
        <v>138800.0</v>
      </c>
      <c r="N339" s="34" t="s">
        <v>50</v>
      </c>
      <c r="O339" s="33" t="n">
        <f>130900</f>
        <v>130900.0</v>
      </c>
      <c r="P339" s="34" t="s">
        <v>48</v>
      </c>
      <c r="Q339" s="33" t="n">
        <f>137400</f>
        <v>137400.0</v>
      </c>
      <c r="R339" s="34" t="s">
        <v>50</v>
      </c>
      <c r="S339" s="35" t="n">
        <f>133640</f>
        <v>133640.0</v>
      </c>
      <c r="T339" s="32" t="n">
        <f>12682</f>
        <v>12682.0</v>
      </c>
      <c r="U339" s="32" t="n">
        <f>3393</f>
        <v>3393.0</v>
      </c>
      <c r="V339" s="32" t="n">
        <f>1700042261</f>
        <v>1.700042261E9</v>
      </c>
      <c r="W339" s="32" t="n">
        <f>453402261</f>
        <v>4.53402261E8</v>
      </c>
      <c r="X339" s="36" t="n">
        <f>20</f>
        <v>20.0</v>
      </c>
    </row>
    <row r="340">
      <c r="A340" s="27" t="s">
        <v>42</v>
      </c>
      <c r="B340" s="27" t="s">
        <v>1063</v>
      </c>
      <c r="C340" s="27" t="s">
        <v>1064</v>
      </c>
      <c r="D340" s="27" t="s">
        <v>1065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495000</f>
        <v>495000.0</v>
      </c>
      <c r="L340" s="34" t="s">
        <v>48</v>
      </c>
      <c r="M340" s="33" t="n">
        <f>505000</f>
        <v>505000.0</v>
      </c>
      <c r="N340" s="34" t="s">
        <v>76</v>
      </c>
      <c r="O340" s="33" t="n">
        <f>462000</f>
        <v>462000.0</v>
      </c>
      <c r="P340" s="34" t="s">
        <v>110</v>
      </c>
      <c r="Q340" s="33" t="n">
        <f>493000</f>
        <v>493000.0</v>
      </c>
      <c r="R340" s="34" t="s">
        <v>50</v>
      </c>
      <c r="S340" s="35" t="n">
        <f>484650</f>
        <v>484650.0</v>
      </c>
      <c r="T340" s="32" t="n">
        <f>52371</f>
        <v>52371.0</v>
      </c>
      <c r="U340" s="32" t="n">
        <f>13755</f>
        <v>13755.0</v>
      </c>
      <c r="V340" s="32" t="n">
        <f>25375324854</f>
        <v>2.5375324854E10</v>
      </c>
      <c r="W340" s="32" t="n">
        <f>6696176854</f>
        <v>6.696176854E9</v>
      </c>
      <c r="X340" s="36" t="n">
        <f>20</f>
        <v>20.0</v>
      </c>
    </row>
    <row r="341">
      <c r="A341" s="27" t="s">
        <v>42</v>
      </c>
      <c r="B341" s="27" t="s">
        <v>1066</v>
      </c>
      <c r="C341" s="27" t="s">
        <v>1067</v>
      </c>
      <c r="D341" s="27" t="s">
        <v>1068</v>
      </c>
      <c r="E341" s="28" t="s">
        <v>46</v>
      </c>
      <c r="F341" s="29" t="s">
        <v>46</v>
      </c>
      <c r="G341" s="30" t="s">
        <v>46</v>
      </c>
      <c r="H341" s="31"/>
      <c r="I341" s="31" t="s">
        <v>600</v>
      </c>
      <c r="J341" s="32" t="n">
        <v>1.0</v>
      </c>
      <c r="K341" s="33" t="n">
        <f>65500</f>
        <v>65500.0</v>
      </c>
      <c r="L341" s="34" t="s">
        <v>48</v>
      </c>
      <c r="M341" s="33" t="n">
        <f>69700</f>
        <v>69700.0</v>
      </c>
      <c r="N341" s="34" t="s">
        <v>50</v>
      </c>
      <c r="O341" s="33" t="n">
        <f>64300</f>
        <v>64300.0</v>
      </c>
      <c r="P341" s="34" t="s">
        <v>48</v>
      </c>
      <c r="Q341" s="33" t="n">
        <f>68800</f>
        <v>68800.0</v>
      </c>
      <c r="R341" s="34" t="s">
        <v>50</v>
      </c>
      <c r="S341" s="35" t="n">
        <f>66370</f>
        <v>66370.0</v>
      </c>
      <c r="T341" s="32" t="n">
        <f>23358</f>
        <v>23358.0</v>
      </c>
      <c r="U341" s="32" t="n">
        <f>2676</f>
        <v>2676.0</v>
      </c>
      <c r="V341" s="32" t="n">
        <f>1550048093</f>
        <v>1.550048093E9</v>
      </c>
      <c r="W341" s="32" t="n">
        <f>176948993</f>
        <v>1.76948993E8</v>
      </c>
      <c r="X341" s="36" t="n">
        <f>20</f>
        <v>20.0</v>
      </c>
    </row>
    <row r="342">
      <c r="A342" s="27" t="s">
        <v>42</v>
      </c>
      <c r="B342" s="27" t="s">
        <v>1069</v>
      </c>
      <c r="C342" s="27" t="s">
        <v>1070</v>
      </c>
      <c r="D342" s="27" t="s">
        <v>1071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49250</f>
        <v>49250.0</v>
      </c>
      <c r="L342" s="34" t="s">
        <v>48</v>
      </c>
      <c r="M342" s="33" t="n">
        <f>49550</f>
        <v>49550.0</v>
      </c>
      <c r="N342" s="34" t="s">
        <v>76</v>
      </c>
      <c r="O342" s="33" t="n">
        <f>46500</f>
        <v>46500.0</v>
      </c>
      <c r="P342" s="34" t="s">
        <v>110</v>
      </c>
      <c r="Q342" s="33" t="n">
        <f>47900</f>
        <v>47900.0</v>
      </c>
      <c r="R342" s="34" t="s">
        <v>50</v>
      </c>
      <c r="S342" s="35" t="n">
        <f>47875</f>
        <v>47875.0</v>
      </c>
      <c r="T342" s="32" t="n">
        <f>282317</f>
        <v>282317.0</v>
      </c>
      <c r="U342" s="32" t="n">
        <f>40468</f>
        <v>40468.0</v>
      </c>
      <c r="V342" s="32" t="n">
        <f>13463398230</f>
        <v>1.346339823E10</v>
      </c>
      <c r="W342" s="32" t="n">
        <f>1929558380</f>
        <v>1.92955838E9</v>
      </c>
      <c r="X342" s="36" t="n">
        <f>20</f>
        <v>20.0</v>
      </c>
    </row>
    <row r="343">
      <c r="A343" s="27" t="s">
        <v>42</v>
      </c>
      <c r="B343" s="27" t="s">
        <v>1072</v>
      </c>
      <c r="C343" s="27" t="s">
        <v>1073</v>
      </c>
      <c r="D343" s="27" t="s">
        <v>1074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133100</f>
        <v>133100.0</v>
      </c>
      <c r="L343" s="34" t="s">
        <v>48</v>
      </c>
      <c r="M343" s="33" t="n">
        <f>141900</f>
        <v>141900.0</v>
      </c>
      <c r="N343" s="34" t="s">
        <v>50</v>
      </c>
      <c r="O343" s="33" t="n">
        <f>128700</f>
        <v>128700.0</v>
      </c>
      <c r="P343" s="34" t="s">
        <v>193</v>
      </c>
      <c r="Q343" s="33" t="n">
        <f>141100</f>
        <v>141100.0</v>
      </c>
      <c r="R343" s="34" t="s">
        <v>50</v>
      </c>
      <c r="S343" s="35" t="n">
        <f>133525</f>
        <v>133525.0</v>
      </c>
      <c r="T343" s="32" t="n">
        <f>21891</f>
        <v>21891.0</v>
      </c>
      <c r="U343" s="32" t="n">
        <f>3735</f>
        <v>3735.0</v>
      </c>
      <c r="V343" s="32" t="n">
        <f>2934071374</f>
        <v>2.934071374E9</v>
      </c>
      <c r="W343" s="32" t="n">
        <f>498739874</f>
        <v>4.98739874E8</v>
      </c>
      <c r="X343" s="36" t="n">
        <f>20</f>
        <v>20.0</v>
      </c>
    </row>
    <row r="344">
      <c r="A344" s="27" t="s">
        <v>42</v>
      </c>
      <c r="B344" s="27" t="s">
        <v>1075</v>
      </c>
      <c r="C344" s="27" t="s">
        <v>1076</v>
      </c>
      <c r="D344" s="27" t="s">
        <v>1077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453000</f>
        <v>453000.0</v>
      </c>
      <c r="L344" s="34" t="s">
        <v>48</v>
      </c>
      <c r="M344" s="33" t="n">
        <f>465000</f>
        <v>465000.0</v>
      </c>
      <c r="N344" s="34" t="s">
        <v>76</v>
      </c>
      <c r="O344" s="33" t="n">
        <f>392500</f>
        <v>392500.0</v>
      </c>
      <c r="P344" s="34" t="s">
        <v>77</v>
      </c>
      <c r="Q344" s="33" t="n">
        <f>440000</f>
        <v>440000.0</v>
      </c>
      <c r="R344" s="34" t="s">
        <v>50</v>
      </c>
      <c r="S344" s="35" t="n">
        <f>431550</f>
        <v>431550.0</v>
      </c>
      <c r="T344" s="32" t="n">
        <f>129012</f>
        <v>129012.0</v>
      </c>
      <c r="U344" s="32" t="n">
        <f>20524</f>
        <v>20524.0</v>
      </c>
      <c r="V344" s="32" t="n">
        <f>53900694677</f>
        <v>5.3900694677E10</v>
      </c>
      <c r="W344" s="32" t="n">
        <f>8615769677</f>
        <v>8.615769677E9</v>
      </c>
      <c r="X344" s="36" t="n">
        <f>20</f>
        <v>20.0</v>
      </c>
    </row>
    <row r="345">
      <c r="A345" s="27" t="s">
        <v>42</v>
      </c>
      <c r="B345" s="27" t="s">
        <v>1078</v>
      </c>
      <c r="C345" s="27" t="s">
        <v>1079</v>
      </c>
      <c r="D345" s="27" t="s">
        <v>1080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205900</f>
        <v>205900.0</v>
      </c>
      <c r="L345" s="34" t="s">
        <v>48</v>
      </c>
      <c r="M345" s="33" t="n">
        <f>209300</f>
        <v>209300.0</v>
      </c>
      <c r="N345" s="34" t="s">
        <v>76</v>
      </c>
      <c r="O345" s="33" t="n">
        <f>189700</f>
        <v>189700.0</v>
      </c>
      <c r="P345" s="34" t="s">
        <v>193</v>
      </c>
      <c r="Q345" s="33" t="n">
        <f>204600</f>
        <v>204600.0</v>
      </c>
      <c r="R345" s="34" t="s">
        <v>50</v>
      </c>
      <c r="S345" s="35" t="n">
        <f>199085</f>
        <v>199085.0</v>
      </c>
      <c r="T345" s="32" t="n">
        <f>37662</f>
        <v>37662.0</v>
      </c>
      <c r="U345" s="32" t="n">
        <f>6052</f>
        <v>6052.0</v>
      </c>
      <c r="V345" s="32" t="n">
        <f>7509678794</f>
        <v>7.509678794E9</v>
      </c>
      <c r="W345" s="32" t="n">
        <f>1198401194</f>
        <v>1.198401194E9</v>
      </c>
      <c r="X345" s="36" t="n">
        <f>20</f>
        <v>20.0</v>
      </c>
    </row>
    <row r="346">
      <c r="A346" s="27" t="s">
        <v>42</v>
      </c>
      <c r="B346" s="27" t="s">
        <v>1081</v>
      </c>
      <c r="C346" s="27" t="s">
        <v>1082</v>
      </c>
      <c r="D346" s="27" t="s">
        <v>1083</v>
      </c>
      <c r="E346" s="28" t="s">
        <v>46</v>
      </c>
      <c r="F346" s="29" t="s">
        <v>46</v>
      </c>
      <c r="G346" s="30" t="s">
        <v>46</v>
      </c>
      <c r="H346" s="31"/>
      <c r="I346" s="31" t="s">
        <v>600</v>
      </c>
      <c r="J346" s="32" t="n">
        <v>1.0</v>
      </c>
      <c r="K346" s="33" t="n">
        <f>122900</f>
        <v>122900.0</v>
      </c>
      <c r="L346" s="34" t="s">
        <v>48</v>
      </c>
      <c r="M346" s="33" t="n">
        <f>125900</f>
        <v>125900.0</v>
      </c>
      <c r="N346" s="34" t="s">
        <v>109</v>
      </c>
      <c r="O346" s="33" t="n">
        <f>115400</f>
        <v>115400.0</v>
      </c>
      <c r="P346" s="34" t="s">
        <v>72</v>
      </c>
      <c r="Q346" s="33" t="n">
        <f>123000</f>
        <v>123000.0</v>
      </c>
      <c r="R346" s="34" t="s">
        <v>50</v>
      </c>
      <c r="S346" s="35" t="n">
        <f>121135</f>
        <v>121135.0</v>
      </c>
      <c r="T346" s="32" t="n">
        <f>27370</f>
        <v>27370.0</v>
      </c>
      <c r="U346" s="32" t="n">
        <f>8610</f>
        <v>8610.0</v>
      </c>
      <c r="V346" s="32" t="n">
        <f>3306863315</f>
        <v>3.306863315E9</v>
      </c>
      <c r="W346" s="32" t="n">
        <f>1043558215</f>
        <v>1.043558215E9</v>
      </c>
      <c r="X346" s="36" t="n">
        <f>20</f>
        <v>20.0</v>
      </c>
    </row>
    <row r="347">
      <c r="A347" s="27" t="s">
        <v>42</v>
      </c>
      <c r="B347" s="27" t="s">
        <v>1084</v>
      </c>
      <c r="C347" s="27" t="s">
        <v>1085</v>
      </c>
      <c r="D347" s="27" t="s">
        <v>1086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102400</f>
        <v>102400.0</v>
      </c>
      <c r="L347" s="34" t="s">
        <v>48</v>
      </c>
      <c r="M347" s="33" t="n">
        <f>105900</f>
        <v>105900.0</v>
      </c>
      <c r="N347" s="34" t="s">
        <v>109</v>
      </c>
      <c r="O347" s="33" t="n">
        <f>94000</f>
        <v>94000.0</v>
      </c>
      <c r="P347" s="34" t="s">
        <v>193</v>
      </c>
      <c r="Q347" s="33" t="n">
        <f>101400</f>
        <v>101400.0</v>
      </c>
      <c r="R347" s="34" t="s">
        <v>50</v>
      </c>
      <c r="S347" s="35" t="n">
        <f>100045</f>
        <v>100045.0</v>
      </c>
      <c r="T347" s="32" t="n">
        <f>85603</f>
        <v>85603.0</v>
      </c>
      <c r="U347" s="32" t="n">
        <f>8492</f>
        <v>8492.0</v>
      </c>
      <c r="V347" s="32" t="n">
        <f>8500582370</f>
        <v>8.50058237E9</v>
      </c>
      <c r="W347" s="32" t="n">
        <f>839575770</f>
        <v>8.3957577E8</v>
      </c>
      <c r="X347" s="36" t="n">
        <f>20</f>
        <v>20.0</v>
      </c>
    </row>
    <row r="348">
      <c r="A348" s="27" t="s">
        <v>42</v>
      </c>
      <c r="B348" s="27" t="s">
        <v>1087</v>
      </c>
      <c r="C348" s="27" t="s">
        <v>1088</v>
      </c>
      <c r="D348" s="27" t="s">
        <v>1089</v>
      </c>
      <c r="E348" s="28" t="s">
        <v>46</v>
      </c>
      <c r="F348" s="29" t="s">
        <v>46</v>
      </c>
      <c r="G348" s="30" t="s">
        <v>46</v>
      </c>
      <c r="H348" s="31"/>
      <c r="I348" s="31" t="s">
        <v>600</v>
      </c>
      <c r="J348" s="32" t="n">
        <v>1.0</v>
      </c>
      <c r="K348" s="33" t="n">
        <f>149000</f>
        <v>149000.0</v>
      </c>
      <c r="L348" s="34" t="s">
        <v>48</v>
      </c>
      <c r="M348" s="33" t="n">
        <f>150900</f>
        <v>150900.0</v>
      </c>
      <c r="N348" s="34" t="s">
        <v>76</v>
      </c>
      <c r="O348" s="33" t="n">
        <f>135800</f>
        <v>135800.0</v>
      </c>
      <c r="P348" s="34" t="s">
        <v>110</v>
      </c>
      <c r="Q348" s="33" t="n">
        <f>145400</f>
        <v>145400.0</v>
      </c>
      <c r="R348" s="34" t="s">
        <v>50</v>
      </c>
      <c r="S348" s="35" t="n">
        <f>142470</f>
        <v>142470.0</v>
      </c>
      <c r="T348" s="32" t="n">
        <f>159739</f>
        <v>159739.0</v>
      </c>
      <c r="U348" s="32" t="n">
        <f>28115</f>
        <v>28115.0</v>
      </c>
      <c r="V348" s="32" t="n">
        <f>22446552608</f>
        <v>2.2446552608E10</v>
      </c>
      <c r="W348" s="32" t="n">
        <f>3903804808</f>
        <v>3.903804808E9</v>
      </c>
      <c r="X348" s="36" t="n">
        <f>20</f>
        <v>20.0</v>
      </c>
    </row>
    <row r="349">
      <c r="A349" s="27" t="s">
        <v>42</v>
      </c>
      <c r="B349" s="27" t="s">
        <v>1090</v>
      </c>
      <c r="C349" s="27" t="s">
        <v>1091</v>
      </c>
      <c r="D349" s="27" t="s">
        <v>1092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645000</f>
        <v>645000.0</v>
      </c>
      <c r="L349" s="34" t="s">
        <v>48</v>
      </c>
      <c r="M349" s="33" t="n">
        <f>665000</f>
        <v>665000.0</v>
      </c>
      <c r="N349" s="34" t="s">
        <v>50</v>
      </c>
      <c r="O349" s="33" t="n">
        <f>606000</f>
        <v>606000.0</v>
      </c>
      <c r="P349" s="34" t="s">
        <v>72</v>
      </c>
      <c r="Q349" s="33" t="n">
        <f>661000</f>
        <v>661000.0</v>
      </c>
      <c r="R349" s="34" t="s">
        <v>50</v>
      </c>
      <c r="S349" s="35" t="n">
        <f>635900</f>
        <v>635900.0</v>
      </c>
      <c r="T349" s="32" t="n">
        <f>140968</f>
        <v>140968.0</v>
      </c>
      <c r="U349" s="32" t="n">
        <f>27921</f>
        <v>27921.0</v>
      </c>
      <c r="V349" s="32" t="n">
        <f>89913792510</f>
        <v>8.991379251E10</v>
      </c>
      <c r="W349" s="32" t="n">
        <f>17828422510</f>
        <v>1.782842251E10</v>
      </c>
      <c r="X349" s="36" t="n">
        <f>20</f>
        <v>20.0</v>
      </c>
    </row>
    <row r="350">
      <c r="A350" s="27" t="s">
        <v>42</v>
      </c>
      <c r="B350" s="27" t="s">
        <v>1093</v>
      </c>
      <c r="C350" s="27" t="s">
        <v>1094</v>
      </c>
      <c r="D350" s="27" t="s">
        <v>1095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605000</f>
        <v>605000.0</v>
      </c>
      <c r="L350" s="34" t="s">
        <v>48</v>
      </c>
      <c r="M350" s="33" t="n">
        <f>629000</f>
        <v>629000.0</v>
      </c>
      <c r="N350" s="34" t="s">
        <v>50</v>
      </c>
      <c r="O350" s="33" t="n">
        <f>568000</f>
        <v>568000.0</v>
      </c>
      <c r="P350" s="34" t="s">
        <v>72</v>
      </c>
      <c r="Q350" s="33" t="n">
        <f>623000</f>
        <v>623000.0</v>
      </c>
      <c r="R350" s="34" t="s">
        <v>50</v>
      </c>
      <c r="S350" s="35" t="n">
        <f>594850</f>
        <v>594850.0</v>
      </c>
      <c r="T350" s="32" t="n">
        <f>120429</f>
        <v>120429.0</v>
      </c>
      <c r="U350" s="32" t="n">
        <f>27242</f>
        <v>27242.0</v>
      </c>
      <c r="V350" s="32" t="n">
        <f>71822679284</f>
        <v>7.1822679284E10</v>
      </c>
      <c r="W350" s="32" t="n">
        <f>16223433284</f>
        <v>1.6223433284E10</v>
      </c>
      <c r="X350" s="36" t="n">
        <f>20</f>
        <v>20.0</v>
      </c>
    </row>
    <row r="351">
      <c r="A351" s="27" t="s">
        <v>42</v>
      </c>
      <c r="B351" s="27" t="s">
        <v>1096</v>
      </c>
      <c r="C351" s="27" t="s">
        <v>1097</v>
      </c>
      <c r="D351" s="27" t="s">
        <v>1098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109400</f>
        <v>109400.0</v>
      </c>
      <c r="L351" s="34" t="s">
        <v>48</v>
      </c>
      <c r="M351" s="33" t="n">
        <f>111800</f>
        <v>111800.0</v>
      </c>
      <c r="N351" s="34" t="s">
        <v>109</v>
      </c>
      <c r="O351" s="33" t="n">
        <f>101500</f>
        <v>101500.0</v>
      </c>
      <c r="P351" s="34" t="s">
        <v>167</v>
      </c>
      <c r="Q351" s="33" t="n">
        <f>109500</f>
        <v>109500.0</v>
      </c>
      <c r="R351" s="34" t="s">
        <v>50</v>
      </c>
      <c r="S351" s="35" t="n">
        <f>106660</f>
        <v>106660.0</v>
      </c>
      <c r="T351" s="32" t="n">
        <f>518409</f>
        <v>518409.0</v>
      </c>
      <c r="U351" s="32" t="n">
        <f>126605</f>
        <v>126605.0</v>
      </c>
      <c r="V351" s="32" t="n">
        <f>55305231383</f>
        <v>5.5305231383E10</v>
      </c>
      <c r="W351" s="32" t="n">
        <f>13499131183</f>
        <v>1.3499131183E10</v>
      </c>
      <c r="X351" s="36" t="n">
        <f>20</f>
        <v>20.0</v>
      </c>
    </row>
    <row r="352">
      <c r="A352" s="27" t="s">
        <v>42</v>
      </c>
      <c r="B352" s="27" t="s">
        <v>1099</v>
      </c>
      <c r="C352" s="27" t="s">
        <v>1100</v>
      </c>
      <c r="D352" s="27" t="s">
        <v>1101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186900</f>
        <v>186900.0</v>
      </c>
      <c r="L352" s="34" t="s">
        <v>48</v>
      </c>
      <c r="M352" s="33" t="n">
        <f>200800</f>
        <v>200800.0</v>
      </c>
      <c r="N352" s="34" t="s">
        <v>50</v>
      </c>
      <c r="O352" s="33" t="n">
        <f>178400</f>
        <v>178400.0</v>
      </c>
      <c r="P352" s="34" t="s">
        <v>167</v>
      </c>
      <c r="Q352" s="33" t="n">
        <f>199500</f>
        <v>199500.0</v>
      </c>
      <c r="R352" s="34" t="s">
        <v>50</v>
      </c>
      <c r="S352" s="35" t="n">
        <f>187400</f>
        <v>187400.0</v>
      </c>
      <c r="T352" s="32" t="n">
        <f>237812</f>
        <v>237812.0</v>
      </c>
      <c r="U352" s="32" t="n">
        <f>52049</f>
        <v>52049.0</v>
      </c>
      <c r="V352" s="32" t="n">
        <f>44798821909</f>
        <v>4.4798821909E10</v>
      </c>
      <c r="W352" s="32" t="n">
        <f>9777424309</f>
        <v>9.777424309E9</v>
      </c>
      <c r="X352" s="36" t="n">
        <f>20</f>
        <v>20.0</v>
      </c>
    </row>
    <row r="353">
      <c r="A353" s="27" t="s">
        <v>42</v>
      </c>
      <c r="B353" s="27" t="s">
        <v>1102</v>
      </c>
      <c r="C353" s="27" t="s">
        <v>1103</v>
      </c>
      <c r="D353" s="27" t="s">
        <v>1104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398000</f>
        <v>398000.0</v>
      </c>
      <c r="L353" s="34" t="s">
        <v>48</v>
      </c>
      <c r="M353" s="33" t="n">
        <f>405500</f>
        <v>405500.0</v>
      </c>
      <c r="N353" s="34" t="s">
        <v>50</v>
      </c>
      <c r="O353" s="33" t="n">
        <f>373000</f>
        <v>373000.0</v>
      </c>
      <c r="P353" s="34" t="s">
        <v>110</v>
      </c>
      <c r="Q353" s="33" t="n">
        <f>403500</f>
        <v>403500.0</v>
      </c>
      <c r="R353" s="34" t="s">
        <v>50</v>
      </c>
      <c r="S353" s="35" t="n">
        <f>387775</f>
        <v>387775.0</v>
      </c>
      <c r="T353" s="32" t="n">
        <f>61270</f>
        <v>61270.0</v>
      </c>
      <c r="U353" s="32" t="n">
        <f>15585</f>
        <v>15585.0</v>
      </c>
      <c r="V353" s="32" t="n">
        <f>23811801333</f>
        <v>2.3811801333E10</v>
      </c>
      <c r="W353" s="32" t="n">
        <f>6049314833</f>
        <v>6.049314833E9</v>
      </c>
      <c r="X353" s="36" t="n">
        <f>20</f>
        <v>20.0</v>
      </c>
    </row>
    <row r="354">
      <c r="A354" s="27" t="s">
        <v>42</v>
      </c>
      <c r="B354" s="27" t="s">
        <v>1105</v>
      </c>
      <c r="C354" s="27" t="s">
        <v>1106</v>
      </c>
      <c r="D354" s="27" t="s">
        <v>1107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148200</f>
        <v>148200.0</v>
      </c>
      <c r="L354" s="34" t="s">
        <v>48</v>
      </c>
      <c r="M354" s="33" t="n">
        <f>148900</f>
        <v>148900.0</v>
      </c>
      <c r="N354" s="34" t="s">
        <v>109</v>
      </c>
      <c r="O354" s="33" t="n">
        <f>141100</f>
        <v>141100.0</v>
      </c>
      <c r="P354" s="34" t="s">
        <v>110</v>
      </c>
      <c r="Q354" s="33" t="n">
        <f>145600</f>
        <v>145600.0</v>
      </c>
      <c r="R354" s="34" t="s">
        <v>50</v>
      </c>
      <c r="S354" s="35" t="n">
        <f>145060</f>
        <v>145060.0</v>
      </c>
      <c r="T354" s="32" t="n">
        <f>121387</f>
        <v>121387.0</v>
      </c>
      <c r="U354" s="32" t="n">
        <f>20507</f>
        <v>20507.0</v>
      </c>
      <c r="V354" s="32" t="n">
        <f>17628321654</f>
        <v>1.7628321654E10</v>
      </c>
      <c r="W354" s="32" t="n">
        <f>2976441854</f>
        <v>2.976441854E9</v>
      </c>
      <c r="X354" s="36" t="n">
        <f>20</f>
        <v>20.0</v>
      </c>
    </row>
    <row r="355">
      <c r="A355" s="27" t="s">
        <v>42</v>
      </c>
      <c r="B355" s="27" t="s">
        <v>1108</v>
      </c>
      <c r="C355" s="27" t="s">
        <v>1109</v>
      </c>
      <c r="D355" s="27" t="s">
        <v>1110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198000</f>
        <v>198000.0</v>
      </c>
      <c r="L355" s="34" t="s">
        <v>48</v>
      </c>
      <c r="M355" s="33" t="n">
        <f>212600</f>
        <v>212600.0</v>
      </c>
      <c r="N355" s="34" t="s">
        <v>50</v>
      </c>
      <c r="O355" s="33" t="n">
        <f>193600</f>
        <v>193600.0</v>
      </c>
      <c r="P355" s="34" t="s">
        <v>270</v>
      </c>
      <c r="Q355" s="33" t="n">
        <f>211700</f>
        <v>211700.0</v>
      </c>
      <c r="R355" s="34" t="s">
        <v>50</v>
      </c>
      <c r="S355" s="35" t="n">
        <f>200750</f>
        <v>200750.0</v>
      </c>
      <c r="T355" s="32" t="n">
        <f>81530</f>
        <v>81530.0</v>
      </c>
      <c r="U355" s="32" t="n">
        <f>19281</f>
        <v>19281.0</v>
      </c>
      <c r="V355" s="32" t="n">
        <f>16407220653</f>
        <v>1.6407220653E10</v>
      </c>
      <c r="W355" s="32" t="n">
        <f>3870963753</f>
        <v>3.870963753E9</v>
      </c>
      <c r="X355" s="36" t="n">
        <f>20</f>
        <v>20.0</v>
      </c>
    </row>
    <row r="356">
      <c r="A356" s="27" t="s">
        <v>42</v>
      </c>
      <c r="B356" s="27" t="s">
        <v>1111</v>
      </c>
      <c r="C356" s="27" t="s">
        <v>1112</v>
      </c>
      <c r="D356" s="27" t="s">
        <v>1113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109000</f>
        <v>109000.0</v>
      </c>
      <c r="L356" s="34" t="s">
        <v>48</v>
      </c>
      <c r="M356" s="33" t="n">
        <f>115300</f>
        <v>115300.0</v>
      </c>
      <c r="N356" s="34" t="s">
        <v>50</v>
      </c>
      <c r="O356" s="33" t="n">
        <f>105000</f>
        <v>105000.0</v>
      </c>
      <c r="P356" s="34" t="s">
        <v>110</v>
      </c>
      <c r="Q356" s="33" t="n">
        <f>114800</f>
        <v>114800.0</v>
      </c>
      <c r="R356" s="34" t="s">
        <v>50</v>
      </c>
      <c r="S356" s="35" t="n">
        <f>109465</f>
        <v>109465.0</v>
      </c>
      <c r="T356" s="32" t="n">
        <f>93074</f>
        <v>93074.0</v>
      </c>
      <c r="U356" s="32" t="n">
        <f>26602</f>
        <v>26602.0</v>
      </c>
      <c r="V356" s="32" t="n">
        <f>10210801492</f>
        <v>1.0210801492E10</v>
      </c>
      <c r="W356" s="32" t="n">
        <f>2905780892</f>
        <v>2.905780892E9</v>
      </c>
      <c r="X356" s="36" t="n">
        <f>20</f>
        <v>20.0</v>
      </c>
    </row>
    <row r="357">
      <c r="A357" s="27" t="s">
        <v>42</v>
      </c>
      <c r="B357" s="27" t="s">
        <v>1114</v>
      </c>
      <c r="C357" s="27" t="s">
        <v>1115</v>
      </c>
      <c r="D357" s="27" t="s">
        <v>1116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149800</f>
        <v>149800.0</v>
      </c>
      <c r="L357" s="34" t="s">
        <v>48</v>
      </c>
      <c r="M357" s="33" t="n">
        <f>158500</f>
        <v>158500.0</v>
      </c>
      <c r="N357" s="34" t="s">
        <v>50</v>
      </c>
      <c r="O357" s="33" t="n">
        <f>145200</f>
        <v>145200.0</v>
      </c>
      <c r="P357" s="34" t="s">
        <v>110</v>
      </c>
      <c r="Q357" s="33" t="n">
        <f>157200</f>
        <v>157200.0</v>
      </c>
      <c r="R357" s="34" t="s">
        <v>50</v>
      </c>
      <c r="S357" s="35" t="n">
        <f>149905</f>
        <v>149905.0</v>
      </c>
      <c r="T357" s="32" t="n">
        <f>222028</f>
        <v>222028.0</v>
      </c>
      <c r="U357" s="32" t="n">
        <f>59117</f>
        <v>59117.0</v>
      </c>
      <c r="V357" s="32" t="n">
        <f>33394680655</f>
        <v>3.3394680655E10</v>
      </c>
      <c r="W357" s="32" t="n">
        <f>8856303755</f>
        <v>8.856303755E9</v>
      </c>
      <c r="X357" s="36" t="n">
        <f>20</f>
        <v>20.0</v>
      </c>
    </row>
    <row r="358">
      <c r="A358" s="27" t="s">
        <v>42</v>
      </c>
      <c r="B358" s="27" t="s">
        <v>1117</v>
      </c>
      <c r="C358" s="27" t="s">
        <v>1118</v>
      </c>
      <c r="D358" s="27" t="s">
        <v>1119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138200</f>
        <v>138200.0</v>
      </c>
      <c r="L358" s="34" t="s">
        <v>48</v>
      </c>
      <c r="M358" s="33" t="n">
        <f>149100</f>
        <v>149100.0</v>
      </c>
      <c r="N358" s="34" t="s">
        <v>50</v>
      </c>
      <c r="O358" s="33" t="n">
        <f>134200</f>
        <v>134200.0</v>
      </c>
      <c r="P358" s="34" t="s">
        <v>193</v>
      </c>
      <c r="Q358" s="33" t="n">
        <f>148300</f>
        <v>148300.0</v>
      </c>
      <c r="R358" s="34" t="s">
        <v>50</v>
      </c>
      <c r="S358" s="35" t="n">
        <f>139410</f>
        <v>139410.0</v>
      </c>
      <c r="T358" s="32" t="n">
        <f>89091</f>
        <v>89091.0</v>
      </c>
      <c r="U358" s="32" t="n">
        <f>22089</f>
        <v>22089.0</v>
      </c>
      <c r="V358" s="32" t="n">
        <f>12534074181</f>
        <v>1.2534074181E10</v>
      </c>
      <c r="W358" s="32" t="n">
        <f>3085310081</f>
        <v>3.085310081E9</v>
      </c>
      <c r="X358" s="36" t="n">
        <f>20</f>
        <v>20.0</v>
      </c>
    </row>
    <row r="359">
      <c r="A359" s="27" t="s">
        <v>42</v>
      </c>
      <c r="B359" s="27" t="s">
        <v>1120</v>
      </c>
      <c r="C359" s="27" t="s">
        <v>1121</v>
      </c>
      <c r="D359" s="27" t="s">
        <v>1122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45700</f>
        <v>45700.0</v>
      </c>
      <c r="L359" s="34" t="s">
        <v>48</v>
      </c>
      <c r="M359" s="33" t="n">
        <f>47050</f>
        <v>47050.0</v>
      </c>
      <c r="N359" s="34" t="s">
        <v>72</v>
      </c>
      <c r="O359" s="33" t="n">
        <f>44150</f>
        <v>44150.0</v>
      </c>
      <c r="P359" s="34" t="s">
        <v>48</v>
      </c>
      <c r="Q359" s="33" t="n">
        <f>46700</f>
        <v>46700.0</v>
      </c>
      <c r="R359" s="34" t="s">
        <v>50</v>
      </c>
      <c r="S359" s="35" t="n">
        <f>45945</f>
        <v>45945.0</v>
      </c>
      <c r="T359" s="32" t="n">
        <f>647937</f>
        <v>647937.0</v>
      </c>
      <c r="U359" s="32" t="n">
        <f>194099</f>
        <v>194099.0</v>
      </c>
      <c r="V359" s="32" t="n">
        <f>29766539038</f>
        <v>2.9766539038E10</v>
      </c>
      <c r="W359" s="32" t="n">
        <f>8910032838</f>
        <v>8.910032838E9</v>
      </c>
      <c r="X359" s="36" t="n">
        <f>20</f>
        <v>20.0</v>
      </c>
    </row>
    <row r="360">
      <c r="A360" s="27" t="s">
        <v>42</v>
      </c>
      <c r="B360" s="27" t="s">
        <v>1123</v>
      </c>
      <c r="C360" s="27" t="s">
        <v>1124</v>
      </c>
      <c r="D360" s="27" t="s">
        <v>1125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532000</f>
        <v>532000.0</v>
      </c>
      <c r="L360" s="34" t="s">
        <v>48</v>
      </c>
      <c r="M360" s="33" t="n">
        <f>542000</f>
        <v>542000.0</v>
      </c>
      <c r="N360" s="34" t="s">
        <v>109</v>
      </c>
      <c r="O360" s="33" t="n">
        <f>494500</f>
        <v>494500.0</v>
      </c>
      <c r="P360" s="34" t="s">
        <v>193</v>
      </c>
      <c r="Q360" s="33" t="n">
        <f>525000</f>
        <v>525000.0</v>
      </c>
      <c r="R360" s="34" t="s">
        <v>50</v>
      </c>
      <c r="S360" s="35" t="n">
        <f>516950</f>
        <v>516950.0</v>
      </c>
      <c r="T360" s="32" t="n">
        <f>47448</f>
        <v>47448.0</v>
      </c>
      <c r="U360" s="32" t="n">
        <f>12240</f>
        <v>12240.0</v>
      </c>
      <c r="V360" s="32" t="n">
        <f>24519034393</f>
        <v>2.4519034393E10</v>
      </c>
      <c r="W360" s="32" t="n">
        <f>6319213893</f>
        <v>6.319213893E9</v>
      </c>
      <c r="X360" s="36" t="n">
        <f>20</f>
        <v>20.0</v>
      </c>
    </row>
    <row r="361">
      <c r="A361" s="27" t="s">
        <v>42</v>
      </c>
      <c r="B361" s="27" t="s">
        <v>1126</v>
      </c>
      <c r="C361" s="27" t="s">
        <v>1127</v>
      </c>
      <c r="D361" s="27" t="s">
        <v>1128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151600</f>
        <v>151600.0</v>
      </c>
      <c r="L361" s="34" t="s">
        <v>48</v>
      </c>
      <c r="M361" s="33" t="n">
        <f>155300</f>
        <v>155300.0</v>
      </c>
      <c r="N361" s="34" t="s">
        <v>50</v>
      </c>
      <c r="O361" s="33" t="n">
        <f>142400</f>
        <v>142400.0</v>
      </c>
      <c r="P361" s="34" t="s">
        <v>193</v>
      </c>
      <c r="Q361" s="33" t="n">
        <f>154100</f>
        <v>154100.0</v>
      </c>
      <c r="R361" s="34" t="s">
        <v>50</v>
      </c>
      <c r="S361" s="35" t="n">
        <f>148710</f>
        <v>148710.0</v>
      </c>
      <c r="T361" s="32" t="n">
        <f>70175</f>
        <v>70175.0</v>
      </c>
      <c r="U361" s="32" t="n">
        <f>18519</f>
        <v>18519.0</v>
      </c>
      <c r="V361" s="32" t="n">
        <f>10433816450</f>
        <v>1.043381645E10</v>
      </c>
      <c r="W361" s="32" t="n">
        <f>2736361650</f>
        <v>2.73636165E9</v>
      </c>
      <c r="X361" s="36" t="n">
        <f>20</f>
        <v>20.0</v>
      </c>
    </row>
    <row r="362">
      <c r="A362" s="27" t="s">
        <v>42</v>
      </c>
      <c r="B362" s="27" t="s">
        <v>1129</v>
      </c>
      <c r="C362" s="27" t="s">
        <v>1130</v>
      </c>
      <c r="D362" s="27" t="s">
        <v>1131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314500</f>
        <v>314500.0</v>
      </c>
      <c r="L362" s="34" t="s">
        <v>48</v>
      </c>
      <c r="M362" s="33" t="n">
        <f>323000</f>
        <v>323000.0</v>
      </c>
      <c r="N362" s="34" t="s">
        <v>49</v>
      </c>
      <c r="O362" s="33" t="n">
        <f>299000</f>
        <v>299000.0</v>
      </c>
      <c r="P362" s="34" t="s">
        <v>77</v>
      </c>
      <c r="Q362" s="33" t="n">
        <f>318500</f>
        <v>318500.0</v>
      </c>
      <c r="R362" s="34" t="s">
        <v>50</v>
      </c>
      <c r="S362" s="35" t="n">
        <f>312075</f>
        <v>312075.0</v>
      </c>
      <c r="T362" s="32" t="n">
        <f>81170</f>
        <v>81170.0</v>
      </c>
      <c r="U362" s="32" t="n">
        <f>17980</f>
        <v>17980.0</v>
      </c>
      <c r="V362" s="32" t="n">
        <f>25339910828</f>
        <v>2.5339910828E10</v>
      </c>
      <c r="W362" s="32" t="n">
        <f>5596720428</f>
        <v>5.596720428E9</v>
      </c>
      <c r="X362" s="36" t="n">
        <f>20</f>
        <v>20.0</v>
      </c>
    </row>
    <row r="363">
      <c r="A363" s="27" t="s">
        <v>42</v>
      </c>
      <c r="B363" s="27" t="s">
        <v>1132</v>
      </c>
      <c r="C363" s="27" t="s">
        <v>1133</v>
      </c>
      <c r="D363" s="27" t="s">
        <v>1134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170000</f>
        <v>170000.0</v>
      </c>
      <c r="L363" s="34" t="s">
        <v>48</v>
      </c>
      <c r="M363" s="33" t="n">
        <f>173800</f>
        <v>173800.0</v>
      </c>
      <c r="N363" s="34" t="s">
        <v>50</v>
      </c>
      <c r="O363" s="33" t="n">
        <f>160000</f>
        <v>160000.0</v>
      </c>
      <c r="P363" s="34" t="s">
        <v>72</v>
      </c>
      <c r="Q363" s="33" t="n">
        <f>173600</f>
        <v>173600.0</v>
      </c>
      <c r="R363" s="34" t="s">
        <v>50</v>
      </c>
      <c r="S363" s="35" t="n">
        <f>166150</f>
        <v>166150.0</v>
      </c>
      <c r="T363" s="32" t="n">
        <f>57849</f>
        <v>57849.0</v>
      </c>
      <c r="U363" s="32" t="n">
        <f>19579</f>
        <v>19579.0</v>
      </c>
      <c r="V363" s="32" t="n">
        <f>9632031942</f>
        <v>9.632031942E9</v>
      </c>
      <c r="W363" s="32" t="n">
        <f>3250898142</f>
        <v>3.250898142E9</v>
      </c>
      <c r="X363" s="36" t="n">
        <f>20</f>
        <v>20.0</v>
      </c>
    </row>
    <row r="364">
      <c r="A364" s="27" t="s">
        <v>42</v>
      </c>
      <c r="B364" s="27" t="s">
        <v>1135</v>
      </c>
      <c r="C364" s="27" t="s">
        <v>1136</v>
      </c>
      <c r="D364" s="27" t="s">
        <v>1137</v>
      </c>
      <c r="E364" s="28" t="s">
        <v>498</v>
      </c>
      <c r="F364" s="29" t="s">
        <v>499</v>
      </c>
      <c r="G364" s="30" t="s">
        <v>46</v>
      </c>
      <c r="H364" s="31"/>
      <c r="I364" s="31" t="s">
        <v>47</v>
      </c>
      <c r="J364" s="32" t="n">
        <v>1.0</v>
      </c>
      <c r="K364" s="33" t="n">
        <f>685000</f>
        <v>685000.0</v>
      </c>
      <c r="L364" s="34" t="s">
        <v>48</v>
      </c>
      <c r="M364" s="33" t="n">
        <f>703000</f>
        <v>703000.0</v>
      </c>
      <c r="N364" s="34" t="s">
        <v>109</v>
      </c>
      <c r="O364" s="33" t="n">
        <f>646000</f>
        <v>646000.0</v>
      </c>
      <c r="P364" s="34" t="s">
        <v>193</v>
      </c>
      <c r="Q364" s="33" t="n">
        <f>678000</f>
        <v>678000.0</v>
      </c>
      <c r="R364" s="34" t="s">
        <v>163</v>
      </c>
      <c r="S364" s="35" t="n">
        <f>674888.89</f>
        <v>674888.89</v>
      </c>
      <c r="T364" s="32" t="n">
        <f>38035</f>
        <v>38035.0</v>
      </c>
      <c r="U364" s="32" t="n">
        <f>5178</f>
        <v>5178.0</v>
      </c>
      <c r="V364" s="32" t="n">
        <f>25568181462</f>
        <v>2.5568181462E10</v>
      </c>
      <c r="W364" s="32" t="n">
        <f>3485780462</f>
        <v>3.485780462E9</v>
      </c>
      <c r="X364" s="36" t="n">
        <f>18</f>
        <v>18.0</v>
      </c>
    </row>
    <row r="365">
      <c r="A365" s="27" t="s">
        <v>42</v>
      </c>
      <c r="B365" s="27" t="s">
        <v>1135</v>
      </c>
      <c r="C365" s="27" t="s">
        <v>1136</v>
      </c>
      <c r="D365" s="27" t="s">
        <v>1137</v>
      </c>
      <c r="E365" s="28" t="s">
        <v>498</v>
      </c>
      <c r="F365" s="29" t="s">
        <v>499</v>
      </c>
      <c r="G365" s="30" t="s">
        <v>46</v>
      </c>
      <c r="H365" s="31"/>
      <c r="I365" s="31" t="s">
        <v>47</v>
      </c>
      <c r="J365" s="32" t="n">
        <v>1.0</v>
      </c>
      <c r="K365" s="33" t="n">
        <f>332000</f>
        <v>332000.0</v>
      </c>
      <c r="L365" s="34" t="s">
        <v>60</v>
      </c>
      <c r="M365" s="33" t="n">
        <f>342000</f>
        <v>342000.0</v>
      </c>
      <c r="N365" s="34" t="s">
        <v>50</v>
      </c>
      <c r="O365" s="33" t="n">
        <f>329000</f>
        <v>329000.0</v>
      </c>
      <c r="P365" s="34" t="s">
        <v>60</v>
      </c>
      <c r="Q365" s="33" t="n">
        <f>338500</f>
        <v>338500.0</v>
      </c>
      <c r="R365" s="34" t="s">
        <v>50</v>
      </c>
      <c r="S365" s="35" t="n">
        <f>335250</f>
        <v>335250.0</v>
      </c>
      <c r="T365" s="32" t="n">
        <f>9820</f>
        <v>9820.0</v>
      </c>
      <c r="U365" s="32" t="n">
        <f>2010</f>
        <v>2010.0</v>
      </c>
      <c r="V365" s="32" t="n">
        <f>3291946580</f>
        <v>3.29194658E9</v>
      </c>
      <c r="W365" s="32" t="n">
        <f>672067580</f>
        <v>6.7206758E8</v>
      </c>
      <c r="X365" s="36" t="n">
        <f>2</f>
        <v>2.0</v>
      </c>
    </row>
    <row r="366">
      <c r="A366" s="27" t="s">
        <v>42</v>
      </c>
      <c r="B366" s="27" t="s">
        <v>1138</v>
      </c>
      <c r="C366" s="27" t="s">
        <v>1139</v>
      </c>
      <c r="D366" s="27" t="s">
        <v>1140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85200</f>
        <v>85200.0</v>
      </c>
      <c r="L366" s="34" t="s">
        <v>48</v>
      </c>
      <c r="M366" s="33" t="n">
        <f>87300</f>
        <v>87300.0</v>
      </c>
      <c r="N366" s="34" t="s">
        <v>109</v>
      </c>
      <c r="O366" s="33" t="n">
        <f>80500</f>
        <v>80500.0</v>
      </c>
      <c r="P366" s="34" t="s">
        <v>193</v>
      </c>
      <c r="Q366" s="33" t="n">
        <f>83900</f>
        <v>83900.0</v>
      </c>
      <c r="R366" s="34" t="s">
        <v>50</v>
      </c>
      <c r="S366" s="35" t="n">
        <f>84005</f>
        <v>84005.0</v>
      </c>
      <c r="T366" s="32" t="n">
        <f>113695</f>
        <v>113695.0</v>
      </c>
      <c r="U366" s="32" t="n">
        <f>20804</f>
        <v>20804.0</v>
      </c>
      <c r="V366" s="32" t="n">
        <f>9486938346</f>
        <v>9.486938346E9</v>
      </c>
      <c r="W366" s="32" t="n">
        <f>1736370946</f>
        <v>1.736370946E9</v>
      </c>
      <c r="X366" s="36" t="n">
        <f>20</f>
        <v>20.0</v>
      </c>
    </row>
    <row r="367">
      <c r="A367" s="27" t="s">
        <v>42</v>
      </c>
      <c r="B367" s="27" t="s">
        <v>1141</v>
      </c>
      <c r="C367" s="27" t="s">
        <v>1142</v>
      </c>
      <c r="D367" s="27" t="s">
        <v>1143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676000</f>
        <v>676000.0</v>
      </c>
      <c r="L367" s="34" t="s">
        <v>48</v>
      </c>
      <c r="M367" s="33" t="n">
        <f>710000</f>
        <v>710000.0</v>
      </c>
      <c r="N367" s="34" t="s">
        <v>50</v>
      </c>
      <c r="O367" s="33" t="n">
        <f>655000</f>
        <v>655000.0</v>
      </c>
      <c r="P367" s="34" t="s">
        <v>110</v>
      </c>
      <c r="Q367" s="33" t="n">
        <f>702000</f>
        <v>702000.0</v>
      </c>
      <c r="R367" s="34" t="s">
        <v>50</v>
      </c>
      <c r="S367" s="35" t="n">
        <f>679100</f>
        <v>679100.0</v>
      </c>
      <c r="T367" s="32" t="n">
        <f>25205</f>
        <v>25205.0</v>
      </c>
      <c r="U367" s="32" t="n">
        <f>5422</f>
        <v>5422.0</v>
      </c>
      <c r="V367" s="32" t="n">
        <f>17149460199</f>
        <v>1.7149460199E10</v>
      </c>
      <c r="W367" s="32" t="n">
        <f>3677630199</f>
        <v>3.677630199E9</v>
      </c>
      <c r="X367" s="36" t="n">
        <f>20</f>
        <v>20.0</v>
      </c>
    </row>
    <row r="368">
      <c r="A368" s="27" t="s">
        <v>42</v>
      </c>
      <c r="B368" s="27" t="s">
        <v>1144</v>
      </c>
      <c r="C368" s="27" t="s">
        <v>1145</v>
      </c>
      <c r="D368" s="27" t="s">
        <v>1146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151700</f>
        <v>151700.0</v>
      </c>
      <c r="L368" s="34" t="s">
        <v>48</v>
      </c>
      <c r="M368" s="33" t="n">
        <f>154900</f>
        <v>154900.0</v>
      </c>
      <c r="N368" s="34" t="s">
        <v>109</v>
      </c>
      <c r="O368" s="33" t="n">
        <f>143600</f>
        <v>143600.0</v>
      </c>
      <c r="P368" s="34" t="s">
        <v>110</v>
      </c>
      <c r="Q368" s="33" t="n">
        <f>154300</f>
        <v>154300.0</v>
      </c>
      <c r="R368" s="34" t="s">
        <v>50</v>
      </c>
      <c r="S368" s="35" t="n">
        <f>149530</f>
        <v>149530.0</v>
      </c>
      <c r="T368" s="32" t="n">
        <f>42604</f>
        <v>42604.0</v>
      </c>
      <c r="U368" s="32" t="n">
        <f>7789</f>
        <v>7789.0</v>
      </c>
      <c r="V368" s="32" t="n">
        <f>6369036200</f>
        <v>6.3690362E9</v>
      </c>
      <c r="W368" s="32" t="n">
        <f>1161339100</f>
        <v>1.1613391E9</v>
      </c>
      <c r="X368" s="36" t="n">
        <f>20</f>
        <v>20.0</v>
      </c>
    </row>
    <row r="369">
      <c r="A369" s="27" t="s">
        <v>42</v>
      </c>
      <c r="B369" s="27" t="s">
        <v>1147</v>
      </c>
      <c r="C369" s="27" t="s">
        <v>1148</v>
      </c>
      <c r="D369" s="27" t="s">
        <v>1149</v>
      </c>
      <c r="E369" s="28" t="s">
        <v>46</v>
      </c>
      <c r="F369" s="29" t="s">
        <v>46</v>
      </c>
      <c r="G369" s="30" t="s">
        <v>46</v>
      </c>
      <c r="H369" s="31"/>
      <c r="I369" s="31" t="s">
        <v>600</v>
      </c>
      <c r="J369" s="32" t="n">
        <v>1.0</v>
      </c>
      <c r="K369" s="33" t="n">
        <f>252700</f>
        <v>252700.0</v>
      </c>
      <c r="L369" s="34" t="s">
        <v>48</v>
      </c>
      <c r="M369" s="33" t="n">
        <f>258700</f>
        <v>258700.0</v>
      </c>
      <c r="N369" s="34" t="s">
        <v>76</v>
      </c>
      <c r="O369" s="33" t="n">
        <f>221200</f>
        <v>221200.0</v>
      </c>
      <c r="P369" s="34" t="s">
        <v>193</v>
      </c>
      <c r="Q369" s="33" t="n">
        <f>237100</f>
        <v>237100.0</v>
      </c>
      <c r="R369" s="34" t="s">
        <v>50</v>
      </c>
      <c r="S369" s="35" t="n">
        <f>239475</f>
        <v>239475.0</v>
      </c>
      <c r="T369" s="32" t="n">
        <f>37355</f>
        <v>37355.0</v>
      </c>
      <c r="U369" s="32" t="n">
        <f>3762</f>
        <v>3762.0</v>
      </c>
      <c r="V369" s="32" t="n">
        <f>8769560336</f>
        <v>8.769560336E9</v>
      </c>
      <c r="W369" s="32" t="n">
        <f>900600936</f>
        <v>9.00600936E8</v>
      </c>
      <c r="X369" s="36" t="n">
        <f>20</f>
        <v>20.0</v>
      </c>
    </row>
    <row r="370">
      <c r="A370" s="27" t="s">
        <v>42</v>
      </c>
      <c r="B370" s="27" t="s">
        <v>1150</v>
      </c>
      <c r="C370" s="27" t="s">
        <v>1151</v>
      </c>
      <c r="D370" s="27" t="s">
        <v>1152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302500</f>
        <v>302500.0</v>
      </c>
      <c r="L370" s="34" t="s">
        <v>48</v>
      </c>
      <c r="M370" s="33" t="n">
        <f>309500</f>
        <v>309500.0</v>
      </c>
      <c r="N370" s="34" t="s">
        <v>76</v>
      </c>
      <c r="O370" s="33" t="n">
        <f>283200</f>
        <v>283200.0</v>
      </c>
      <c r="P370" s="34" t="s">
        <v>193</v>
      </c>
      <c r="Q370" s="33" t="n">
        <f>300000</f>
        <v>300000.0</v>
      </c>
      <c r="R370" s="34" t="s">
        <v>50</v>
      </c>
      <c r="S370" s="35" t="n">
        <f>295015</f>
        <v>295015.0</v>
      </c>
      <c r="T370" s="32" t="n">
        <f>156681</f>
        <v>156681.0</v>
      </c>
      <c r="U370" s="32" t="n">
        <f>29187</f>
        <v>29187.0</v>
      </c>
      <c r="V370" s="32" t="n">
        <f>46231294278</f>
        <v>4.6231294278E10</v>
      </c>
      <c r="W370" s="32" t="n">
        <f>8617982078</f>
        <v>8.617982078E9</v>
      </c>
      <c r="X370" s="36" t="n">
        <f>20</f>
        <v>20.0</v>
      </c>
    </row>
    <row r="371">
      <c r="A371" s="27" t="s">
        <v>42</v>
      </c>
      <c r="B371" s="27" t="s">
        <v>1153</v>
      </c>
      <c r="C371" s="27" t="s">
        <v>1154</v>
      </c>
      <c r="D371" s="27" t="s">
        <v>1155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72500</f>
        <v>72500.0</v>
      </c>
      <c r="L371" s="34" t="s">
        <v>48</v>
      </c>
      <c r="M371" s="33" t="n">
        <f>78500</f>
        <v>78500.0</v>
      </c>
      <c r="N371" s="34" t="s">
        <v>50</v>
      </c>
      <c r="O371" s="33" t="n">
        <f>70800</f>
        <v>70800.0</v>
      </c>
      <c r="P371" s="34" t="s">
        <v>48</v>
      </c>
      <c r="Q371" s="33" t="n">
        <f>78300</f>
        <v>78300.0</v>
      </c>
      <c r="R371" s="34" t="s">
        <v>50</v>
      </c>
      <c r="S371" s="35" t="n">
        <f>74400</f>
        <v>74400.0</v>
      </c>
      <c r="T371" s="32" t="n">
        <f>578410</f>
        <v>578410.0</v>
      </c>
      <c r="U371" s="32" t="n">
        <f>174608</f>
        <v>174608.0</v>
      </c>
      <c r="V371" s="32" t="n">
        <f>43065810424</f>
        <v>4.3065810424E10</v>
      </c>
      <c r="W371" s="32" t="n">
        <f>12972331024</f>
        <v>1.2972331024E10</v>
      </c>
      <c r="X371" s="36" t="n">
        <f>20</f>
        <v>20.0</v>
      </c>
    </row>
    <row r="372">
      <c r="A372" s="27" t="s">
        <v>42</v>
      </c>
      <c r="B372" s="27" t="s">
        <v>1156</v>
      </c>
      <c r="C372" s="27" t="s">
        <v>1157</v>
      </c>
      <c r="D372" s="27" t="s">
        <v>1158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115000</f>
        <v>115000.0</v>
      </c>
      <c r="L372" s="34" t="s">
        <v>48</v>
      </c>
      <c r="M372" s="33" t="n">
        <f>118300</f>
        <v>118300.0</v>
      </c>
      <c r="N372" s="34" t="s">
        <v>76</v>
      </c>
      <c r="O372" s="33" t="n">
        <f>108500</f>
        <v>108500.0</v>
      </c>
      <c r="P372" s="34" t="s">
        <v>110</v>
      </c>
      <c r="Q372" s="33" t="n">
        <f>115400</f>
        <v>115400.0</v>
      </c>
      <c r="R372" s="34" t="s">
        <v>50</v>
      </c>
      <c r="S372" s="35" t="n">
        <f>112875</f>
        <v>112875.0</v>
      </c>
      <c r="T372" s="32" t="n">
        <f>243620</f>
        <v>243620.0</v>
      </c>
      <c r="U372" s="32" t="n">
        <f>66637</f>
        <v>66637.0</v>
      </c>
      <c r="V372" s="32" t="n">
        <f>27619983742</f>
        <v>2.7619983742E10</v>
      </c>
      <c r="W372" s="32" t="n">
        <f>7580918842</f>
        <v>7.580918842E9</v>
      </c>
      <c r="X372" s="36" t="n">
        <f>20</f>
        <v>20.0</v>
      </c>
    </row>
    <row r="373">
      <c r="A373" s="27" t="s">
        <v>42</v>
      </c>
      <c r="B373" s="27" t="s">
        <v>1159</v>
      </c>
      <c r="C373" s="27" t="s">
        <v>1160</v>
      </c>
      <c r="D373" s="27" t="s">
        <v>1161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133500</f>
        <v>133500.0</v>
      </c>
      <c r="L373" s="34" t="s">
        <v>48</v>
      </c>
      <c r="M373" s="33" t="n">
        <f>138800</f>
        <v>138800.0</v>
      </c>
      <c r="N373" s="34" t="s">
        <v>50</v>
      </c>
      <c r="O373" s="33" t="n">
        <f>129100</f>
        <v>129100.0</v>
      </c>
      <c r="P373" s="34" t="s">
        <v>167</v>
      </c>
      <c r="Q373" s="33" t="n">
        <f>137500</f>
        <v>137500.0</v>
      </c>
      <c r="R373" s="34" t="s">
        <v>50</v>
      </c>
      <c r="S373" s="35" t="n">
        <f>133065</f>
        <v>133065.0</v>
      </c>
      <c r="T373" s="32" t="n">
        <f>109733</f>
        <v>109733.0</v>
      </c>
      <c r="U373" s="32" t="n">
        <f>24807</f>
        <v>24807.0</v>
      </c>
      <c r="V373" s="32" t="n">
        <f>14639090031</f>
        <v>1.4639090031E10</v>
      </c>
      <c r="W373" s="32" t="n">
        <f>3299270431</f>
        <v>3.299270431E9</v>
      </c>
      <c r="X373" s="36" t="n">
        <f>20</f>
        <v>20.0</v>
      </c>
    </row>
    <row r="374">
      <c r="A374" s="27" t="s">
        <v>42</v>
      </c>
      <c r="B374" s="27" t="s">
        <v>1162</v>
      </c>
      <c r="C374" s="27" t="s">
        <v>1163</v>
      </c>
      <c r="D374" s="27" t="s">
        <v>1164</v>
      </c>
      <c r="E374" s="28" t="s">
        <v>46</v>
      </c>
      <c r="F374" s="29" t="s">
        <v>46</v>
      </c>
      <c r="G374" s="30" t="s">
        <v>46</v>
      </c>
      <c r="H374" s="31" t="s">
        <v>340</v>
      </c>
      <c r="I374" s="31" t="s">
        <v>47</v>
      </c>
      <c r="J374" s="32" t="n">
        <v>1.0</v>
      </c>
      <c r="K374" s="33" t="n">
        <f>126300</f>
        <v>126300.0</v>
      </c>
      <c r="L374" s="34" t="s">
        <v>48</v>
      </c>
      <c r="M374" s="33" t="n">
        <f>126800</f>
        <v>126800.0</v>
      </c>
      <c r="N374" s="34" t="s">
        <v>60</v>
      </c>
      <c r="O374" s="33" t="n">
        <f>126300</f>
        <v>126300.0</v>
      </c>
      <c r="P374" s="34" t="s">
        <v>48</v>
      </c>
      <c r="Q374" s="33" t="n">
        <f>126700</f>
        <v>126700.0</v>
      </c>
      <c r="R374" s="34" t="s">
        <v>50</v>
      </c>
      <c r="S374" s="35" t="n">
        <f>126515</f>
        <v>126515.0</v>
      </c>
      <c r="T374" s="32" t="n">
        <f>123070</f>
        <v>123070.0</v>
      </c>
      <c r="U374" s="32" t="n">
        <f>616</f>
        <v>616.0</v>
      </c>
      <c r="V374" s="32" t="n">
        <f>15567438783</f>
        <v>1.5567438783E10</v>
      </c>
      <c r="W374" s="32" t="n">
        <f>77900683</f>
        <v>7.7900683E7</v>
      </c>
      <c r="X374" s="36" t="n">
        <f>20</f>
        <v>20.0</v>
      </c>
    </row>
    <row r="375">
      <c r="A375" s="27" t="s">
        <v>42</v>
      </c>
      <c r="B375" s="27" t="s">
        <v>1165</v>
      </c>
      <c r="C375" s="27" t="s">
        <v>1166</v>
      </c>
      <c r="D375" s="27" t="s">
        <v>1167</v>
      </c>
      <c r="E375" s="28" t="s">
        <v>46</v>
      </c>
      <c r="F375" s="29" t="s">
        <v>46</v>
      </c>
      <c r="G375" s="30" t="s">
        <v>46</v>
      </c>
      <c r="H375" s="31"/>
      <c r="I375" s="31" t="s">
        <v>600</v>
      </c>
      <c r="J375" s="32" t="n">
        <v>1.0</v>
      </c>
      <c r="K375" s="33" t="n">
        <f>70000</f>
        <v>70000.0</v>
      </c>
      <c r="L375" s="34" t="s">
        <v>48</v>
      </c>
      <c r="M375" s="33" t="n">
        <f>72400</f>
        <v>72400.0</v>
      </c>
      <c r="N375" s="34" t="s">
        <v>50</v>
      </c>
      <c r="O375" s="33" t="n">
        <f>69800</f>
        <v>69800.0</v>
      </c>
      <c r="P375" s="34" t="s">
        <v>48</v>
      </c>
      <c r="Q375" s="33" t="n">
        <f>72100</f>
        <v>72100.0</v>
      </c>
      <c r="R375" s="34" t="s">
        <v>50</v>
      </c>
      <c r="S375" s="35" t="n">
        <f>71405</f>
        <v>71405.0</v>
      </c>
      <c r="T375" s="32" t="n">
        <f>3493</f>
        <v>3493.0</v>
      </c>
      <c r="U375" s="32" t="n">
        <f>516</f>
        <v>516.0</v>
      </c>
      <c r="V375" s="32" t="n">
        <f>249655800</f>
        <v>2.496558E8</v>
      </c>
      <c r="W375" s="32" t="n">
        <f>37296300</f>
        <v>3.72963E7</v>
      </c>
      <c r="X375" s="36" t="n">
        <f>20</f>
        <v>20.0</v>
      </c>
    </row>
    <row r="376">
      <c r="A376" s="27" t="s">
        <v>42</v>
      </c>
      <c r="B376" s="27" t="s">
        <v>1168</v>
      </c>
      <c r="C376" s="27" t="s">
        <v>1169</v>
      </c>
      <c r="D376" s="27" t="s">
        <v>1170</v>
      </c>
      <c r="E376" s="28" t="s">
        <v>46</v>
      </c>
      <c r="F376" s="29" t="s">
        <v>46</v>
      </c>
      <c r="G376" s="30" t="s">
        <v>46</v>
      </c>
      <c r="H376" s="31"/>
      <c r="I376" s="31" t="s">
        <v>600</v>
      </c>
      <c r="J376" s="32" t="n">
        <v>1.0</v>
      </c>
      <c r="K376" s="33" t="n">
        <f>126700</f>
        <v>126700.0</v>
      </c>
      <c r="L376" s="34" t="s">
        <v>48</v>
      </c>
      <c r="M376" s="33" t="n">
        <f>128500</f>
        <v>128500.0</v>
      </c>
      <c r="N376" s="34" t="s">
        <v>109</v>
      </c>
      <c r="O376" s="33" t="n">
        <f>125800</f>
        <v>125800.0</v>
      </c>
      <c r="P376" s="34" t="s">
        <v>270</v>
      </c>
      <c r="Q376" s="33" t="n">
        <f>127600</f>
        <v>127600.0</v>
      </c>
      <c r="R376" s="34" t="s">
        <v>50</v>
      </c>
      <c r="S376" s="35" t="n">
        <f>127130</f>
        <v>127130.0</v>
      </c>
      <c r="T376" s="32" t="n">
        <f>8098</f>
        <v>8098.0</v>
      </c>
      <c r="U376" s="32" t="n">
        <f>78</f>
        <v>78.0</v>
      </c>
      <c r="V376" s="32" t="n">
        <f>1029108253</f>
        <v>1.029108253E9</v>
      </c>
      <c r="W376" s="32" t="n">
        <f>9931653</f>
        <v>9931653.0</v>
      </c>
      <c r="X376" s="36" t="n">
        <f>20</f>
        <v>20.0</v>
      </c>
    </row>
    <row r="377">
      <c r="A377" s="27" t="s">
        <v>42</v>
      </c>
      <c r="B377" s="27" t="s">
        <v>1171</v>
      </c>
      <c r="C377" s="27" t="s">
        <v>1172</v>
      </c>
      <c r="D377" s="27" t="s">
        <v>1173</v>
      </c>
      <c r="E377" s="28" t="s">
        <v>46</v>
      </c>
      <c r="F377" s="29" t="s">
        <v>46</v>
      </c>
      <c r="G377" s="30" t="s">
        <v>46</v>
      </c>
      <c r="H377" s="31"/>
      <c r="I377" s="31" t="s">
        <v>600</v>
      </c>
      <c r="J377" s="32" t="n">
        <v>1.0</v>
      </c>
      <c r="K377" s="33" t="n">
        <f>95500</f>
        <v>95500.0</v>
      </c>
      <c r="L377" s="34" t="s">
        <v>48</v>
      </c>
      <c r="M377" s="33" t="n">
        <f>96000</f>
        <v>96000.0</v>
      </c>
      <c r="N377" s="34" t="s">
        <v>48</v>
      </c>
      <c r="O377" s="33" t="n">
        <f>94300</f>
        <v>94300.0</v>
      </c>
      <c r="P377" s="34" t="s">
        <v>109</v>
      </c>
      <c r="Q377" s="33" t="n">
        <f>95900</f>
        <v>95900.0</v>
      </c>
      <c r="R377" s="34" t="s">
        <v>50</v>
      </c>
      <c r="S377" s="35" t="n">
        <f>95245</f>
        <v>95245.0</v>
      </c>
      <c r="T377" s="32" t="n">
        <f>11133</f>
        <v>11133.0</v>
      </c>
      <c r="U377" s="32" t="n">
        <f>47</f>
        <v>47.0</v>
      </c>
      <c r="V377" s="32" t="n">
        <f>1058813150</f>
        <v>1.05881315E9</v>
      </c>
      <c r="W377" s="32" t="n">
        <f>4468950</f>
        <v>4468950.0</v>
      </c>
      <c r="X377" s="36" t="n">
        <f>20</f>
        <v>20.0</v>
      </c>
    </row>
    <row r="378">
      <c r="A378" s="27" t="s">
        <v>42</v>
      </c>
      <c r="B378" s="27" t="s">
        <v>1174</v>
      </c>
      <c r="C378" s="27" t="s">
        <v>1175</v>
      </c>
      <c r="D378" s="27" t="s">
        <v>1176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95100</f>
        <v>95100.0</v>
      </c>
      <c r="L378" s="34" t="s">
        <v>48</v>
      </c>
      <c r="M378" s="33" t="n">
        <f>96900</f>
        <v>96900.0</v>
      </c>
      <c r="N378" s="34" t="s">
        <v>50</v>
      </c>
      <c r="O378" s="33" t="n">
        <f>95000</f>
        <v>95000.0</v>
      </c>
      <c r="P378" s="34" t="s">
        <v>48</v>
      </c>
      <c r="Q378" s="33" t="n">
        <f>96800</f>
        <v>96800.0</v>
      </c>
      <c r="R378" s="34" t="s">
        <v>50</v>
      </c>
      <c r="S378" s="35" t="n">
        <f>95835</f>
        <v>95835.0</v>
      </c>
      <c r="T378" s="32" t="n">
        <f>15029</f>
        <v>15029.0</v>
      </c>
      <c r="U378" s="32" t="n">
        <f>287</f>
        <v>287.0</v>
      </c>
      <c r="V378" s="32" t="n">
        <f>1439108810</f>
        <v>1.43910881E9</v>
      </c>
      <c r="W378" s="32" t="n">
        <f>27153510</f>
        <v>2.715351E7</v>
      </c>
      <c r="X378" s="36" t="n">
        <f>20</f>
        <v>20.0</v>
      </c>
    </row>
    <row r="379">
      <c r="A379" s="27" t="s">
        <v>42</v>
      </c>
      <c r="B379" s="27" t="s">
        <v>1177</v>
      </c>
      <c r="C379" s="27" t="s">
        <v>1178</v>
      </c>
      <c r="D379" s="27" t="s">
        <v>1179</v>
      </c>
      <c r="E379" s="28" t="s">
        <v>46</v>
      </c>
      <c r="F379" s="29" t="s">
        <v>46</v>
      </c>
      <c r="G379" s="30" t="s">
        <v>46</v>
      </c>
      <c r="H379" s="31"/>
      <c r="I379" s="31" t="s">
        <v>600</v>
      </c>
      <c r="J379" s="32" t="n">
        <v>1.0</v>
      </c>
      <c r="K379" s="33" t="n">
        <f>94500</f>
        <v>94500.0</v>
      </c>
      <c r="L379" s="34" t="s">
        <v>48</v>
      </c>
      <c r="M379" s="33" t="n">
        <f>96000</f>
        <v>96000.0</v>
      </c>
      <c r="N379" s="34" t="s">
        <v>263</v>
      </c>
      <c r="O379" s="33" t="n">
        <f>94100</f>
        <v>94100.0</v>
      </c>
      <c r="P379" s="34" t="s">
        <v>180</v>
      </c>
      <c r="Q379" s="33" t="n">
        <f>95800</f>
        <v>95800.0</v>
      </c>
      <c r="R379" s="34" t="s">
        <v>50</v>
      </c>
      <c r="S379" s="35" t="n">
        <f>95235</f>
        <v>95235.0</v>
      </c>
      <c r="T379" s="32" t="n">
        <f>11821</f>
        <v>11821.0</v>
      </c>
      <c r="U379" s="32" t="n">
        <f>5</f>
        <v>5.0</v>
      </c>
      <c r="V379" s="32" t="n">
        <f>1123686300</f>
        <v>1.1236863E9</v>
      </c>
      <c r="W379" s="32" t="n">
        <f>474000</f>
        <v>474000.0</v>
      </c>
      <c r="X379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