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<sst xmlns="http://schemas.openxmlformats.org/spreadsheetml/2006/main" count="4540" uniqueCount="1197">
  <si>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</si>
  <si>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</si>
  <si>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</si>
  <si>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</si>
  <si>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</si>
  <si>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</si>
  <si>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</si>
  <si>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</si>
  <si>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</si>
  <si>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</si>
  <si>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</si>
  <si>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</si>
  <si>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</si>
  <si>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</si>
  <si>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</si>
  <si>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</si>
  <si>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</si>
  <si>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</si>
  <si>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</si>
  <si>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</si>
  <si>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</si>
  <si>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</si>
  <si>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</si>
  <si>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</si>
  <si>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</si>
  <si>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</si>
  <si>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</si>
  <si>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</si>
  <si>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</si>
  <si>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</si>
  <si>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</si>
  <si>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</si>
  <si>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</si>
  <si>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</si>
  <si>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</si>
  <si>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</si>
  <si>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</si>
  <si>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</si>
  <si>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</si>
  <si>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</si>
  <si>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</si>
  <si>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</si>
  <si>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2022/11</t>
  </si>
  <si>
    <t>1305</t>
  </si>
  <si>
    <t>ダイワ上場投信－トピックス　受益証券</t>
  </si>
  <si>
    <t>Daiwa ETF-TOPIX</t>
  </si>
  <si>
    <t/>
  </si>
  <si>
    <t>貸借</t>
  </si>
  <si>
    <t>1</t>
  </si>
  <si>
    <t>24</t>
  </si>
  <si>
    <t>4</t>
  </si>
  <si>
    <t>30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</si>
  <si>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</si>
  <si>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</si>
  <si>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</si>
  <si>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</si>
  <si>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</si>
  <si>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</si>
  <si>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</si>
  <si>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</si>
  <si>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</si>
  <si>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16</t>
  </si>
  <si>
    <t>2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</si>
  <si>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</si>
  <si>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</si>
  <si>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</si>
  <si>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</si>
  <si>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</si>
  <si>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</si>
  <si>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確</t>
  </si>
  <si>
    <t>11</t>
  </si>
  <si>
    <t>14</t>
  </si>
  <si>
    <t>1313</t>
  </si>
  <si>
    <t>サムスンＫＯＤＥＸ２００証券上場指数投資信託[株式]　受益証券</t>
  </si>
  <si>
    <t>SAMSUNG KODEX200 SECURITIES EXCHANGE TRADED FUND [STOCK]</t>
  </si>
  <si>
    <t>21</t>
  </si>
  <si>
    <t>1319</t>
  </si>
  <si>
    <t>ＮＥＸＴ　ＦＵＮＤＳ　日経３００株価指数連動型上場投信　受益証券</t>
  </si>
  <si>
    <t>NEXT FUNDS Nikkei 300 Index Exchange Traded Fund</t>
  </si>
  <si>
    <t>25</t>
  </si>
  <si>
    <t>29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</si>
  <si>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</si>
  <si>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</si>
  <si>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</si>
  <si>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</si>
  <si>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</si>
  <si>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</si>
  <si>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</si>
  <si>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</si>
  <si>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</si>
  <si>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7</t>
  </si>
  <si>
    <t>28</t>
  </si>
  <si>
    <t>1324</t>
  </si>
  <si>
    <t>ＮＥＸＴ　ＦＵＮＤＳ　ロシア株式指数連動型上場投信　受益証券</t>
  </si>
  <si>
    <t>NEXT FUNDS Russian Equity Index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</si>
  <si>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</si>
  <si>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</si>
  <si>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</si>
  <si>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</si>
  <si>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</si>
  <si>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</si>
  <si>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10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</si>
  <si>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</si>
  <si>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</si>
  <si>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</si>
  <si>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</si>
  <si>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</si>
  <si>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</si>
  <si>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</si>
  <si>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</si>
  <si>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</si>
  <si>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</si>
  <si>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</si>
  <si>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</si>
  <si>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15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</si>
  <si>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</si>
  <si>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</si>
  <si>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</si>
  <si>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</si>
  <si>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</si>
  <si>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</si>
  <si>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</si>
  <si>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</si>
  <si>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</si>
  <si>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</si>
  <si>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</si>
  <si>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</si>
  <si>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</si>
  <si>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</si>
  <si>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</si>
  <si>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</si>
  <si>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</si>
  <si>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</si>
  <si>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</si>
  <si>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</si>
  <si>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</si>
  <si>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</si>
  <si>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</si>
  <si>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</si>
  <si>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</si>
  <si>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</si>
  <si>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</si>
  <si>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</si>
  <si>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</si>
  <si>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</si>
  <si>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</si>
  <si>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</si>
  <si>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</si>
  <si>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</si>
  <si>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</si>
  <si>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</si>
  <si>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</si>
  <si>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</si>
  <si>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</si>
  <si>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</si>
  <si>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</si>
  <si>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</si>
  <si>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</si>
  <si>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</si>
  <si>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</si>
  <si>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22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</si>
  <si>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</si>
  <si>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</si>
  <si>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</si>
  <si>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</si>
  <si>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</si>
  <si>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</si>
  <si>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</si>
  <si>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</si>
  <si>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</si>
  <si>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9</t>
  </si>
  <si>
    <t>17</t>
  </si>
  <si>
    <t>18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</si>
  <si>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</si>
  <si>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</si>
  <si>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</si>
  <si>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</si>
  <si>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</si>
  <si>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</si>
  <si>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</si>
  <si>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</si>
  <si>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</si>
  <si>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</si>
  <si>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</si>
  <si>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</si>
  <si>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</si>
  <si>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</si>
  <si>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</si>
  <si>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</si>
  <si>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</si>
  <si>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</si>
  <si>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</si>
  <si>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</si>
  <si>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</si>
  <si>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</si>
  <si>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</si>
  <si>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</si>
  <si>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</si>
  <si>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</si>
  <si>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</si>
  <si>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</si>
  <si>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</si>
  <si>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</si>
  <si>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</si>
  <si>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</si>
  <si>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</si>
  <si>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</si>
  <si>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</si>
  <si>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</si>
  <si>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</si>
  <si>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</si>
  <si>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</si>
  <si>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</si>
  <si>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</si>
  <si>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</si>
  <si>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</si>
  <si>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</si>
  <si>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</si>
  <si>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</si>
  <si>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</si>
  <si>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</si>
  <si>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</si>
  <si>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</si>
  <si>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</si>
  <si>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</si>
  <si>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</si>
  <si>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</si>
  <si>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</si>
  <si>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</si>
  <si>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</si>
  <si>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</si>
  <si>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</si>
  <si>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</si>
  <si>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</si>
  <si>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</si>
  <si>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</si>
  <si>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</si>
  <si>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</si>
  <si>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</si>
  <si>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</si>
  <si>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</si>
  <si>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</si>
  <si>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</si>
  <si>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</si>
  <si>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</si>
  <si>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8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</si>
  <si>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</si>
  <si>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</si>
  <si>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</si>
  <si>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</si>
  <si>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</si>
  <si>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</si>
  <si>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</si>
  <si>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</si>
  <si>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</si>
  <si>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</si>
  <si>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</si>
  <si>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</si>
  <si>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</si>
  <si>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</si>
  <si>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</si>
  <si>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</si>
  <si>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</si>
  <si>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</si>
  <si>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</si>
  <si>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</si>
  <si>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</si>
  <si>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</si>
  <si>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</si>
  <si>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</si>
  <si>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</si>
  <si>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</si>
  <si>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</si>
  <si>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</si>
  <si>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</si>
  <si>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</si>
  <si>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</si>
  <si>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</si>
  <si>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</si>
  <si>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</si>
  <si>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</si>
  <si>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</si>
  <si>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</si>
  <si>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</si>
  <si>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</si>
  <si>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</si>
  <si>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</si>
  <si>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</si>
  <si>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</si>
  <si>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</si>
  <si>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</si>
  <si>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</si>
  <si>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</si>
  <si>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</si>
  <si>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</si>
  <si>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</si>
  <si>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</si>
  <si>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</si>
  <si>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</si>
  <si>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</si>
  <si>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</si>
  <si>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</si>
  <si>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</si>
  <si>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</si>
  <si>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</si>
  <si>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</si>
  <si>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</si>
  <si>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</si>
  <si>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</si>
  <si>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</si>
  <si>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</si>
  <si>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</si>
  <si>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</si>
  <si>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</si>
  <si>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</si>
  <si>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</si>
  <si>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</si>
  <si>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</si>
  <si>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</si>
  <si>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</si>
  <si>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</si>
  <si>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</si>
  <si>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</si>
  <si>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</si>
  <si>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</si>
  <si>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</si>
  <si>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</si>
  <si>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</si>
  <si>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</si>
  <si>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</si>
  <si>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</si>
  <si>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</si>
  <si>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</si>
  <si>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</si>
  <si>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</si>
  <si>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</si>
  <si>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</si>
  <si>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</si>
  <si>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</si>
  <si>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</si>
  <si>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</si>
  <si>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</si>
  <si>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</si>
  <si>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</si>
  <si>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</si>
  <si>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</si>
  <si>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</si>
  <si>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</si>
  <si>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</si>
  <si>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</si>
  <si>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</si>
  <si>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</si>
  <si>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</si>
  <si>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</si>
  <si>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</si>
  <si>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</si>
  <si>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</si>
  <si>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</si>
  <si>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</si>
  <si>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</si>
  <si>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</si>
  <si>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</si>
  <si>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</si>
  <si>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</si>
  <si>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</si>
  <si>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</si>
  <si>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</si>
  <si>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</si>
  <si>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</si>
  <si>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</si>
  <si>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</si>
  <si>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</si>
  <si>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</si>
  <si>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</si>
  <si>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</si>
  <si>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</si>
  <si>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</si>
  <si>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</si>
  <si>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</si>
  <si>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</si>
  <si>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</si>
  <si>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1575</t>
  </si>
  <si>
    <t>ＣｈｉｎａＡＭＣ　ＣＳＩ　３００　Ｉｎｄｅｘ　ＥＴＦ－ＪＤＲ　受益証券</t>
  </si>
  <si>
    <t>ChinaAMC CSI 300 Index ETF-JDR</t>
  </si>
  <si>
    <t xml:space="preserve">上場廃止  </t>
  </si>
  <si>
    <t xml:space="preserve">Removal  </t>
  </si>
  <si>
    <t xml:space="preserve">2022/11/14  </t>
  </si>
  <si>
    <t>整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</si>
  <si>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</si>
  <si>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</si>
  <si>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</si>
  <si>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</si>
  <si>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</si>
  <si>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</si>
  <si>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</si>
  <si>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</si>
  <si>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</si>
  <si>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</si>
  <si>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</si>
  <si>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</si>
  <si>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</si>
  <si>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</si>
  <si>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</si>
  <si>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</si>
  <si>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</si>
  <si>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</si>
  <si>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</si>
  <si>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</si>
  <si>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</si>
  <si>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</si>
  <si>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</si>
  <si>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</si>
  <si>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</si>
  <si>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</si>
  <si>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</si>
  <si>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</si>
  <si>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</si>
  <si>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</si>
  <si>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</si>
  <si>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</si>
  <si>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</si>
  <si>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</si>
  <si>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</si>
  <si>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</si>
  <si>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</si>
  <si>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</si>
  <si>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</si>
  <si>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</si>
  <si>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</si>
  <si>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</si>
  <si>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</si>
  <si>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</si>
  <si>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</si>
  <si>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</si>
  <si>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</si>
  <si>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</si>
  <si>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</si>
  <si>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</si>
  <si>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</si>
  <si>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</si>
  <si>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</si>
  <si>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</si>
  <si>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</si>
  <si>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</si>
  <si>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</si>
  <si>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</si>
  <si>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</si>
  <si>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</si>
  <si>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</si>
  <si>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</si>
  <si>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</si>
  <si>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</si>
  <si>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</si>
  <si>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</si>
  <si>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</si>
  <si>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</si>
  <si>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</si>
  <si>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</si>
  <si>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</si>
  <si>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</si>
  <si>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</si>
  <si>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</si>
  <si>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</si>
  <si>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</si>
  <si>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</si>
  <si>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</si>
  <si>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</si>
  <si>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</si>
  <si>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</si>
  <si>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</si>
  <si>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</si>
  <si>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</si>
  <si>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</si>
  <si>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</si>
  <si>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</si>
  <si>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</si>
  <si>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</si>
  <si>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</si>
  <si>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</si>
  <si>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</si>
  <si>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</si>
  <si>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</si>
  <si>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</si>
  <si>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</si>
  <si>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</si>
  <si>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</si>
  <si>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</si>
  <si>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</si>
  <si>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</si>
  <si>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</si>
  <si>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</si>
  <si>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</si>
  <si>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</si>
  <si>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</si>
  <si>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</si>
  <si>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</si>
  <si>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</si>
  <si>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</si>
  <si>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</si>
  <si>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</si>
  <si>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</si>
  <si>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</si>
  <si>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</si>
  <si>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</si>
  <si>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</si>
  <si>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</si>
  <si>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</si>
  <si>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</si>
  <si>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</si>
  <si>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</si>
  <si>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</si>
  <si>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</si>
  <si>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</si>
  <si>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</si>
  <si>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</si>
  <si>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</si>
  <si>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</si>
  <si>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</si>
  <si>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</si>
  <si>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</si>
  <si>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</si>
  <si>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</si>
  <si>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</si>
  <si>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</si>
  <si>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</si>
  <si>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</si>
  <si>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</si>
  <si>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</si>
  <si>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</si>
  <si>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</si>
  <si>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</si>
  <si>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</si>
  <si>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</si>
  <si>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</si>
  <si>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</si>
  <si>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</si>
  <si>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</si>
  <si>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</si>
  <si>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</si>
  <si>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</si>
  <si>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</si>
  <si>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</si>
  <si>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</si>
  <si>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</si>
  <si>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</si>
  <si>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</si>
  <si>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</si>
  <si>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</si>
  <si>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</si>
  <si>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</si>
  <si>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</si>
  <si>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</si>
  <si>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</si>
  <si>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</si>
  <si>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</si>
  <si>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</si>
  <si>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</si>
  <si>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</si>
  <si>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</si>
  <si>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</si>
  <si>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</si>
  <si>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</si>
  <si>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</si>
  <si>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</si>
  <si>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</si>
  <si>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</si>
  <si>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</si>
  <si>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</si>
  <si>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</si>
  <si>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</si>
  <si>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</si>
  <si>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</si>
  <si>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</si>
  <si>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</si>
  <si>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</si>
  <si>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</si>
  <si>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</si>
  <si>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</si>
  <si>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</si>
  <si>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</si>
  <si>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</si>
  <si>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</si>
  <si>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</si>
  <si>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</si>
  <si>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</si>
  <si>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</si>
  <si>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</si>
  <si>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</si>
  <si>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</si>
  <si>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</si>
  <si>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</si>
  <si>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</si>
  <si>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</si>
  <si>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</si>
  <si>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</si>
  <si>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</si>
  <si>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</si>
  <si>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</si>
  <si>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</si>
  <si>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</si>
  <si>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</si>
  <si>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</si>
  <si>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</si>
  <si>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</si>
  <si>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</si>
  <si>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</si>
  <si>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</si>
  <si>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</si>
  <si>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</si>
  <si>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</si>
  <si>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</si>
  <si>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</si>
  <si>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</si>
  <si>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</si>
  <si>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</si>
  <si>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</si>
  <si>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</si>
  <si>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</si>
  <si>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</si>
  <si>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</si>
  <si>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</si>
  <si>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</si>
  <si>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</si>
  <si>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</si>
  <si>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</si>
  <si>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</si>
  <si>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</si>
  <si>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</si>
  <si>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</si>
  <si>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</si>
  <si>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</si>
  <si>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</si>
  <si>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</si>
  <si>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</si>
  <si>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</si>
  <si>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</si>
  <si>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</si>
  <si>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</si>
  <si>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</si>
  <si>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</si>
  <si>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</si>
  <si>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</si>
  <si>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</si>
  <si>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</si>
  <si>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</si>
  <si>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</si>
  <si>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</si>
  <si>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</si>
  <si>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</si>
  <si>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</si>
  <si>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</si>
  <si>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</si>
  <si>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</si>
  <si>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</si>
  <si>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</si>
  <si>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</si>
  <si>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</si>
  <si>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</si>
  <si>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</si>
  <si>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</si>
  <si>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</si>
  <si>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</si>
  <si>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</si>
  <si>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</si>
  <si>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</si>
  <si>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</si>
  <si>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</si>
  <si>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</si>
  <si>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</si>
  <si>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</si>
  <si>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</si>
  <si>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</si>
  <si>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</si>
  <si>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</si>
  <si>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</si>
  <si>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</si>
  <si>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</si>
  <si>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</si>
  <si>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</si>
  <si>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</si>
  <si>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</si>
  <si>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</si>
  <si>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</si>
  <si>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</si>
  <si>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</si>
  <si>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</si>
  <si>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</si>
  <si>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</si>
  <si>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</si>
  <si>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</si>
  <si>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</si>
  <si>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</si>
  <si>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</si>
  <si>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</si>
  <si>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</si>
  <si>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</si>
  <si>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</si>
  <si>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</si>
  <si>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</si>
  <si>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</si>
  <si>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</si>
  <si>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</si>
  <si>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</si>
  <si>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</si>
  <si>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</si>
  <si>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</si>
  <si>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</si>
  <si>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</si>
  <si>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</si>
  <si>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</si>
  <si>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</si>
  <si>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</si>
  <si>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</si>
  <si>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</si>
  <si>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</si>
  <si>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</si>
  <si>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</si>
  <si>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</si>
  <si>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</si>
  <si>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</si>
  <si>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</si>
  <si>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</si>
  <si>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</si>
  <si>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</si>
  <si>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</si>
  <si>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</si>
  <si>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</si>
  <si>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</si>
  <si>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</si>
  <si>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</si>
  <si>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</si>
  <si>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</si>
  <si>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</si>
  <si>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</si>
  <si>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</si>
  <si>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</si>
  <si>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</si>
  <si>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</si>
  <si>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</si>
  <si>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</si>
  <si>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</si>
  <si>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</si>
  <si>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</si>
  <si>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</si>
  <si>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</si>
  <si>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</si>
  <si>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</si>
  <si>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</si>
  <si>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</si>
  <si>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</si>
  <si>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</si>
  <si>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</si>
  <si>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</si>
  <si>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</si>
  <si>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</si>
  <si>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</si>
  <si>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</si>
  <si>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</si>
  <si>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</si>
  <si>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</si>
  <si>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</si>
  <si>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</si>
  <si>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</si>
  <si>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</si>
  <si>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</si>
  <si>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</si>
  <si>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</si>
  <si>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</si>
  <si>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</si>
  <si>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</si>
  <si>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</si>
  <si>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</si>
  <si>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</si>
  <si>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</si>
  <si>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</si>
  <si>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</si>
  <si>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</si>
  <si>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</si>
  <si>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</si>
  <si>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</si>
  <si>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</si>
  <si>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</si>
  <si>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</si>
  <si>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</si>
  <si>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</si>
  <si>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</si>
  <si>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</si>
  <si>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</si>
  <si>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</si>
  <si>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</si>
  <si>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</si>
  <si>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</si>
  <si>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</si>
  <si>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</si>
  <si>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</si>
  <si>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</si>
  <si>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</si>
  <si>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</si>
  <si>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</si>
  <si>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</si>
  <si>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</si>
  <si>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</si>
  <si>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</si>
  <si>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</si>
  <si>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</si>
  <si>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</si>
  <si>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</si>
  <si>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</si>
  <si>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</si>
  <si>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</si>
  <si>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</si>
  <si>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</si>
  <si>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</si>
  <si>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</si>
  <si>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</si>
  <si>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</si>
  <si>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</si>
  <si>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</si>
  <si>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</si>
  <si>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</si>
  <si>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</si>
  <si>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</si>
  <si>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</si>
  <si>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</si>
  <si>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</si>
  <si>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</si>
  <si>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</si>
  <si>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</si>
  <si>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</si>
  <si>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</si>
  <si>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</si>
  <si>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</si>
  <si>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</si>
  <si>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</si>
  <si>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</si>
  <si>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</si>
  <si>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</si>
  <si>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</si>
  <si>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</si>
  <si>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</si>
  <si>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</si>
  <si>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</si>
  <si>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</si>
  <si>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</si>
  <si>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</si>
  <si>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</si>
  <si>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</si>
  <si>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</si>
  <si>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</si>
  <si>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</si>
  <si>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</si>
  <si>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</si>
  <si>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</si>
  <si>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</si>
  <si>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</si>
  <si>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</si>
  <si>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</si>
  <si>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</si>
  <si>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</si>
  <si>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</si>
  <si>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</si>
  <si>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　ＥＳＧ－日本株式　ＥＴＦ　受益証券</t>
  </si>
  <si>
    <t>Global X Japan Global Leaders ESG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</si>
  <si>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</si>
  <si>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</si>
  <si>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</si>
  <si>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</si>
  <si>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ＭＳＣＩジャパンカントリーＥＳＧリーダーズ指数連動型上場投信　受益証券</t>
  </si>
  <si>
    <t>NEXT FUNDS MSCI Japan Country ESG Leaders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</si>
  <si>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</si>
  <si>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</si>
  <si>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</si>
  <si>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</si>
  <si>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</si>
  <si>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</si>
  <si>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</si>
  <si>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</si>
  <si>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</si>
  <si>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</si>
  <si>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</si>
  <si>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</si>
  <si>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</si>
  <si>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</si>
  <si>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</si>
  <si>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</si>
  <si>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</si>
  <si>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</si>
  <si>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</si>
  <si>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</si>
  <si>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</si>
  <si>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</si>
  <si>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　ＥＳＧ－日本株式　ＥＴＦ　受益証券</t>
  </si>
  <si>
    <t>Global X Japan Mid &amp; Small Cap Leaders ESG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</si>
  <si>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</si>
  <si>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</si>
  <si>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</si>
  <si>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</si>
  <si>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</si>
  <si>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</si>
  <si>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</si>
  <si>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</si>
  <si>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</si>
  <si>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</si>
  <si>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</si>
  <si>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</si>
  <si>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</si>
  <si>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</si>
  <si>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</si>
  <si>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</si>
  <si>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</si>
  <si>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</si>
  <si>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</si>
  <si>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</si>
  <si>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</si>
  <si>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</si>
  <si>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</si>
  <si>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</si>
  <si>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</si>
  <si>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</si>
  <si>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</si>
  <si>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</si>
  <si>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</si>
  <si>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</si>
  <si>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</si>
  <si>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</si>
  <si>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</si>
  <si>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</si>
  <si>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</si>
  <si>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</si>
  <si>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2850</t>
  </si>
  <si>
    <t>ＮＥＸＴ　ＦＵＮＤＳ　ＳｏｌａｃｔｉｖｅジャパンＥＳＧコア指数連動型上場投信　受益証券</t>
  </si>
  <si>
    <t>NEXT FUNDS Solactive Japan ESG Core Index Exchange Traded Fund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</si>
  <si>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</si>
  <si>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</si>
  <si>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</si>
  <si>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</si>
  <si>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</si>
  <si>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</si>
  <si>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</si>
  <si>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</si>
  <si>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</si>
  <si>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</si>
  <si>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</si>
  <si>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</si>
  <si>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</si>
  <si>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</si>
  <si>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</si>
  <si>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</si>
  <si>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</si>
  <si>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</si>
  <si>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</si>
  <si>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</si>
  <si>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</si>
  <si>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</si>
  <si>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</si>
  <si>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</si>
  <si>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</si>
  <si>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</si>
  <si>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</si>
  <si>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</si>
  <si>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</si>
  <si>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</si>
  <si>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</si>
  <si>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</si>
  <si>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</si>
  <si>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</si>
  <si>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</si>
  <si>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</si>
  <si>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2863</t>
  </si>
  <si>
    <t>ＮＥＸＴ　ＦＵＮＤＳ　Ｓ＆Ｐ米国株式・債券バランス保守型指数（為替ヘッジあり）連動型上場投信　受益証券</t>
  </si>
  <si>
    <t>NEXT FUNDS S&amp;P US Equity and Bond Balance Conservative Index (Yen-Hedged) Exchange Traded Fund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</si>
  <si>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</si>
  <si>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</si>
  <si>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</si>
  <si>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</si>
  <si>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</si>
  <si>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</si>
  <si>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</si>
  <si>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</si>
  <si>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</si>
  <si>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</si>
  <si>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</si>
  <si>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</si>
  <si>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 xml:space="preserve">新規上場  </t>
  </si>
  <si>
    <t xml:space="preserve">New Listing  </t>
  </si>
  <si>
    <t xml:space="preserve">2022/11/08  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</si>
  <si>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</si>
  <si>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</si>
  <si>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</si>
  <si>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</si>
  <si>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</si>
  <si>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Leveraged(2x)</t>
  </si>
  <si>
    <t xml:space="preserve">2022/11/16  </t>
  </si>
  <si>
    <t>2870</t>
  </si>
  <si>
    <t>ｉＦｒｅｅＥＴＦ　ＮＡＳＤＡＱ１００ダブルインバース　受益証券</t>
  </si>
  <si>
    <t>iFreeETF NASDAQ100 Double Inverse(-2x)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</si>
  <si>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</si>
  <si>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</si>
  <si>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</si>
  <si>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</si>
  <si>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</si>
  <si>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</si>
  <si>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</si>
  <si>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</si>
  <si>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</si>
  <si>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</si>
  <si>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</si>
  <si>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</si>
  <si>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</si>
  <si>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</si>
  <si>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</si>
  <si>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</si>
  <si>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</si>
  <si>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</si>
  <si>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</si>
  <si>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</si>
  <si>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</si>
  <si>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</si>
  <si>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</si>
  <si>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</si>
  <si>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</si>
  <si>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</si>
  <si>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</si>
  <si>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</si>
  <si>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</si>
  <si>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</si>
  <si>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</si>
  <si>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</si>
  <si>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</si>
  <si>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</si>
  <si>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</si>
  <si>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</si>
  <si>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</si>
  <si>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</si>
  <si>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</si>
  <si>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</si>
  <si>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</si>
  <si>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</si>
  <si>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</si>
  <si>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</si>
  <si>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</si>
  <si>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</si>
  <si>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</si>
  <si>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</si>
  <si>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</si>
  <si>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</si>
  <si>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</si>
  <si>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</si>
  <si>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</si>
  <si>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</si>
  <si>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</si>
  <si>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</si>
  <si>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</si>
  <si>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</si>
  <si>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</si>
  <si>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</si>
  <si>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</si>
  <si>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</si>
  <si>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</si>
  <si>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</si>
  <si>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</si>
  <si>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</si>
  <si>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</si>
  <si>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</si>
  <si>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</si>
  <si>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</si>
  <si>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</si>
  <si>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</si>
  <si>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</si>
  <si>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</si>
  <si>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</si>
  <si>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</si>
  <si>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</si>
  <si>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</si>
  <si>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</si>
  <si>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</si>
  <si>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</si>
  <si>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</si>
  <si>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</si>
  <si>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</si>
  <si>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</si>
  <si>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</si>
  <si>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</si>
  <si>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</si>
  <si>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</si>
  <si>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</si>
  <si>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</si>
  <si>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</si>
  <si>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</si>
  <si>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</si>
  <si>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</si>
  <si>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</si>
  <si>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</si>
  <si>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</si>
  <si>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</si>
  <si>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</si>
  <si>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</si>
  <si>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</si>
  <si>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</si>
  <si>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</si>
  <si>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</si>
  <si>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</si>
  <si>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</si>
  <si>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</si>
  <si>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</si>
  <si>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アドバンス・ロジスティクス投資法人　投資証券</t>
  </si>
  <si>
    <t>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</si>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</sst>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80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2037</f>
        <v>2037.0</v>
      </c>
      <c r="L7" s="34" t="s">
        <v>48</v>
      </c>
      <c r="M7" s="33" t="n">
        <f>2132.5</f>
        <v>2132.5</v>
      </c>
      <c r="N7" s="34" t="s">
        <v>49</v>
      </c>
      <c r="O7" s="33" t="n">
        <f>2008</f>
        <v>2008.0</v>
      </c>
      <c r="P7" s="34" t="s">
        <v>50</v>
      </c>
      <c r="Q7" s="33" t="n">
        <f>2089.5</f>
        <v>2089.5</v>
      </c>
      <c r="R7" s="34" t="s">
        <v>51</v>
      </c>
      <c r="S7" s="35" t="n">
        <f>2072.9</f>
        <v>2072.9</v>
      </c>
      <c r="T7" s="32" t="n">
        <f>8057220</f>
        <v>8057220.0</v>
      </c>
      <c r="U7" s="32" t="n">
        <f>3373330</f>
        <v>3373330.0</v>
      </c>
      <c r="V7" s="32" t="n">
        <f>16821687738</f>
        <v>1.6821687738E10</v>
      </c>
      <c r="W7" s="32" t="n">
        <f>7025781838</f>
        <v>7.025781838E9</v>
      </c>
      <c r="X7" s="36" t="n">
        <f>20</f>
        <v>20.0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2014.5</f>
        <v>2014.5</v>
      </c>
      <c r="L8" s="34" t="s">
        <v>48</v>
      </c>
      <c r="M8" s="33" t="n">
        <f>2109.5</f>
        <v>2109.5</v>
      </c>
      <c r="N8" s="34" t="s">
        <v>49</v>
      </c>
      <c r="O8" s="33" t="n">
        <f>1987.5</f>
        <v>1987.5</v>
      </c>
      <c r="P8" s="34" t="s">
        <v>50</v>
      </c>
      <c r="Q8" s="33" t="n">
        <f>2066.5</f>
        <v>2066.5</v>
      </c>
      <c r="R8" s="34" t="s">
        <v>51</v>
      </c>
      <c r="S8" s="35" t="n">
        <f>2051.18</f>
        <v>2051.18</v>
      </c>
      <c r="T8" s="32" t="n">
        <f>31100430</f>
        <v>3.110043E7</v>
      </c>
      <c r="U8" s="32" t="n">
        <f>2145370</f>
        <v>2145370.0</v>
      </c>
      <c r="V8" s="32" t="n">
        <f>63720529996</f>
        <v>6.3720529996E10</v>
      </c>
      <c r="W8" s="32" t="n">
        <f>4427967191</f>
        <v>4.427967191E9</v>
      </c>
      <c r="X8" s="36" t="n">
        <f>20</f>
        <v>20.0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1991.5</f>
        <v>1991.5</v>
      </c>
      <c r="L9" s="34" t="s">
        <v>48</v>
      </c>
      <c r="M9" s="33" t="n">
        <f>2084.5</f>
        <v>2084.5</v>
      </c>
      <c r="N9" s="34" t="s">
        <v>49</v>
      </c>
      <c r="O9" s="33" t="n">
        <f>1964.5</f>
        <v>1964.5</v>
      </c>
      <c r="P9" s="34" t="s">
        <v>50</v>
      </c>
      <c r="Q9" s="33" t="n">
        <f>2042</f>
        <v>2042.0</v>
      </c>
      <c r="R9" s="34" t="s">
        <v>51</v>
      </c>
      <c r="S9" s="35" t="n">
        <f>2026</f>
        <v>2026.0</v>
      </c>
      <c r="T9" s="32" t="n">
        <f>6024200</f>
        <v>6024200.0</v>
      </c>
      <c r="U9" s="32" t="n">
        <f>2136400</f>
        <v>2136400.0</v>
      </c>
      <c r="V9" s="32" t="n">
        <f>12307380982</f>
        <v>1.2307380982E10</v>
      </c>
      <c r="W9" s="32" t="n">
        <f>4376582932</f>
        <v>4.376582932E9</v>
      </c>
      <c r="X9" s="36" t="n">
        <f>20</f>
        <v>20.0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37280</f>
        <v>37280.0</v>
      </c>
      <c r="L10" s="34" t="s">
        <v>48</v>
      </c>
      <c r="M10" s="33" t="n">
        <f>39820</f>
        <v>39820.0</v>
      </c>
      <c r="N10" s="34" t="s">
        <v>61</v>
      </c>
      <c r="O10" s="33" t="n">
        <f>37000</f>
        <v>37000.0</v>
      </c>
      <c r="P10" s="34" t="s">
        <v>62</v>
      </c>
      <c r="Q10" s="33" t="n">
        <f>38900</f>
        <v>38900.0</v>
      </c>
      <c r="R10" s="34" t="s">
        <v>51</v>
      </c>
      <c r="S10" s="35" t="n">
        <f>38523</f>
        <v>38523.0</v>
      </c>
      <c r="T10" s="32" t="n">
        <f>5041</f>
        <v>5041.0</v>
      </c>
      <c r="U10" s="32" t="str">
        <f>"－"</f>
        <v>－</v>
      </c>
      <c r="V10" s="32" t="n">
        <f>193358200</f>
        <v>1.933582E8</v>
      </c>
      <c r="W10" s="32" t="str">
        <f>"－"</f>
        <v>－</v>
      </c>
      <c r="X10" s="36" t="n">
        <f>20</f>
        <v>20.0</v>
      </c>
    </row>
    <row r="11">
      <c r="A11" s="27" t="s">
        <v>42</v>
      </c>
      <c r="B11" s="27" t="s">
        <v>63</v>
      </c>
      <c r="C11" s="27" t="s">
        <v>64</v>
      </c>
      <c r="D11" s="27" t="s">
        <v>65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937.4</f>
        <v>937.4</v>
      </c>
      <c r="L11" s="34" t="s">
        <v>48</v>
      </c>
      <c r="M11" s="33" t="n">
        <f>988.1</f>
        <v>988.1</v>
      </c>
      <c r="N11" s="34" t="s">
        <v>49</v>
      </c>
      <c r="O11" s="33" t="n">
        <f>925</f>
        <v>925.0</v>
      </c>
      <c r="P11" s="34" t="s">
        <v>62</v>
      </c>
      <c r="Q11" s="33" t="n">
        <f>964.5</f>
        <v>964.5</v>
      </c>
      <c r="R11" s="34" t="s">
        <v>51</v>
      </c>
      <c r="S11" s="35" t="n">
        <f>958.99</f>
        <v>958.99</v>
      </c>
      <c r="T11" s="32" t="n">
        <f>107790</f>
        <v>107790.0</v>
      </c>
      <c r="U11" s="32" t="n">
        <f>10</f>
        <v>10.0</v>
      </c>
      <c r="V11" s="32" t="n">
        <f>104255181</f>
        <v>1.04255181E8</v>
      </c>
      <c r="W11" s="32" t="n">
        <f>9696</f>
        <v>9696.0</v>
      </c>
      <c r="X11" s="36" t="n">
        <f>20</f>
        <v>20.0</v>
      </c>
    </row>
    <row r="12">
      <c r="A12" s="27" t="s">
        <v>42</v>
      </c>
      <c r="B12" s="27" t="s">
        <v>66</v>
      </c>
      <c r="C12" s="27" t="s">
        <v>67</v>
      </c>
      <c r="D12" s="27" t="s">
        <v>68</v>
      </c>
      <c r="E12" s="28" t="s">
        <v>46</v>
      </c>
      <c r="F12" s="29" t="s">
        <v>46</v>
      </c>
      <c r="G12" s="30" t="s">
        <v>46</v>
      </c>
      <c r="H12" s="31" t="s">
        <v>69</v>
      </c>
      <c r="I12" s="31" t="s">
        <v>47</v>
      </c>
      <c r="J12" s="32" t="n">
        <v>1.0</v>
      </c>
      <c r="K12" s="33" t="n">
        <f>20000</f>
        <v>20000.0</v>
      </c>
      <c r="L12" s="34" t="s">
        <v>48</v>
      </c>
      <c r="M12" s="33" t="n">
        <f>21155</f>
        <v>21155.0</v>
      </c>
      <c r="N12" s="34" t="s">
        <v>70</v>
      </c>
      <c r="O12" s="33" t="n">
        <f>19760</f>
        <v>19760.0</v>
      </c>
      <c r="P12" s="34" t="s">
        <v>71</v>
      </c>
      <c r="Q12" s="33" t="n">
        <f>20305</f>
        <v>20305.0</v>
      </c>
      <c r="R12" s="34" t="s">
        <v>51</v>
      </c>
      <c r="S12" s="35" t="n">
        <f>20410.53</f>
        <v>20410.53</v>
      </c>
      <c r="T12" s="32" t="n">
        <f>526</f>
        <v>526.0</v>
      </c>
      <c r="U12" s="32" t="str">
        <f>"－"</f>
        <v>－</v>
      </c>
      <c r="V12" s="32" t="n">
        <f>10868120</f>
        <v>1.086812E7</v>
      </c>
      <c r="W12" s="32" t="str">
        <f>"－"</f>
        <v>－</v>
      </c>
      <c r="X12" s="36" t="n">
        <f>19</f>
        <v>19.0</v>
      </c>
    </row>
    <row r="13">
      <c r="A13" s="27" t="s">
        <v>42</v>
      </c>
      <c r="B13" s="27" t="s">
        <v>72</v>
      </c>
      <c r="C13" s="27" t="s">
        <v>73</v>
      </c>
      <c r="D13" s="27" t="s">
        <v>74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3130</f>
        <v>3130.0</v>
      </c>
      <c r="L13" s="34" t="s">
        <v>48</v>
      </c>
      <c r="M13" s="33" t="n">
        <f>3840</f>
        <v>3840.0</v>
      </c>
      <c r="N13" s="34" t="s">
        <v>75</v>
      </c>
      <c r="O13" s="33" t="n">
        <f>3130</f>
        <v>3130.0</v>
      </c>
      <c r="P13" s="34" t="s">
        <v>48</v>
      </c>
      <c r="Q13" s="33" t="n">
        <f>3330</f>
        <v>3330.0</v>
      </c>
      <c r="R13" s="34" t="s">
        <v>51</v>
      </c>
      <c r="S13" s="35" t="n">
        <f>3331.32</f>
        <v>3331.32</v>
      </c>
      <c r="T13" s="32" t="n">
        <f>2200</f>
        <v>2200.0</v>
      </c>
      <c r="U13" s="32" t="str">
        <f>"－"</f>
        <v>－</v>
      </c>
      <c r="V13" s="32" t="n">
        <f>7466070</f>
        <v>7466070.0</v>
      </c>
      <c r="W13" s="32" t="str">
        <f>"－"</f>
        <v>－</v>
      </c>
      <c r="X13" s="36" t="n">
        <f>19</f>
        <v>19.0</v>
      </c>
    </row>
    <row r="14">
      <c r="A14" s="27" t="s">
        <v>42</v>
      </c>
      <c r="B14" s="27" t="s">
        <v>76</v>
      </c>
      <c r="C14" s="27" t="s">
        <v>77</v>
      </c>
      <c r="D14" s="27" t="s">
        <v>78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346.6</f>
        <v>346.6</v>
      </c>
      <c r="L14" s="34" t="s">
        <v>48</v>
      </c>
      <c r="M14" s="33" t="n">
        <f>358</f>
        <v>358.0</v>
      </c>
      <c r="N14" s="34" t="s">
        <v>79</v>
      </c>
      <c r="O14" s="33" t="n">
        <f>343.2</f>
        <v>343.2</v>
      </c>
      <c r="P14" s="34" t="s">
        <v>62</v>
      </c>
      <c r="Q14" s="33" t="n">
        <f>358</f>
        <v>358.0</v>
      </c>
      <c r="R14" s="34" t="s">
        <v>80</v>
      </c>
      <c r="S14" s="35" t="n">
        <f>353.98</f>
        <v>353.98</v>
      </c>
      <c r="T14" s="32" t="n">
        <f>43000</f>
        <v>43000.0</v>
      </c>
      <c r="U14" s="32" t="str">
        <f>"－"</f>
        <v>－</v>
      </c>
      <c r="V14" s="32" t="n">
        <f>15092900</f>
        <v>1.50929E7</v>
      </c>
      <c r="W14" s="32" t="str">
        <f>"－"</f>
        <v>－</v>
      </c>
      <c r="X14" s="36" t="n">
        <f>13</f>
        <v>13.0</v>
      </c>
    </row>
    <row r="15">
      <c r="A15" s="27" t="s">
        <v>42</v>
      </c>
      <c r="B15" s="27" t="s">
        <v>81</v>
      </c>
      <c r="C15" s="27" t="s">
        <v>82</v>
      </c>
      <c r="D15" s="27" t="s">
        <v>83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28440</f>
        <v>28440.0</v>
      </c>
      <c r="L15" s="34" t="s">
        <v>48</v>
      </c>
      <c r="M15" s="33" t="n">
        <f>29360</f>
        <v>29360.0</v>
      </c>
      <c r="N15" s="34" t="s">
        <v>49</v>
      </c>
      <c r="O15" s="33" t="n">
        <f>27850</f>
        <v>27850.0</v>
      </c>
      <c r="P15" s="34" t="s">
        <v>50</v>
      </c>
      <c r="Q15" s="33" t="n">
        <f>28810</f>
        <v>28810.0</v>
      </c>
      <c r="R15" s="34" t="s">
        <v>51</v>
      </c>
      <c r="S15" s="35" t="n">
        <f>28745</f>
        <v>28745.0</v>
      </c>
      <c r="T15" s="32" t="n">
        <f>2869659</f>
        <v>2869659.0</v>
      </c>
      <c r="U15" s="32" t="n">
        <f>1260001</f>
        <v>1260001.0</v>
      </c>
      <c r="V15" s="32" t="n">
        <f>82630236320</f>
        <v>8.263023632E10</v>
      </c>
      <c r="W15" s="32" t="n">
        <f>36295371725</f>
        <v>3.6295371725E10</v>
      </c>
      <c r="X15" s="36" t="n">
        <f>20</f>
        <v>20.0</v>
      </c>
    </row>
    <row r="16">
      <c r="A16" s="27" t="s">
        <v>42</v>
      </c>
      <c r="B16" s="27" t="s">
        <v>84</v>
      </c>
      <c r="C16" s="27" t="s">
        <v>85</v>
      </c>
      <c r="D16" s="27" t="s">
        <v>86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28525</f>
        <v>28525.0</v>
      </c>
      <c r="L16" s="34" t="s">
        <v>48</v>
      </c>
      <c r="M16" s="33" t="n">
        <f>29445</f>
        <v>29445.0</v>
      </c>
      <c r="N16" s="34" t="s">
        <v>49</v>
      </c>
      <c r="O16" s="33" t="n">
        <f>27930</f>
        <v>27930.0</v>
      </c>
      <c r="P16" s="34" t="s">
        <v>50</v>
      </c>
      <c r="Q16" s="33" t="n">
        <f>28910</f>
        <v>28910.0</v>
      </c>
      <c r="R16" s="34" t="s">
        <v>51</v>
      </c>
      <c r="S16" s="35" t="n">
        <f>28834.75</f>
        <v>28834.75</v>
      </c>
      <c r="T16" s="32" t="n">
        <f>4628817</f>
        <v>4628817.0</v>
      </c>
      <c r="U16" s="32" t="n">
        <f>305980</f>
        <v>305980.0</v>
      </c>
      <c r="V16" s="32" t="n">
        <f>133467580244</f>
        <v>1.33467580244E11</v>
      </c>
      <c r="W16" s="32" t="n">
        <f>8857060224</f>
        <v>8.857060224E9</v>
      </c>
      <c r="X16" s="36" t="n">
        <f>20</f>
        <v>20.0</v>
      </c>
    </row>
    <row r="17">
      <c r="A17" s="27" t="s">
        <v>42</v>
      </c>
      <c r="B17" s="27" t="s">
        <v>87</v>
      </c>
      <c r="C17" s="27" t="s">
        <v>88</v>
      </c>
      <c r="D17" s="27" t="s">
        <v>89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7100</f>
        <v>7100.0</v>
      </c>
      <c r="L17" s="34" t="s">
        <v>48</v>
      </c>
      <c r="M17" s="33" t="n">
        <f>7742</f>
        <v>7742.0</v>
      </c>
      <c r="N17" s="34" t="s">
        <v>90</v>
      </c>
      <c r="O17" s="33" t="n">
        <f>7060</f>
        <v>7060.0</v>
      </c>
      <c r="P17" s="34" t="s">
        <v>91</v>
      </c>
      <c r="Q17" s="33" t="n">
        <f>7476</f>
        <v>7476.0</v>
      </c>
      <c r="R17" s="34" t="s">
        <v>51</v>
      </c>
      <c r="S17" s="35" t="n">
        <f>7473.25</f>
        <v>7473.25</v>
      </c>
      <c r="T17" s="32" t="n">
        <f>10740</f>
        <v>10740.0</v>
      </c>
      <c r="U17" s="32" t="str">
        <f>"－"</f>
        <v>－</v>
      </c>
      <c r="V17" s="32" t="n">
        <f>79413470</f>
        <v>7.941347E7</v>
      </c>
      <c r="W17" s="32" t="str">
        <f>"－"</f>
        <v>－</v>
      </c>
      <c r="X17" s="36" t="n">
        <f>20</f>
        <v>20.0</v>
      </c>
    </row>
    <row r="18">
      <c r="A18" s="27" t="s">
        <v>42</v>
      </c>
      <c r="B18" s="27" t="s">
        <v>92</v>
      </c>
      <c r="C18" s="27" t="s">
        <v>93</v>
      </c>
      <c r="D18" s="27" t="s">
        <v>94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str">
        <f>"－"</f>
        <v>－</v>
      </c>
      <c r="L18" s="34"/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5" t="str">
        <f>"－"</f>
        <v>－</v>
      </c>
      <c r="T18" s="32" t="str">
        <f>"－"</f>
        <v>－</v>
      </c>
      <c r="U18" s="32" t="str">
        <f>"－"</f>
        <v>－</v>
      </c>
      <c r="V18" s="32" t="str">
        <f>"－"</f>
        <v>－</v>
      </c>
      <c r="W18" s="32" t="str">
        <f>"－"</f>
        <v>－</v>
      </c>
      <c r="X18" s="36" t="str">
        <f>"－"</f>
        <v>－</v>
      </c>
    </row>
    <row r="19">
      <c r="A19" s="27" t="s">
        <v>42</v>
      </c>
      <c r="B19" s="27" t="s">
        <v>95</v>
      </c>
      <c r="C19" s="27" t="s">
        <v>96</v>
      </c>
      <c r="D19" s="27" t="s">
        <v>97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214</f>
        <v>214.0</v>
      </c>
      <c r="L19" s="34" t="s">
        <v>48</v>
      </c>
      <c r="M19" s="33" t="n">
        <f>220</f>
        <v>220.0</v>
      </c>
      <c r="N19" s="34" t="s">
        <v>51</v>
      </c>
      <c r="O19" s="33" t="n">
        <f>192</f>
        <v>192.0</v>
      </c>
      <c r="P19" s="34" t="s">
        <v>70</v>
      </c>
      <c r="Q19" s="33" t="n">
        <f>209.3</f>
        <v>209.3</v>
      </c>
      <c r="R19" s="34" t="s">
        <v>51</v>
      </c>
      <c r="S19" s="35" t="n">
        <f>206.56</f>
        <v>206.56</v>
      </c>
      <c r="T19" s="32" t="n">
        <f>1241100</f>
        <v>1241100.0</v>
      </c>
      <c r="U19" s="32" t="n">
        <f>200</f>
        <v>200.0</v>
      </c>
      <c r="V19" s="32" t="n">
        <f>255287590</f>
        <v>2.5528759E8</v>
      </c>
      <c r="W19" s="32" t="n">
        <f>43260</f>
        <v>43260.0</v>
      </c>
      <c r="X19" s="36" t="n">
        <f>20</f>
        <v>20.0</v>
      </c>
    </row>
    <row r="20">
      <c r="A20" s="27" t="s">
        <v>42</v>
      </c>
      <c r="B20" s="27" t="s">
        <v>98</v>
      </c>
      <c r="C20" s="27" t="s">
        <v>99</v>
      </c>
      <c r="D20" s="27" t="s">
        <v>100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22615</f>
        <v>22615.0</v>
      </c>
      <c r="L20" s="34" t="s">
        <v>48</v>
      </c>
      <c r="M20" s="33" t="n">
        <f>23285</f>
        <v>23285.0</v>
      </c>
      <c r="N20" s="34" t="s">
        <v>101</v>
      </c>
      <c r="O20" s="33" t="n">
        <f>22470</f>
        <v>22470.0</v>
      </c>
      <c r="P20" s="34" t="s">
        <v>50</v>
      </c>
      <c r="Q20" s="33" t="n">
        <f>22600</f>
        <v>22600.0</v>
      </c>
      <c r="R20" s="34" t="s">
        <v>51</v>
      </c>
      <c r="S20" s="35" t="n">
        <f>22861.5</f>
        <v>22861.5</v>
      </c>
      <c r="T20" s="32" t="n">
        <f>101990</f>
        <v>101990.0</v>
      </c>
      <c r="U20" s="32" t="n">
        <f>13</f>
        <v>13.0</v>
      </c>
      <c r="V20" s="32" t="n">
        <f>2331895870</f>
        <v>2.33189587E9</v>
      </c>
      <c r="W20" s="32" t="n">
        <f>305200</f>
        <v>305200.0</v>
      </c>
      <c r="X20" s="36" t="n">
        <f>20</f>
        <v>20.0</v>
      </c>
    </row>
    <row r="21">
      <c r="A21" s="27" t="s">
        <v>42</v>
      </c>
      <c r="B21" s="27" t="s">
        <v>102</v>
      </c>
      <c r="C21" s="27" t="s">
        <v>103</v>
      </c>
      <c r="D21" s="27" t="s">
        <v>104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10.0</v>
      </c>
      <c r="K21" s="33" t="n">
        <f>6068</f>
        <v>6068.0</v>
      </c>
      <c r="L21" s="34" t="s">
        <v>48</v>
      </c>
      <c r="M21" s="33" t="n">
        <f>6257</f>
        <v>6257.0</v>
      </c>
      <c r="N21" s="34" t="s">
        <v>101</v>
      </c>
      <c r="O21" s="33" t="n">
        <f>6030</f>
        <v>6030.0</v>
      </c>
      <c r="P21" s="34" t="s">
        <v>50</v>
      </c>
      <c r="Q21" s="33" t="n">
        <f>6116</f>
        <v>6116.0</v>
      </c>
      <c r="R21" s="34" t="s">
        <v>51</v>
      </c>
      <c r="S21" s="35" t="n">
        <f>6141</f>
        <v>6141.0</v>
      </c>
      <c r="T21" s="32" t="n">
        <f>124000</f>
        <v>124000.0</v>
      </c>
      <c r="U21" s="32" t="n">
        <f>110</f>
        <v>110.0</v>
      </c>
      <c r="V21" s="32" t="n">
        <f>762360010</f>
        <v>7.6236001E8</v>
      </c>
      <c r="W21" s="32" t="n">
        <f>678400</f>
        <v>678400.0</v>
      </c>
      <c r="X21" s="36" t="n">
        <f>20</f>
        <v>20.0</v>
      </c>
    </row>
    <row r="22">
      <c r="A22" s="27" t="s">
        <v>42</v>
      </c>
      <c r="B22" s="27" t="s">
        <v>105</v>
      </c>
      <c r="C22" s="27" t="s">
        <v>106</v>
      </c>
      <c r="D22" s="27" t="s">
        <v>107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28680</f>
        <v>28680.0</v>
      </c>
      <c r="L22" s="34" t="s">
        <v>48</v>
      </c>
      <c r="M22" s="33" t="n">
        <f>29610</f>
        <v>29610.0</v>
      </c>
      <c r="N22" s="34" t="s">
        <v>49</v>
      </c>
      <c r="O22" s="33" t="n">
        <f>28080</f>
        <v>28080.0</v>
      </c>
      <c r="P22" s="34" t="s">
        <v>50</v>
      </c>
      <c r="Q22" s="33" t="n">
        <f>29060</f>
        <v>29060.0</v>
      </c>
      <c r="R22" s="34" t="s">
        <v>51</v>
      </c>
      <c r="S22" s="35" t="n">
        <f>28991.5</f>
        <v>28991.5</v>
      </c>
      <c r="T22" s="32" t="n">
        <f>592477</f>
        <v>592477.0</v>
      </c>
      <c r="U22" s="32" t="n">
        <f>180400</f>
        <v>180400.0</v>
      </c>
      <c r="V22" s="32" t="n">
        <f>17215027204</f>
        <v>1.7215027204E10</v>
      </c>
      <c r="W22" s="32" t="n">
        <f>5233484714</f>
        <v>5.233484714E9</v>
      </c>
      <c r="X22" s="36" t="n">
        <f>20</f>
        <v>20.0</v>
      </c>
    </row>
    <row r="23">
      <c r="A23" s="27" t="s">
        <v>42</v>
      </c>
      <c r="B23" s="27" t="s">
        <v>108</v>
      </c>
      <c r="C23" s="27" t="s">
        <v>109</v>
      </c>
      <c r="D23" s="27" t="s">
        <v>110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28555</f>
        <v>28555.0</v>
      </c>
      <c r="L23" s="34" t="s">
        <v>48</v>
      </c>
      <c r="M23" s="33" t="n">
        <f>29480</f>
        <v>29480.0</v>
      </c>
      <c r="N23" s="34" t="s">
        <v>49</v>
      </c>
      <c r="O23" s="33" t="n">
        <f>27955</f>
        <v>27955.0</v>
      </c>
      <c r="P23" s="34" t="s">
        <v>50</v>
      </c>
      <c r="Q23" s="33" t="n">
        <f>28910</f>
        <v>28910.0</v>
      </c>
      <c r="R23" s="34" t="s">
        <v>51</v>
      </c>
      <c r="S23" s="35" t="n">
        <f>28859.75</f>
        <v>28859.75</v>
      </c>
      <c r="T23" s="32" t="n">
        <f>629120</f>
        <v>629120.0</v>
      </c>
      <c r="U23" s="32" t="n">
        <f>59500</f>
        <v>59500.0</v>
      </c>
      <c r="V23" s="32" t="n">
        <f>18177207873</f>
        <v>1.8177207873E10</v>
      </c>
      <c r="W23" s="32" t="n">
        <f>1715463023</f>
        <v>1.715463023E9</v>
      </c>
      <c r="X23" s="36" t="n">
        <f>20</f>
        <v>20.0</v>
      </c>
    </row>
    <row r="24">
      <c r="A24" s="27" t="s">
        <v>42</v>
      </c>
      <c r="B24" s="27" t="s">
        <v>111</v>
      </c>
      <c r="C24" s="27" t="s">
        <v>112</v>
      </c>
      <c r="D24" s="27" t="s">
        <v>113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10.0</v>
      </c>
      <c r="K24" s="33" t="n">
        <f>2137</f>
        <v>2137.0</v>
      </c>
      <c r="L24" s="34" t="s">
        <v>48</v>
      </c>
      <c r="M24" s="33" t="n">
        <f>2160</f>
        <v>2160.0</v>
      </c>
      <c r="N24" s="34" t="s">
        <v>48</v>
      </c>
      <c r="O24" s="33" t="n">
        <f>2077</f>
        <v>2077.0</v>
      </c>
      <c r="P24" s="34" t="s">
        <v>114</v>
      </c>
      <c r="Q24" s="33" t="n">
        <f>2108.5</f>
        <v>2108.5</v>
      </c>
      <c r="R24" s="34" t="s">
        <v>51</v>
      </c>
      <c r="S24" s="35" t="n">
        <f>2101.03</f>
        <v>2101.03</v>
      </c>
      <c r="T24" s="32" t="n">
        <f>6062110</f>
        <v>6062110.0</v>
      </c>
      <c r="U24" s="32" t="n">
        <f>358070</f>
        <v>358070.0</v>
      </c>
      <c r="V24" s="32" t="n">
        <f>12739181035</f>
        <v>1.2739181035E10</v>
      </c>
      <c r="W24" s="32" t="n">
        <f>754732365</f>
        <v>7.54732365E8</v>
      </c>
      <c r="X24" s="36" t="n">
        <f>20</f>
        <v>20.0</v>
      </c>
    </row>
    <row r="25">
      <c r="A25" s="27" t="s">
        <v>42</v>
      </c>
      <c r="B25" s="27" t="s">
        <v>115</v>
      </c>
      <c r="C25" s="27" t="s">
        <v>116</v>
      </c>
      <c r="D25" s="27" t="s">
        <v>117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100.0</v>
      </c>
      <c r="K25" s="33" t="n">
        <f>2001.5</f>
        <v>2001.5</v>
      </c>
      <c r="L25" s="34" t="s">
        <v>48</v>
      </c>
      <c r="M25" s="33" t="n">
        <f>2030</f>
        <v>2030.0</v>
      </c>
      <c r="N25" s="34" t="s">
        <v>62</v>
      </c>
      <c r="O25" s="33" t="n">
        <f>1950</f>
        <v>1950.0</v>
      </c>
      <c r="P25" s="34" t="s">
        <v>90</v>
      </c>
      <c r="Q25" s="33" t="n">
        <f>1993</f>
        <v>1993.0</v>
      </c>
      <c r="R25" s="34" t="s">
        <v>51</v>
      </c>
      <c r="S25" s="35" t="n">
        <f>1979.95</f>
        <v>1979.95</v>
      </c>
      <c r="T25" s="32" t="n">
        <f>922100</f>
        <v>922100.0</v>
      </c>
      <c r="U25" s="32" t="n">
        <f>127200</f>
        <v>127200.0</v>
      </c>
      <c r="V25" s="32" t="n">
        <f>1831489506</f>
        <v>1.831489506E9</v>
      </c>
      <c r="W25" s="32" t="n">
        <f>253100606</f>
        <v>2.53100606E8</v>
      </c>
      <c r="X25" s="36" t="n">
        <f>20</f>
        <v>20.0</v>
      </c>
    </row>
    <row r="26">
      <c r="A26" s="27" t="s">
        <v>42</v>
      </c>
      <c r="B26" s="27" t="s">
        <v>118</v>
      </c>
      <c r="C26" s="27" t="s">
        <v>119</v>
      </c>
      <c r="D26" s="27" t="s">
        <v>120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28645</f>
        <v>28645.0</v>
      </c>
      <c r="L26" s="34" t="s">
        <v>48</v>
      </c>
      <c r="M26" s="33" t="n">
        <f>29580</f>
        <v>29580.0</v>
      </c>
      <c r="N26" s="34" t="s">
        <v>49</v>
      </c>
      <c r="O26" s="33" t="n">
        <f>28050</f>
        <v>28050.0</v>
      </c>
      <c r="P26" s="34" t="s">
        <v>50</v>
      </c>
      <c r="Q26" s="33" t="n">
        <f>29035</f>
        <v>29035.0</v>
      </c>
      <c r="R26" s="34" t="s">
        <v>51</v>
      </c>
      <c r="S26" s="35" t="n">
        <f>28958.75</f>
        <v>28958.75</v>
      </c>
      <c r="T26" s="32" t="n">
        <f>279514</f>
        <v>279514.0</v>
      </c>
      <c r="U26" s="32" t="n">
        <f>6000</f>
        <v>6000.0</v>
      </c>
      <c r="V26" s="32" t="n">
        <f>8072221665</f>
        <v>8.072221665E9</v>
      </c>
      <c r="W26" s="32" t="n">
        <f>174008800</f>
        <v>1.740088E8</v>
      </c>
      <c r="X26" s="36" t="n">
        <f>20</f>
        <v>20.0</v>
      </c>
    </row>
    <row r="27">
      <c r="A27" s="27" t="s">
        <v>42</v>
      </c>
      <c r="B27" s="27" t="s">
        <v>121</v>
      </c>
      <c r="C27" s="27" t="s">
        <v>122</v>
      </c>
      <c r="D27" s="27" t="s">
        <v>123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2016.5</f>
        <v>2016.5</v>
      </c>
      <c r="L27" s="34" t="s">
        <v>48</v>
      </c>
      <c r="M27" s="33" t="n">
        <f>2110.5</f>
        <v>2110.5</v>
      </c>
      <c r="N27" s="34" t="s">
        <v>49</v>
      </c>
      <c r="O27" s="33" t="n">
        <f>1989.5</f>
        <v>1989.5</v>
      </c>
      <c r="P27" s="34" t="s">
        <v>50</v>
      </c>
      <c r="Q27" s="33" t="n">
        <f>2071</f>
        <v>2071.0</v>
      </c>
      <c r="R27" s="34" t="s">
        <v>51</v>
      </c>
      <c r="S27" s="35" t="n">
        <f>2051.98</f>
        <v>2051.98</v>
      </c>
      <c r="T27" s="32" t="n">
        <f>3664110</f>
        <v>3664110.0</v>
      </c>
      <c r="U27" s="32" t="n">
        <f>1824790</f>
        <v>1824790.0</v>
      </c>
      <c r="V27" s="32" t="n">
        <f>7489234649</f>
        <v>7.489234649E9</v>
      </c>
      <c r="W27" s="32" t="n">
        <f>3736991524</f>
        <v>3.736991524E9</v>
      </c>
      <c r="X27" s="36" t="n">
        <f>20</f>
        <v>20.0</v>
      </c>
    </row>
    <row r="28">
      <c r="A28" s="27" t="s">
        <v>42</v>
      </c>
      <c r="B28" s="27" t="s">
        <v>124</v>
      </c>
      <c r="C28" s="27" t="s">
        <v>125</v>
      </c>
      <c r="D28" s="27" t="s">
        <v>126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14660</f>
        <v>14660.0</v>
      </c>
      <c r="L28" s="34" t="s">
        <v>48</v>
      </c>
      <c r="M28" s="33" t="n">
        <f>14790</f>
        <v>14790.0</v>
      </c>
      <c r="N28" s="34" t="s">
        <v>62</v>
      </c>
      <c r="O28" s="33" t="n">
        <f>14455</f>
        <v>14455.0</v>
      </c>
      <c r="P28" s="34" t="s">
        <v>80</v>
      </c>
      <c r="Q28" s="33" t="n">
        <f>14580</f>
        <v>14580.0</v>
      </c>
      <c r="R28" s="34" t="s">
        <v>51</v>
      </c>
      <c r="S28" s="35" t="n">
        <f>14590.26</f>
        <v>14590.26</v>
      </c>
      <c r="T28" s="32" t="n">
        <f>379</f>
        <v>379.0</v>
      </c>
      <c r="U28" s="32" t="str">
        <f>"－"</f>
        <v>－</v>
      </c>
      <c r="V28" s="32" t="n">
        <f>5541245</f>
        <v>5541245.0</v>
      </c>
      <c r="W28" s="32" t="str">
        <f>"－"</f>
        <v>－</v>
      </c>
      <c r="X28" s="36" t="n">
        <f>19</f>
        <v>19.0</v>
      </c>
    </row>
    <row r="29">
      <c r="A29" s="27" t="s">
        <v>42</v>
      </c>
      <c r="B29" s="27" t="s">
        <v>127</v>
      </c>
      <c r="C29" s="27" t="s">
        <v>128</v>
      </c>
      <c r="D29" s="27" t="s">
        <v>129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10.0</v>
      </c>
      <c r="K29" s="33" t="n">
        <f>931</f>
        <v>931.0</v>
      </c>
      <c r="L29" s="34" t="s">
        <v>48</v>
      </c>
      <c r="M29" s="33" t="n">
        <f>957</f>
        <v>957.0</v>
      </c>
      <c r="N29" s="34" t="s">
        <v>50</v>
      </c>
      <c r="O29" s="33" t="n">
        <f>844.6</f>
        <v>844.6</v>
      </c>
      <c r="P29" s="34" t="s">
        <v>49</v>
      </c>
      <c r="Q29" s="33" t="n">
        <f>877.5</f>
        <v>877.5</v>
      </c>
      <c r="R29" s="34" t="s">
        <v>51</v>
      </c>
      <c r="S29" s="35" t="n">
        <f>896.28</f>
        <v>896.28</v>
      </c>
      <c r="T29" s="32" t="n">
        <f>8387890</f>
        <v>8387890.0</v>
      </c>
      <c r="U29" s="32" t="n">
        <f>720</f>
        <v>720.0</v>
      </c>
      <c r="V29" s="32" t="n">
        <f>7491435217</f>
        <v>7.491435217E9</v>
      </c>
      <c r="W29" s="32" t="n">
        <f>645210</f>
        <v>645210.0</v>
      </c>
      <c r="X29" s="36" t="n">
        <f>20</f>
        <v>20.0</v>
      </c>
    </row>
    <row r="30">
      <c r="A30" s="27" t="s">
        <v>42</v>
      </c>
      <c r="B30" s="27" t="s">
        <v>130</v>
      </c>
      <c r="C30" s="27" t="s">
        <v>131</v>
      </c>
      <c r="D30" s="27" t="s">
        <v>132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1.0</v>
      </c>
      <c r="K30" s="33" t="n">
        <f>355</f>
        <v>355.0</v>
      </c>
      <c r="L30" s="34" t="s">
        <v>48</v>
      </c>
      <c r="M30" s="33" t="n">
        <f>371</f>
        <v>371.0</v>
      </c>
      <c r="N30" s="34" t="s">
        <v>50</v>
      </c>
      <c r="O30" s="33" t="n">
        <f>331</f>
        <v>331.0</v>
      </c>
      <c r="P30" s="34" t="s">
        <v>49</v>
      </c>
      <c r="Q30" s="33" t="n">
        <f>343</f>
        <v>343.0</v>
      </c>
      <c r="R30" s="34" t="s">
        <v>51</v>
      </c>
      <c r="S30" s="35" t="n">
        <f>346.5</f>
        <v>346.5</v>
      </c>
      <c r="T30" s="32" t="n">
        <f>1557526010</f>
        <v>1.55752601E9</v>
      </c>
      <c r="U30" s="32" t="n">
        <f>3582197</f>
        <v>3582197.0</v>
      </c>
      <c r="V30" s="32" t="n">
        <f>539814062455</f>
        <v>5.39814062455E11</v>
      </c>
      <c r="W30" s="32" t="n">
        <f>1205713422</f>
        <v>1.205713422E9</v>
      </c>
      <c r="X30" s="36" t="n">
        <f>20</f>
        <v>20.0</v>
      </c>
    </row>
    <row r="31">
      <c r="A31" s="27" t="s">
        <v>42</v>
      </c>
      <c r="B31" s="27" t="s">
        <v>133</v>
      </c>
      <c r="C31" s="27" t="s">
        <v>134</v>
      </c>
      <c r="D31" s="27" t="s">
        <v>135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26575</f>
        <v>26575.0</v>
      </c>
      <c r="L31" s="34" t="s">
        <v>48</v>
      </c>
      <c r="M31" s="33" t="n">
        <f>28230</f>
        <v>28230.0</v>
      </c>
      <c r="N31" s="34" t="s">
        <v>49</v>
      </c>
      <c r="O31" s="33" t="n">
        <f>25440</f>
        <v>25440.0</v>
      </c>
      <c r="P31" s="34" t="s">
        <v>50</v>
      </c>
      <c r="Q31" s="33" t="n">
        <f>27175</f>
        <v>27175.0</v>
      </c>
      <c r="R31" s="34" t="s">
        <v>51</v>
      </c>
      <c r="S31" s="35" t="n">
        <f>27081.25</f>
        <v>27081.25</v>
      </c>
      <c r="T31" s="32" t="n">
        <f>491948</f>
        <v>491948.0</v>
      </c>
      <c r="U31" s="32" t="n">
        <f>16</f>
        <v>16.0</v>
      </c>
      <c r="V31" s="32" t="n">
        <f>13303226345</f>
        <v>1.3303226345E10</v>
      </c>
      <c r="W31" s="32" t="n">
        <f>437745</f>
        <v>437745.0</v>
      </c>
      <c r="X31" s="36" t="n">
        <f>20</f>
        <v>20.0</v>
      </c>
    </row>
    <row r="32">
      <c r="A32" s="27" t="s">
        <v>42</v>
      </c>
      <c r="B32" s="27" t="s">
        <v>136</v>
      </c>
      <c r="C32" s="27" t="s">
        <v>137</v>
      </c>
      <c r="D32" s="27" t="s">
        <v>138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868.8</f>
        <v>868.8</v>
      </c>
      <c r="L32" s="34" t="s">
        <v>48</v>
      </c>
      <c r="M32" s="33" t="n">
        <f>905.3</f>
        <v>905.3</v>
      </c>
      <c r="N32" s="34" t="s">
        <v>50</v>
      </c>
      <c r="O32" s="33" t="n">
        <f>809.2</f>
        <v>809.2</v>
      </c>
      <c r="P32" s="34" t="s">
        <v>49</v>
      </c>
      <c r="Q32" s="33" t="n">
        <f>840.1</f>
        <v>840.1</v>
      </c>
      <c r="R32" s="34" t="s">
        <v>51</v>
      </c>
      <c r="S32" s="35" t="n">
        <f>846.57</f>
        <v>846.57</v>
      </c>
      <c r="T32" s="32" t="n">
        <f>272295320</f>
        <v>2.7229532E8</v>
      </c>
      <c r="U32" s="32" t="n">
        <f>802820</f>
        <v>802820.0</v>
      </c>
      <c r="V32" s="32" t="n">
        <f>230578579003</f>
        <v>2.30578579003E11</v>
      </c>
      <c r="W32" s="32" t="n">
        <f>695390611</f>
        <v>6.95390611E8</v>
      </c>
      <c r="X32" s="36" t="n">
        <f>20</f>
        <v>20.0</v>
      </c>
    </row>
    <row r="33">
      <c r="A33" s="27" t="s">
        <v>42</v>
      </c>
      <c r="B33" s="27" t="s">
        <v>139</v>
      </c>
      <c r="C33" s="27" t="s">
        <v>140</v>
      </c>
      <c r="D33" s="27" t="s">
        <v>141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17855</f>
        <v>17855.0</v>
      </c>
      <c r="L33" s="34" t="s">
        <v>48</v>
      </c>
      <c r="M33" s="33" t="n">
        <f>18770</f>
        <v>18770.0</v>
      </c>
      <c r="N33" s="34" t="s">
        <v>79</v>
      </c>
      <c r="O33" s="33" t="n">
        <f>17620</f>
        <v>17620.0</v>
      </c>
      <c r="P33" s="34" t="s">
        <v>50</v>
      </c>
      <c r="Q33" s="33" t="n">
        <f>18390</f>
        <v>18390.0</v>
      </c>
      <c r="R33" s="34" t="s">
        <v>51</v>
      </c>
      <c r="S33" s="35" t="n">
        <f>18234</f>
        <v>18234.0</v>
      </c>
      <c r="T33" s="32" t="n">
        <f>163463</f>
        <v>163463.0</v>
      </c>
      <c r="U33" s="32" t="n">
        <f>161688</f>
        <v>161688.0</v>
      </c>
      <c r="V33" s="32" t="n">
        <f>3054173440</f>
        <v>3.05417344E9</v>
      </c>
      <c r="W33" s="32" t="n">
        <f>3021681725</f>
        <v>3.021681725E9</v>
      </c>
      <c r="X33" s="36" t="n">
        <f>20</f>
        <v>20.0</v>
      </c>
    </row>
    <row r="34">
      <c r="A34" s="27" t="s">
        <v>42</v>
      </c>
      <c r="B34" s="27" t="s">
        <v>142</v>
      </c>
      <c r="C34" s="27" t="s">
        <v>143</v>
      </c>
      <c r="D34" s="27" t="s">
        <v>144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22115</f>
        <v>22115.0</v>
      </c>
      <c r="L34" s="34" t="s">
        <v>48</v>
      </c>
      <c r="M34" s="33" t="n">
        <f>23515</f>
        <v>23515.0</v>
      </c>
      <c r="N34" s="34" t="s">
        <v>49</v>
      </c>
      <c r="O34" s="33" t="n">
        <f>21175</f>
        <v>21175.0</v>
      </c>
      <c r="P34" s="34" t="s">
        <v>50</v>
      </c>
      <c r="Q34" s="33" t="n">
        <f>22655</f>
        <v>22655.0</v>
      </c>
      <c r="R34" s="34" t="s">
        <v>51</v>
      </c>
      <c r="S34" s="35" t="n">
        <f>22562.25</f>
        <v>22562.25</v>
      </c>
      <c r="T34" s="32" t="n">
        <f>915824</f>
        <v>915824.0</v>
      </c>
      <c r="U34" s="32" t="str">
        <f>"－"</f>
        <v>－</v>
      </c>
      <c r="V34" s="32" t="n">
        <f>20599082365</f>
        <v>2.0599082365E10</v>
      </c>
      <c r="W34" s="32" t="str">
        <f>"－"</f>
        <v>－</v>
      </c>
      <c r="X34" s="36" t="n">
        <f>20</f>
        <v>20.0</v>
      </c>
    </row>
    <row r="35">
      <c r="A35" s="27" t="s">
        <v>42</v>
      </c>
      <c r="B35" s="27" t="s">
        <v>145</v>
      </c>
      <c r="C35" s="27" t="s">
        <v>146</v>
      </c>
      <c r="D35" s="27" t="s">
        <v>147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927</f>
        <v>927.0</v>
      </c>
      <c r="L35" s="34" t="s">
        <v>48</v>
      </c>
      <c r="M35" s="33" t="n">
        <f>965</f>
        <v>965.0</v>
      </c>
      <c r="N35" s="34" t="s">
        <v>50</v>
      </c>
      <c r="O35" s="33" t="n">
        <f>863</f>
        <v>863.0</v>
      </c>
      <c r="P35" s="34" t="s">
        <v>49</v>
      </c>
      <c r="Q35" s="33" t="n">
        <f>895</f>
        <v>895.0</v>
      </c>
      <c r="R35" s="34" t="s">
        <v>51</v>
      </c>
      <c r="S35" s="35" t="n">
        <f>902.45</f>
        <v>902.45</v>
      </c>
      <c r="T35" s="32" t="n">
        <f>22265991</f>
        <v>2.2265991E7</v>
      </c>
      <c r="U35" s="32" t="n">
        <f>21</f>
        <v>21.0</v>
      </c>
      <c r="V35" s="32" t="n">
        <f>20129092791</f>
        <v>2.0129092791E10</v>
      </c>
      <c r="W35" s="32" t="n">
        <f>19296</f>
        <v>19296.0</v>
      </c>
      <c r="X35" s="36" t="n">
        <f>20</f>
        <v>20.0</v>
      </c>
    </row>
    <row r="36">
      <c r="A36" s="27" t="s">
        <v>42</v>
      </c>
      <c r="B36" s="27" t="s">
        <v>148</v>
      </c>
      <c r="C36" s="27" t="s">
        <v>149</v>
      </c>
      <c r="D36" s="27" t="s">
        <v>150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18620</f>
        <v>18620.0</v>
      </c>
      <c r="L36" s="34" t="s">
        <v>48</v>
      </c>
      <c r="M36" s="33" t="n">
        <f>20365</f>
        <v>20365.0</v>
      </c>
      <c r="N36" s="34" t="s">
        <v>49</v>
      </c>
      <c r="O36" s="33" t="n">
        <f>18100</f>
        <v>18100.0</v>
      </c>
      <c r="P36" s="34" t="s">
        <v>50</v>
      </c>
      <c r="Q36" s="33" t="n">
        <f>19575</f>
        <v>19575.0</v>
      </c>
      <c r="R36" s="34" t="s">
        <v>51</v>
      </c>
      <c r="S36" s="35" t="n">
        <f>19251</f>
        <v>19251.0</v>
      </c>
      <c r="T36" s="32" t="n">
        <f>101695</f>
        <v>101695.0</v>
      </c>
      <c r="U36" s="32" t="str">
        <f>"－"</f>
        <v>－</v>
      </c>
      <c r="V36" s="32" t="n">
        <f>1947508735</f>
        <v>1.947508735E9</v>
      </c>
      <c r="W36" s="32" t="str">
        <f>"－"</f>
        <v>－</v>
      </c>
      <c r="X36" s="36" t="n">
        <f>20</f>
        <v>20.0</v>
      </c>
    </row>
    <row r="37">
      <c r="A37" s="27" t="s">
        <v>42</v>
      </c>
      <c r="B37" s="27" t="s">
        <v>151</v>
      </c>
      <c r="C37" s="27" t="s">
        <v>152</v>
      </c>
      <c r="D37" s="27" t="s">
        <v>153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1349</f>
        <v>1349.0</v>
      </c>
      <c r="L37" s="34" t="s">
        <v>48</v>
      </c>
      <c r="M37" s="33" t="n">
        <f>1386</f>
        <v>1386.0</v>
      </c>
      <c r="N37" s="34" t="s">
        <v>50</v>
      </c>
      <c r="O37" s="33" t="n">
        <f>1224</f>
        <v>1224.0</v>
      </c>
      <c r="P37" s="34" t="s">
        <v>49</v>
      </c>
      <c r="Q37" s="33" t="n">
        <f>1273</f>
        <v>1273.0</v>
      </c>
      <c r="R37" s="34" t="s">
        <v>51</v>
      </c>
      <c r="S37" s="35" t="n">
        <f>1298.9</f>
        <v>1298.9</v>
      </c>
      <c r="T37" s="32" t="n">
        <f>812998</f>
        <v>812998.0</v>
      </c>
      <c r="U37" s="32" t="str">
        <f>"－"</f>
        <v>－</v>
      </c>
      <c r="V37" s="32" t="n">
        <f>1050546694</f>
        <v>1.050546694E9</v>
      </c>
      <c r="W37" s="32" t="str">
        <f>"－"</f>
        <v>－</v>
      </c>
      <c r="X37" s="36" t="n">
        <f>20</f>
        <v>20.0</v>
      </c>
    </row>
    <row r="38">
      <c r="A38" s="27" t="s">
        <v>42</v>
      </c>
      <c r="B38" s="27" t="s">
        <v>154</v>
      </c>
      <c r="C38" s="27" t="s">
        <v>155</v>
      </c>
      <c r="D38" s="27" t="s">
        <v>156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27820</f>
        <v>27820.0</v>
      </c>
      <c r="L38" s="34" t="s">
        <v>48</v>
      </c>
      <c r="M38" s="33" t="n">
        <f>28720</f>
        <v>28720.0</v>
      </c>
      <c r="N38" s="34" t="s">
        <v>49</v>
      </c>
      <c r="O38" s="33" t="n">
        <f>27250</f>
        <v>27250.0</v>
      </c>
      <c r="P38" s="34" t="s">
        <v>50</v>
      </c>
      <c r="Q38" s="33" t="n">
        <f>28190</f>
        <v>28190.0</v>
      </c>
      <c r="R38" s="34" t="s">
        <v>51</v>
      </c>
      <c r="S38" s="35" t="n">
        <f>28115.75</f>
        <v>28115.75</v>
      </c>
      <c r="T38" s="32" t="n">
        <f>112327</f>
        <v>112327.0</v>
      </c>
      <c r="U38" s="32" t="n">
        <f>62700</f>
        <v>62700.0</v>
      </c>
      <c r="V38" s="32" t="n">
        <f>3167619646</f>
        <v>3.167619646E9</v>
      </c>
      <c r="W38" s="32" t="n">
        <f>1763319671</f>
        <v>1.763319671E9</v>
      </c>
      <c r="X38" s="36" t="n">
        <f>20</f>
        <v>20.0</v>
      </c>
    </row>
    <row r="39">
      <c r="A39" s="27" t="s">
        <v>42</v>
      </c>
      <c r="B39" s="27" t="s">
        <v>157</v>
      </c>
      <c r="C39" s="27" t="s">
        <v>158</v>
      </c>
      <c r="D39" s="27" t="s">
        <v>159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5420</f>
        <v>5420.0</v>
      </c>
      <c r="L39" s="34" t="s">
        <v>48</v>
      </c>
      <c r="M39" s="33" t="n">
        <f>5790</f>
        <v>5790.0</v>
      </c>
      <c r="N39" s="34" t="s">
        <v>160</v>
      </c>
      <c r="O39" s="33" t="n">
        <f>5270</f>
        <v>5270.0</v>
      </c>
      <c r="P39" s="34" t="s">
        <v>50</v>
      </c>
      <c r="Q39" s="33" t="n">
        <f>5730</f>
        <v>5730.0</v>
      </c>
      <c r="R39" s="34" t="s">
        <v>51</v>
      </c>
      <c r="S39" s="35" t="n">
        <f>5613.5</f>
        <v>5613.5</v>
      </c>
      <c r="T39" s="32" t="n">
        <f>6851</f>
        <v>6851.0</v>
      </c>
      <c r="U39" s="32" t="str">
        <f>"－"</f>
        <v>－</v>
      </c>
      <c r="V39" s="32" t="n">
        <f>38200980</f>
        <v>3.820098E7</v>
      </c>
      <c r="W39" s="32" t="str">
        <f>"－"</f>
        <v>－</v>
      </c>
      <c r="X39" s="36" t="n">
        <f>20</f>
        <v>20.0</v>
      </c>
    </row>
    <row r="40">
      <c r="A40" s="27" t="s">
        <v>42</v>
      </c>
      <c r="B40" s="27" t="s">
        <v>161</v>
      </c>
      <c r="C40" s="27" t="s">
        <v>162</v>
      </c>
      <c r="D40" s="27" t="s">
        <v>163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10080</f>
        <v>10080.0</v>
      </c>
      <c r="L40" s="34" t="s">
        <v>48</v>
      </c>
      <c r="M40" s="33" t="n">
        <f>10445</f>
        <v>10445.0</v>
      </c>
      <c r="N40" s="34" t="s">
        <v>49</v>
      </c>
      <c r="O40" s="33" t="n">
        <f>9625</f>
        <v>9625.0</v>
      </c>
      <c r="P40" s="34" t="s">
        <v>62</v>
      </c>
      <c r="Q40" s="33" t="n">
        <f>10395</f>
        <v>10395.0</v>
      </c>
      <c r="R40" s="34" t="s">
        <v>51</v>
      </c>
      <c r="S40" s="35" t="n">
        <f>10178.5</f>
        <v>10178.5</v>
      </c>
      <c r="T40" s="32" t="n">
        <f>2121</f>
        <v>2121.0</v>
      </c>
      <c r="U40" s="32" t="str">
        <f>"－"</f>
        <v>－</v>
      </c>
      <c r="V40" s="32" t="n">
        <f>21468963</f>
        <v>2.1468963E7</v>
      </c>
      <c r="W40" s="32" t="str">
        <f>"－"</f>
        <v>－</v>
      </c>
      <c r="X40" s="36" t="n">
        <f>20</f>
        <v>20.0</v>
      </c>
    </row>
    <row r="41">
      <c r="A41" s="27" t="s">
        <v>42</v>
      </c>
      <c r="B41" s="27" t="s">
        <v>164</v>
      </c>
      <c r="C41" s="27" t="s">
        <v>165</v>
      </c>
      <c r="D41" s="27" t="s">
        <v>166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18110</f>
        <v>18110.0</v>
      </c>
      <c r="L41" s="34" t="s">
        <v>50</v>
      </c>
      <c r="M41" s="33" t="n">
        <f>19400</f>
        <v>19400.0</v>
      </c>
      <c r="N41" s="34" t="s">
        <v>49</v>
      </c>
      <c r="O41" s="33" t="n">
        <f>18110</f>
        <v>18110.0</v>
      </c>
      <c r="P41" s="34" t="s">
        <v>50</v>
      </c>
      <c r="Q41" s="33" t="n">
        <f>19150</f>
        <v>19150.0</v>
      </c>
      <c r="R41" s="34" t="s">
        <v>51</v>
      </c>
      <c r="S41" s="35" t="n">
        <f>18953.64</f>
        <v>18953.64</v>
      </c>
      <c r="T41" s="32" t="n">
        <f>67</f>
        <v>67.0</v>
      </c>
      <c r="U41" s="32" t="str">
        <f>"－"</f>
        <v>－</v>
      </c>
      <c r="V41" s="32" t="n">
        <f>1273340</f>
        <v>1273340.0</v>
      </c>
      <c r="W41" s="32" t="str">
        <f>"－"</f>
        <v>－</v>
      </c>
      <c r="X41" s="36" t="n">
        <f>11</f>
        <v>11.0</v>
      </c>
    </row>
    <row r="42">
      <c r="A42" s="27" t="s">
        <v>42</v>
      </c>
      <c r="B42" s="27" t="s">
        <v>167</v>
      </c>
      <c r="C42" s="27" t="s">
        <v>168</v>
      </c>
      <c r="D42" s="27" t="s">
        <v>169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15130</f>
        <v>15130.0</v>
      </c>
      <c r="L42" s="34" t="s">
        <v>170</v>
      </c>
      <c r="M42" s="33" t="n">
        <f>16220</f>
        <v>16220.0</v>
      </c>
      <c r="N42" s="34" t="s">
        <v>171</v>
      </c>
      <c r="O42" s="33" t="n">
        <f>15125</f>
        <v>15125.0</v>
      </c>
      <c r="P42" s="34" t="s">
        <v>170</v>
      </c>
      <c r="Q42" s="33" t="n">
        <f>15125</f>
        <v>15125.0</v>
      </c>
      <c r="R42" s="34" t="s">
        <v>172</v>
      </c>
      <c r="S42" s="35" t="n">
        <f>15797.5</f>
        <v>15797.5</v>
      </c>
      <c r="T42" s="32" t="n">
        <f>15</f>
        <v>15.0</v>
      </c>
      <c r="U42" s="32" t="str">
        <f>"－"</f>
        <v>－</v>
      </c>
      <c r="V42" s="32" t="n">
        <f>233520</f>
        <v>233520.0</v>
      </c>
      <c r="W42" s="32" t="str">
        <f>"－"</f>
        <v>－</v>
      </c>
      <c r="X42" s="36" t="n">
        <f>4</f>
        <v>4.0</v>
      </c>
    </row>
    <row r="43">
      <c r="A43" s="27" t="s">
        <v>42</v>
      </c>
      <c r="B43" s="27" t="s">
        <v>173</v>
      </c>
      <c r="C43" s="27" t="s">
        <v>174</v>
      </c>
      <c r="D43" s="27" t="s">
        <v>175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11175</f>
        <v>11175.0</v>
      </c>
      <c r="L43" s="34" t="s">
        <v>48</v>
      </c>
      <c r="M43" s="33" t="n">
        <f>11600</f>
        <v>11600.0</v>
      </c>
      <c r="N43" s="34" t="s">
        <v>91</v>
      </c>
      <c r="O43" s="33" t="n">
        <f>10905</f>
        <v>10905.0</v>
      </c>
      <c r="P43" s="34" t="s">
        <v>50</v>
      </c>
      <c r="Q43" s="33" t="n">
        <f>11560</f>
        <v>11560.0</v>
      </c>
      <c r="R43" s="34" t="s">
        <v>51</v>
      </c>
      <c r="S43" s="35" t="n">
        <f>11308.82</f>
        <v>11308.82</v>
      </c>
      <c r="T43" s="32" t="n">
        <f>646</f>
        <v>646.0</v>
      </c>
      <c r="U43" s="32" t="str">
        <f>"－"</f>
        <v>－</v>
      </c>
      <c r="V43" s="32" t="n">
        <f>7313145</f>
        <v>7313145.0</v>
      </c>
      <c r="W43" s="32" t="str">
        <f>"－"</f>
        <v>－</v>
      </c>
      <c r="X43" s="36" t="n">
        <f>17</f>
        <v>17.0</v>
      </c>
    </row>
    <row r="44">
      <c r="A44" s="27" t="s">
        <v>42</v>
      </c>
      <c r="B44" s="27" t="s">
        <v>176</v>
      </c>
      <c r="C44" s="27" t="s">
        <v>177</v>
      </c>
      <c r="D44" s="27" t="s">
        <v>178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5500</f>
        <v>5500.0</v>
      </c>
      <c r="L44" s="34" t="s">
        <v>48</v>
      </c>
      <c r="M44" s="33" t="n">
        <f>5910</f>
        <v>5910.0</v>
      </c>
      <c r="N44" s="34" t="s">
        <v>49</v>
      </c>
      <c r="O44" s="33" t="n">
        <f>5460</f>
        <v>5460.0</v>
      </c>
      <c r="P44" s="34" t="s">
        <v>50</v>
      </c>
      <c r="Q44" s="33" t="n">
        <f>5850</f>
        <v>5850.0</v>
      </c>
      <c r="R44" s="34" t="s">
        <v>51</v>
      </c>
      <c r="S44" s="35" t="n">
        <f>5735.5</f>
        <v>5735.5</v>
      </c>
      <c r="T44" s="32" t="n">
        <f>2516</f>
        <v>2516.0</v>
      </c>
      <c r="U44" s="32" t="str">
        <f>"－"</f>
        <v>－</v>
      </c>
      <c r="V44" s="32" t="n">
        <f>14355880</f>
        <v>1.435588E7</v>
      </c>
      <c r="W44" s="32" t="str">
        <f>"－"</f>
        <v>－</v>
      </c>
      <c r="X44" s="36" t="n">
        <f>20</f>
        <v>20.0</v>
      </c>
    </row>
    <row r="45">
      <c r="A45" s="27" t="s">
        <v>42</v>
      </c>
      <c r="B45" s="27" t="s">
        <v>179</v>
      </c>
      <c r="C45" s="27" t="s">
        <v>180</v>
      </c>
      <c r="D45" s="27" t="s">
        <v>181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3120</f>
        <v>3120.0</v>
      </c>
      <c r="L45" s="34" t="s">
        <v>48</v>
      </c>
      <c r="M45" s="33" t="n">
        <f>3150</f>
        <v>3150.0</v>
      </c>
      <c r="N45" s="34" t="s">
        <v>160</v>
      </c>
      <c r="O45" s="33" t="n">
        <f>2996</f>
        <v>2996.0</v>
      </c>
      <c r="P45" s="34" t="s">
        <v>50</v>
      </c>
      <c r="Q45" s="33" t="n">
        <f>3105</f>
        <v>3105.0</v>
      </c>
      <c r="R45" s="34" t="s">
        <v>51</v>
      </c>
      <c r="S45" s="35" t="n">
        <f>3097.5</f>
        <v>3097.5</v>
      </c>
      <c r="T45" s="32" t="n">
        <f>3966</f>
        <v>3966.0</v>
      </c>
      <c r="U45" s="32" t="str">
        <f>"－"</f>
        <v>－</v>
      </c>
      <c r="V45" s="32" t="n">
        <f>12275574</f>
        <v>1.2275574E7</v>
      </c>
      <c r="W45" s="32" t="str">
        <f>"－"</f>
        <v>－</v>
      </c>
      <c r="X45" s="36" t="n">
        <f>20</f>
        <v>20.0</v>
      </c>
    </row>
    <row r="46">
      <c r="A46" s="27" t="s">
        <v>42</v>
      </c>
      <c r="B46" s="27" t="s">
        <v>182</v>
      </c>
      <c r="C46" s="27" t="s">
        <v>183</v>
      </c>
      <c r="D46" s="27" t="s">
        <v>184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3060</f>
        <v>3060.0</v>
      </c>
      <c r="L46" s="34" t="s">
        <v>48</v>
      </c>
      <c r="M46" s="33" t="n">
        <f>3200</f>
        <v>3200.0</v>
      </c>
      <c r="N46" s="34" t="s">
        <v>49</v>
      </c>
      <c r="O46" s="33" t="n">
        <f>3000</f>
        <v>3000.0</v>
      </c>
      <c r="P46" s="34" t="s">
        <v>50</v>
      </c>
      <c r="Q46" s="33" t="n">
        <f>3170</f>
        <v>3170.0</v>
      </c>
      <c r="R46" s="34" t="s">
        <v>51</v>
      </c>
      <c r="S46" s="35" t="n">
        <f>3119.75</f>
        <v>3119.75</v>
      </c>
      <c r="T46" s="32" t="n">
        <f>2224</f>
        <v>2224.0</v>
      </c>
      <c r="U46" s="32" t="str">
        <f>"－"</f>
        <v>－</v>
      </c>
      <c r="V46" s="32" t="n">
        <f>6915250</f>
        <v>6915250.0</v>
      </c>
      <c r="W46" s="32" t="str">
        <f>"－"</f>
        <v>－</v>
      </c>
      <c r="X46" s="36" t="n">
        <f>20</f>
        <v>20.0</v>
      </c>
    </row>
    <row r="47">
      <c r="A47" s="27" t="s">
        <v>42</v>
      </c>
      <c r="B47" s="27" t="s">
        <v>185</v>
      </c>
      <c r="C47" s="27" t="s">
        <v>186</v>
      </c>
      <c r="D47" s="27" t="s">
        <v>187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55450</f>
        <v>55450.0</v>
      </c>
      <c r="L47" s="34" t="s">
        <v>48</v>
      </c>
      <c r="M47" s="33" t="n">
        <f>55450</f>
        <v>55450.0</v>
      </c>
      <c r="N47" s="34" t="s">
        <v>48</v>
      </c>
      <c r="O47" s="33" t="n">
        <f>52650</f>
        <v>52650.0</v>
      </c>
      <c r="P47" s="34" t="s">
        <v>101</v>
      </c>
      <c r="Q47" s="33" t="n">
        <f>53430</f>
        <v>53430.0</v>
      </c>
      <c r="R47" s="34" t="s">
        <v>51</v>
      </c>
      <c r="S47" s="35" t="n">
        <f>53954.74</f>
        <v>53954.74</v>
      </c>
      <c r="T47" s="32" t="n">
        <f>539</f>
        <v>539.0</v>
      </c>
      <c r="U47" s="32" t="str">
        <f>"－"</f>
        <v>－</v>
      </c>
      <c r="V47" s="32" t="n">
        <f>29018550</f>
        <v>2.901855E7</v>
      </c>
      <c r="W47" s="32" t="str">
        <f>"－"</f>
        <v>－</v>
      </c>
      <c r="X47" s="36" t="n">
        <f>19</f>
        <v>19.0</v>
      </c>
    </row>
    <row r="48">
      <c r="A48" s="27" t="s">
        <v>42</v>
      </c>
      <c r="B48" s="27" t="s">
        <v>188</v>
      </c>
      <c r="C48" s="27" t="s">
        <v>189</v>
      </c>
      <c r="D48" s="27" t="s">
        <v>190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38200</f>
        <v>38200.0</v>
      </c>
      <c r="L48" s="34" t="s">
        <v>48</v>
      </c>
      <c r="M48" s="33" t="n">
        <f>38990</f>
        <v>38990.0</v>
      </c>
      <c r="N48" s="34" t="s">
        <v>79</v>
      </c>
      <c r="O48" s="33" t="n">
        <f>37510</f>
        <v>37510.0</v>
      </c>
      <c r="P48" s="34" t="s">
        <v>51</v>
      </c>
      <c r="Q48" s="33" t="n">
        <f>37510</f>
        <v>37510.0</v>
      </c>
      <c r="R48" s="34" t="s">
        <v>51</v>
      </c>
      <c r="S48" s="35" t="n">
        <f>37978.18</f>
        <v>37978.18</v>
      </c>
      <c r="T48" s="32" t="n">
        <f>54</f>
        <v>54.0</v>
      </c>
      <c r="U48" s="32" t="str">
        <f>"－"</f>
        <v>－</v>
      </c>
      <c r="V48" s="32" t="n">
        <f>2057840</f>
        <v>2057840.0</v>
      </c>
      <c r="W48" s="32" t="str">
        <f>"－"</f>
        <v>－</v>
      </c>
      <c r="X48" s="36" t="n">
        <f>11</f>
        <v>11.0</v>
      </c>
    </row>
    <row r="49">
      <c r="A49" s="27" t="s">
        <v>42</v>
      </c>
      <c r="B49" s="27" t="s">
        <v>191</v>
      </c>
      <c r="C49" s="27" t="s">
        <v>192</v>
      </c>
      <c r="D49" s="27" t="s">
        <v>193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27870</f>
        <v>27870.0</v>
      </c>
      <c r="L49" s="34" t="s">
        <v>48</v>
      </c>
      <c r="M49" s="33" t="n">
        <f>28625</f>
        <v>28625.0</v>
      </c>
      <c r="N49" s="34" t="s">
        <v>49</v>
      </c>
      <c r="O49" s="33" t="n">
        <f>27515</f>
        <v>27515.0</v>
      </c>
      <c r="P49" s="34" t="s">
        <v>50</v>
      </c>
      <c r="Q49" s="33" t="n">
        <f>28280</f>
        <v>28280.0</v>
      </c>
      <c r="R49" s="34" t="s">
        <v>80</v>
      </c>
      <c r="S49" s="35" t="n">
        <f>28106.33</f>
        <v>28106.33</v>
      </c>
      <c r="T49" s="32" t="n">
        <f>83383</f>
        <v>83383.0</v>
      </c>
      <c r="U49" s="32" t="n">
        <f>75000</f>
        <v>75000.0</v>
      </c>
      <c r="V49" s="32" t="n">
        <f>2328133385</f>
        <v>2.328133385E9</v>
      </c>
      <c r="W49" s="32" t="n">
        <f>2091282500</f>
        <v>2.0912825E9</v>
      </c>
      <c r="X49" s="36" t="n">
        <f>15</f>
        <v>15.0</v>
      </c>
    </row>
    <row r="50">
      <c r="A50" s="27" t="s">
        <v>42</v>
      </c>
      <c r="B50" s="27" t="s">
        <v>194</v>
      </c>
      <c r="C50" s="27" t="s">
        <v>195</v>
      </c>
      <c r="D50" s="27" t="s">
        <v>196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2017.5</f>
        <v>2017.5</v>
      </c>
      <c r="L50" s="34" t="s">
        <v>48</v>
      </c>
      <c r="M50" s="33" t="n">
        <f>2050.5</f>
        <v>2050.5</v>
      </c>
      <c r="N50" s="34" t="s">
        <v>62</v>
      </c>
      <c r="O50" s="33" t="n">
        <f>1980</f>
        <v>1980.0</v>
      </c>
      <c r="P50" s="34" t="s">
        <v>90</v>
      </c>
      <c r="Q50" s="33" t="n">
        <f>2017.5</f>
        <v>2017.5</v>
      </c>
      <c r="R50" s="34" t="s">
        <v>51</v>
      </c>
      <c r="S50" s="35" t="n">
        <f>2003.48</f>
        <v>2003.48</v>
      </c>
      <c r="T50" s="32" t="n">
        <f>842690</f>
        <v>842690.0</v>
      </c>
      <c r="U50" s="32" t="n">
        <f>637000</f>
        <v>637000.0</v>
      </c>
      <c r="V50" s="32" t="n">
        <f>1701458800</f>
        <v>1.7014588E9</v>
      </c>
      <c r="W50" s="32" t="n">
        <f>1288675500</f>
        <v>1.2886755E9</v>
      </c>
      <c r="X50" s="36" t="n">
        <f>20</f>
        <v>20.0</v>
      </c>
    </row>
    <row r="51">
      <c r="A51" s="27" t="s">
        <v>42</v>
      </c>
      <c r="B51" s="27" t="s">
        <v>197</v>
      </c>
      <c r="C51" s="27" t="s">
        <v>198</v>
      </c>
      <c r="D51" s="27" t="s">
        <v>199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1619.5</f>
        <v>1619.5</v>
      </c>
      <c r="L51" s="34" t="s">
        <v>48</v>
      </c>
      <c r="M51" s="33" t="n">
        <f>1687</f>
        <v>1687.0</v>
      </c>
      <c r="N51" s="34" t="s">
        <v>91</v>
      </c>
      <c r="O51" s="33" t="n">
        <f>1611.5</f>
        <v>1611.5</v>
      </c>
      <c r="P51" s="34" t="s">
        <v>61</v>
      </c>
      <c r="Q51" s="33" t="n">
        <f>1663.5</f>
        <v>1663.5</v>
      </c>
      <c r="R51" s="34" t="s">
        <v>80</v>
      </c>
      <c r="S51" s="35" t="n">
        <f>1639.21</f>
        <v>1639.21</v>
      </c>
      <c r="T51" s="32" t="n">
        <f>3860</f>
        <v>3860.0</v>
      </c>
      <c r="U51" s="32" t="str">
        <f>"－"</f>
        <v>－</v>
      </c>
      <c r="V51" s="32" t="n">
        <f>6281490</f>
        <v>6281490.0</v>
      </c>
      <c r="W51" s="32" t="str">
        <f>"－"</f>
        <v>－</v>
      </c>
      <c r="X51" s="36" t="n">
        <f>17</f>
        <v>17.0</v>
      </c>
    </row>
    <row r="52">
      <c r="A52" s="27" t="s">
        <v>42</v>
      </c>
      <c r="B52" s="27" t="s">
        <v>200</v>
      </c>
      <c r="C52" s="27" t="s">
        <v>201</v>
      </c>
      <c r="D52" s="27" t="s">
        <v>202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4110</f>
        <v>4110.0</v>
      </c>
      <c r="L52" s="34" t="s">
        <v>48</v>
      </c>
      <c r="M52" s="33" t="n">
        <f>4200</f>
        <v>4200.0</v>
      </c>
      <c r="N52" s="34" t="s">
        <v>50</v>
      </c>
      <c r="O52" s="33" t="n">
        <f>3975</f>
        <v>3975.0</v>
      </c>
      <c r="P52" s="34" t="s">
        <v>49</v>
      </c>
      <c r="Q52" s="33" t="n">
        <f>4050</f>
        <v>4050.0</v>
      </c>
      <c r="R52" s="34" t="s">
        <v>51</v>
      </c>
      <c r="S52" s="35" t="n">
        <f>4063</f>
        <v>4063.0</v>
      </c>
      <c r="T52" s="32" t="n">
        <f>197544</f>
        <v>197544.0</v>
      </c>
      <c r="U52" s="32" t="str">
        <f>"－"</f>
        <v>－</v>
      </c>
      <c r="V52" s="32" t="n">
        <f>799083630</f>
        <v>7.9908363E8</v>
      </c>
      <c r="W52" s="32" t="str">
        <f>"－"</f>
        <v>－</v>
      </c>
      <c r="X52" s="36" t="n">
        <f>20</f>
        <v>20.0</v>
      </c>
    </row>
    <row r="53">
      <c r="A53" s="27" t="s">
        <v>42</v>
      </c>
      <c r="B53" s="27" t="s">
        <v>203</v>
      </c>
      <c r="C53" s="27" t="s">
        <v>204</v>
      </c>
      <c r="D53" s="27" t="s">
        <v>205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4880</f>
        <v>4880.0</v>
      </c>
      <c r="L53" s="34" t="s">
        <v>48</v>
      </c>
      <c r="M53" s="33" t="n">
        <f>4935</f>
        <v>4935.0</v>
      </c>
      <c r="N53" s="34" t="s">
        <v>50</v>
      </c>
      <c r="O53" s="33" t="n">
        <f>4650</f>
        <v>4650.0</v>
      </c>
      <c r="P53" s="34" t="s">
        <v>49</v>
      </c>
      <c r="Q53" s="33" t="n">
        <f>4735</f>
        <v>4735.0</v>
      </c>
      <c r="R53" s="34" t="s">
        <v>51</v>
      </c>
      <c r="S53" s="35" t="n">
        <f>4786.5</f>
        <v>4786.5</v>
      </c>
      <c r="T53" s="32" t="n">
        <f>838171</f>
        <v>838171.0</v>
      </c>
      <c r="U53" s="32" t="n">
        <f>774904</f>
        <v>774904.0</v>
      </c>
      <c r="V53" s="32" t="n">
        <f>3997390515</f>
        <v>3.997390515E9</v>
      </c>
      <c r="W53" s="32" t="n">
        <f>3696974545</f>
        <v>3.696974545E9</v>
      </c>
      <c r="X53" s="36" t="n">
        <f>20</f>
        <v>20.0</v>
      </c>
    </row>
    <row r="54">
      <c r="A54" s="27" t="s">
        <v>42</v>
      </c>
      <c r="B54" s="27" t="s">
        <v>206</v>
      </c>
      <c r="C54" s="27" t="s">
        <v>207</v>
      </c>
      <c r="D54" s="27" t="s">
        <v>208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16825</f>
        <v>16825.0</v>
      </c>
      <c r="L54" s="34" t="s">
        <v>48</v>
      </c>
      <c r="M54" s="33" t="n">
        <f>17890</f>
        <v>17890.0</v>
      </c>
      <c r="N54" s="34" t="s">
        <v>49</v>
      </c>
      <c r="O54" s="33" t="n">
        <f>16110</f>
        <v>16110.0</v>
      </c>
      <c r="P54" s="34" t="s">
        <v>50</v>
      </c>
      <c r="Q54" s="33" t="n">
        <f>17230</f>
        <v>17230.0</v>
      </c>
      <c r="R54" s="34" t="s">
        <v>51</v>
      </c>
      <c r="S54" s="35" t="n">
        <f>17160.75</f>
        <v>17160.75</v>
      </c>
      <c r="T54" s="32" t="n">
        <f>16842726</f>
        <v>1.6842726E7</v>
      </c>
      <c r="U54" s="32" t="n">
        <f>19</f>
        <v>19.0</v>
      </c>
      <c r="V54" s="32" t="n">
        <f>288643083670</f>
        <v>2.8864308367E11</v>
      </c>
      <c r="W54" s="32" t="n">
        <f>304895</f>
        <v>304895.0</v>
      </c>
      <c r="X54" s="36" t="n">
        <f>20</f>
        <v>20.0</v>
      </c>
    </row>
    <row r="55">
      <c r="A55" s="27" t="s">
        <v>42</v>
      </c>
      <c r="B55" s="27" t="s">
        <v>209</v>
      </c>
      <c r="C55" s="27" t="s">
        <v>210</v>
      </c>
      <c r="D55" s="27" t="s">
        <v>211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1427</f>
        <v>1427.0</v>
      </c>
      <c r="L55" s="34" t="s">
        <v>48</v>
      </c>
      <c r="M55" s="33" t="n">
        <f>1487</f>
        <v>1487.0</v>
      </c>
      <c r="N55" s="34" t="s">
        <v>50</v>
      </c>
      <c r="O55" s="33" t="n">
        <f>1330</f>
        <v>1330.0</v>
      </c>
      <c r="P55" s="34" t="s">
        <v>49</v>
      </c>
      <c r="Q55" s="33" t="n">
        <f>1381</f>
        <v>1381.0</v>
      </c>
      <c r="R55" s="34" t="s">
        <v>51</v>
      </c>
      <c r="S55" s="35" t="n">
        <f>1390.65</f>
        <v>1390.65</v>
      </c>
      <c r="T55" s="32" t="n">
        <f>216793587</f>
        <v>2.16793587E8</v>
      </c>
      <c r="U55" s="32" t="n">
        <f>1003622</f>
        <v>1003622.0</v>
      </c>
      <c r="V55" s="32" t="n">
        <f>301503344444</f>
        <v>3.01503344444E11</v>
      </c>
      <c r="W55" s="32" t="n">
        <f>1383387560</f>
        <v>1.38338756E9</v>
      </c>
      <c r="X55" s="36" t="n">
        <f>20</f>
        <v>20.0</v>
      </c>
    </row>
    <row r="56">
      <c r="A56" s="27" t="s">
        <v>42</v>
      </c>
      <c r="B56" s="27" t="s">
        <v>212</v>
      </c>
      <c r="C56" s="27" t="s">
        <v>213</v>
      </c>
      <c r="D56" s="27" t="s">
        <v>214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14725</f>
        <v>14725.0</v>
      </c>
      <c r="L56" s="34" t="s">
        <v>48</v>
      </c>
      <c r="M56" s="33" t="n">
        <f>16210</f>
        <v>16210.0</v>
      </c>
      <c r="N56" s="34" t="s">
        <v>49</v>
      </c>
      <c r="O56" s="33" t="n">
        <f>14340</f>
        <v>14340.0</v>
      </c>
      <c r="P56" s="34" t="s">
        <v>50</v>
      </c>
      <c r="Q56" s="33" t="n">
        <f>15595</f>
        <v>15595.0</v>
      </c>
      <c r="R56" s="34" t="s">
        <v>51</v>
      </c>
      <c r="S56" s="35" t="n">
        <f>15340</f>
        <v>15340.0</v>
      </c>
      <c r="T56" s="32" t="n">
        <f>1603</f>
        <v>1603.0</v>
      </c>
      <c r="U56" s="32" t="str">
        <f>"－"</f>
        <v>－</v>
      </c>
      <c r="V56" s="32" t="n">
        <f>24699695</f>
        <v>2.4699695E7</v>
      </c>
      <c r="W56" s="32" t="str">
        <f>"－"</f>
        <v>－</v>
      </c>
      <c r="X56" s="36" t="n">
        <f>20</f>
        <v>20.0</v>
      </c>
    </row>
    <row r="57">
      <c r="A57" s="27" t="s">
        <v>42</v>
      </c>
      <c r="B57" s="27" t="s">
        <v>215</v>
      </c>
      <c r="C57" s="27" t="s">
        <v>216</v>
      </c>
      <c r="D57" s="27" t="s">
        <v>217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4750</f>
        <v>4750.0</v>
      </c>
      <c r="L57" s="34" t="s">
        <v>48</v>
      </c>
      <c r="M57" s="33" t="n">
        <f>4750</f>
        <v>4750.0</v>
      </c>
      <c r="N57" s="34" t="s">
        <v>48</v>
      </c>
      <c r="O57" s="33" t="n">
        <f>4460</f>
        <v>4460.0</v>
      </c>
      <c r="P57" s="34" t="s">
        <v>49</v>
      </c>
      <c r="Q57" s="33" t="n">
        <f>4550</f>
        <v>4550.0</v>
      </c>
      <c r="R57" s="34" t="s">
        <v>51</v>
      </c>
      <c r="S57" s="35" t="n">
        <f>4617.5</f>
        <v>4617.5</v>
      </c>
      <c r="T57" s="32" t="n">
        <f>359</f>
        <v>359.0</v>
      </c>
      <c r="U57" s="32" t="str">
        <f>"－"</f>
        <v>－</v>
      </c>
      <c r="V57" s="32" t="n">
        <f>1649960</f>
        <v>1649960.0</v>
      </c>
      <c r="W57" s="32" t="str">
        <f>"－"</f>
        <v>－</v>
      </c>
      <c r="X57" s="36" t="n">
        <f>12</f>
        <v>12.0</v>
      </c>
    </row>
    <row r="58">
      <c r="A58" s="27" t="s">
        <v>42</v>
      </c>
      <c r="B58" s="27" t="s">
        <v>218</v>
      </c>
      <c r="C58" s="27" t="s">
        <v>219</v>
      </c>
      <c r="D58" s="27" t="s">
        <v>220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1761</f>
        <v>1761.0</v>
      </c>
      <c r="L58" s="34" t="s">
        <v>48</v>
      </c>
      <c r="M58" s="33" t="n">
        <f>1799</f>
        <v>1799.0</v>
      </c>
      <c r="N58" s="34" t="s">
        <v>50</v>
      </c>
      <c r="O58" s="33" t="n">
        <f>1531</f>
        <v>1531.0</v>
      </c>
      <c r="P58" s="34" t="s">
        <v>91</v>
      </c>
      <c r="Q58" s="33" t="n">
        <f>1631</f>
        <v>1631.0</v>
      </c>
      <c r="R58" s="34" t="s">
        <v>51</v>
      </c>
      <c r="S58" s="35" t="n">
        <f>1685.8</f>
        <v>1685.8</v>
      </c>
      <c r="T58" s="32" t="n">
        <f>22935</f>
        <v>22935.0</v>
      </c>
      <c r="U58" s="32" t="n">
        <f>5</f>
        <v>5.0</v>
      </c>
      <c r="V58" s="32" t="n">
        <f>38433875</f>
        <v>3.8433875E7</v>
      </c>
      <c r="W58" s="32" t="n">
        <f>8855</f>
        <v>8855.0</v>
      </c>
      <c r="X58" s="36" t="n">
        <f>20</f>
        <v>20.0</v>
      </c>
    </row>
    <row r="59">
      <c r="A59" s="27" t="s">
        <v>42</v>
      </c>
      <c r="B59" s="27" t="s">
        <v>221</v>
      </c>
      <c r="C59" s="27" t="s">
        <v>222</v>
      </c>
      <c r="D59" s="27" t="s">
        <v>223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13280</f>
        <v>13280.0</v>
      </c>
      <c r="L59" s="34" t="s">
        <v>48</v>
      </c>
      <c r="M59" s="33" t="n">
        <f>13940</f>
        <v>13940.0</v>
      </c>
      <c r="N59" s="34" t="s">
        <v>70</v>
      </c>
      <c r="O59" s="33" t="n">
        <f>12220</f>
        <v>12220.0</v>
      </c>
      <c r="P59" s="34" t="s">
        <v>61</v>
      </c>
      <c r="Q59" s="33" t="n">
        <f>13255</f>
        <v>13255.0</v>
      </c>
      <c r="R59" s="34" t="s">
        <v>51</v>
      </c>
      <c r="S59" s="35" t="n">
        <f>13149</f>
        <v>13149.0</v>
      </c>
      <c r="T59" s="32" t="n">
        <f>5170</f>
        <v>5170.0</v>
      </c>
      <c r="U59" s="32" t="str">
        <f>"－"</f>
        <v>－</v>
      </c>
      <c r="V59" s="32" t="n">
        <f>67873850</f>
        <v>6.787385E7</v>
      </c>
      <c r="W59" s="32" t="str">
        <f>"－"</f>
        <v>－</v>
      </c>
      <c r="X59" s="36" t="n">
        <f>20</f>
        <v>20.0</v>
      </c>
    </row>
    <row r="60">
      <c r="A60" s="27" t="s">
        <v>42</v>
      </c>
      <c r="B60" s="27" t="s">
        <v>224</v>
      </c>
      <c r="C60" s="27" t="s">
        <v>225</v>
      </c>
      <c r="D60" s="27" t="s">
        <v>226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4145</f>
        <v>4145.0</v>
      </c>
      <c r="L60" s="34" t="s">
        <v>48</v>
      </c>
      <c r="M60" s="33" t="n">
        <f>4327</f>
        <v>4327.0</v>
      </c>
      <c r="N60" s="34" t="s">
        <v>50</v>
      </c>
      <c r="O60" s="33" t="n">
        <f>3915</f>
        <v>3915.0</v>
      </c>
      <c r="P60" s="34" t="s">
        <v>49</v>
      </c>
      <c r="Q60" s="33" t="n">
        <f>3951</f>
        <v>3951.0</v>
      </c>
      <c r="R60" s="34" t="s">
        <v>51</v>
      </c>
      <c r="S60" s="35" t="n">
        <f>4099.88</f>
        <v>4099.88</v>
      </c>
      <c r="T60" s="32" t="n">
        <f>190</f>
        <v>190.0</v>
      </c>
      <c r="U60" s="32" t="str">
        <f>"－"</f>
        <v>－</v>
      </c>
      <c r="V60" s="32" t="n">
        <f>780340</f>
        <v>780340.0</v>
      </c>
      <c r="W60" s="32" t="str">
        <f>"－"</f>
        <v>－</v>
      </c>
      <c r="X60" s="36" t="n">
        <f>8</f>
        <v>8.0</v>
      </c>
    </row>
    <row r="61">
      <c r="A61" s="27" t="s">
        <v>42</v>
      </c>
      <c r="B61" s="27" t="s">
        <v>227</v>
      </c>
      <c r="C61" s="27" t="s">
        <v>228</v>
      </c>
      <c r="D61" s="27" t="s">
        <v>229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10.0</v>
      </c>
      <c r="K61" s="33" t="n">
        <f>1730</f>
        <v>1730.0</v>
      </c>
      <c r="L61" s="34" t="s">
        <v>48</v>
      </c>
      <c r="M61" s="33" t="n">
        <f>1770.5</f>
        <v>1770.5</v>
      </c>
      <c r="N61" s="34" t="s">
        <v>50</v>
      </c>
      <c r="O61" s="33" t="n">
        <f>1550</f>
        <v>1550.0</v>
      </c>
      <c r="P61" s="34" t="s">
        <v>49</v>
      </c>
      <c r="Q61" s="33" t="n">
        <f>1616</f>
        <v>1616.0</v>
      </c>
      <c r="R61" s="34" t="s">
        <v>51</v>
      </c>
      <c r="S61" s="35" t="n">
        <f>1652.93</f>
        <v>1652.93</v>
      </c>
      <c r="T61" s="32" t="n">
        <f>61730</f>
        <v>61730.0</v>
      </c>
      <c r="U61" s="32" t="str">
        <f>"－"</f>
        <v>－</v>
      </c>
      <c r="V61" s="32" t="n">
        <f>101733490</f>
        <v>1.0173349E8</v>
      </c>
      <c r="W61" s="32" t="str">
        <f>"－"</f>
        <v>－</v>
      </c>
      <c r="X61" s="36" t="n">
        <f>20</f>
        <v>20.0</v>
      </c>
    </row>
    <row r="62">
      <c r="A62" s="27" t="s">
        <v>42</v>
      </c>
      <c r="B62" s="27" t="s">
        <v>230</v>
      </c>
      <c r="C62" s="27" t="s">
        <v>231</v>
      </c>
      <c r="D62" s="27" t="s">
        <v>232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710</f>
        <v>710.0</v>
      </c>
      <c r="L62" s="34" t="s">
        <v>48</v>
      </c>
      <c r="M62" s="33" t="n">
        <f>730</f>
        <v>730.0</v>
      </c>
      <c r="N62" s="34" t="s">
        <v>50</v>
      </c>
      <c r="O62" s="33" t="n">
        <f>627</f>
        <v>627.0</v>
      </c>
      <c r="P62" s="34" t="s">
        <v>91</v>
      </c>
      <c r="Q62" s="33" t="n">
        <f>655</f>
        <v>655.0</v>
      </c>
      <c r="R62" s="34" t="s">
        <v>51</v>
      </c>
      <c r="S62" s="35" t="n">
        <f>670.6</f>
        <v>670.6</v>
      </c>
      <c r="T62" s="32" t="n">
        <f>58366</f>
        <v>58366.0</v>
      </c>
      <c r="U62" s="32" t="str">
        <f>"－"</f>
        <v>－</v>
      </c>
      <c r="V62" s="32" t="n">
        <f>38480594</f>
        <v>3.8480594E7</v>
      </c>
      <c r="W62" s="32" t="str">
        <f>"－"</f>
        <v>－</v>
      </c>
      <c r="X62" s="36" t="n">
        <f>20</f>
        <v>20.0</v>
      </c>
    </row>
    <row r="63">
      <c r="A63" s="27" t="s">
        <v>42</v>
      </c>
      <c r="B63" s="27" t="s">
        <v>233</v>
      </c>
      <c r="C63" s="27" t="s">
        <v>234</v>
      </c>
      <c r="D63" s="27" t="s">
        <v>235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1977</f>
        <v>1977.0</v>
      </c>
      <c r="L63" s="34" t="s">
        <v>48</v>
      </c>
      <c r="M63" s="33" t="n">
        <f>2069.5</f>
        <v>2069.5</v>
      </c>
      <c r="N63" s="34" t="s">
        <v>49</v>
      </c>
      <c r="O63" s="33" t="n">
        <f>1950.5</f>
        <v>1950.5</v>
      </c>
      <c r="P63" s="34" t="s">
        <v>50</v>
      </c>
      <c r="Q63" s="33" t="n">
        <f>2031</f>
        <v>2031.0</v>
      </c>
      <c r="R63" s="34" t="s">
        <v>51</v>
      </c>
      <c r="S63" s="35" t="n">
        <f>2012.58</f>
        <v>2012.58</v>
      </c>
      <c r="T63" s="32" t="n">
        <f>212960</f>
        <v>212960.0</v>
      </c>
      <c r="U63" s="32" t="n">
        <f>98300</f>
        <v>98300.0</v>
      </c>
      <c r="V63" s="32" t="n">
        <f>429459755</f>
        <v>4.29459755E8</v>
      </c>
      <c r="W63" s="32" t="n">
        <f>200040500</f>
        <v>2.000405E8</v>
      </c>
      <c r="X63" s="36" t="n">
        <f>20</f>
        <v>20.0</v>
      </c>
    </row>
    <row r="64">
      <c r="A64" s="27" t="s">
        <v>42</v>
      </c>
      <c r="B64" s="27" t="s">
        <v>236</v>
      </c>
      <c r="C64" s="27" t="s">
        <v>237</v>
      </c>
      <c r="D64" s="27" t="s">
        <v>238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17725</f>
        <v>17725.0</v>
      </c>
      <c r="L64" s="34" t="s">
        <v>48</v>
      </c>
      <c r="M64" s="33" t="n">
        <f>18575</f>
        <v>18575.0</v>
      </c>
      <c r="N64" s="34" t="s">
        <v>49</v>
      </c>
      <c r="O64" s="33" t="n">
        <f>17485</f>
        <v>17485.0</v>
      </c>
      <c r="P64" s="34" t="s">
        <v>50</v>
      </c>
      <c r="Q64" s="33" t="n">
        <f>18200</f>
        <v>18200.0</v>
      </c>
      <c r="R64" s="34" t="s">
        <v>51</v>
      </c>
      <c r="S64" s="35" t="n">
        <f>18063.25</f>
        <v>18063.25</v>
      </c>
      <c r="T64" s="32" t="n">
        <f>716</f>
        <v>716.0</v>
      </c>
      <c r="U64" s="32" t="str">
        <f>"－"</f>
        <v>－</v>
      </c>
      <c r="V64" s="32" t="n">
        <f>12926820</f>
        <v>1.292682E7</v>
      </c>
      <c r="W64" s="32" t="str">
        <f>"－"</f>
        <v>－</v>
      </c>
      <c r="X64" s="36" t="n">
        <f>20</f>
        <v>20.0</v>
      </c>
    </row>
    <row r="65">
      <c r="A65" s="27" t="s">
        <v>42</v>
      </c>
      <c r="B65" s="27" t="s">
        <v>239</v>
      </c>
      <c r="C65" s="27" t="s">
        <v>240</v>
      </c>
      <c r="D65" s="27" t="s">
        <v>241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1989</f>
        <v>1989.0</v>
      </c>
      <c r="L65" s="34" t="s">
        <v>48</v>
      </c>
      <c r="M65" s="33" t="n">
        <f>2083</f>
        <v>2083.0</v>
      </c>
      <c r="N65" s="34" t="s">
        <v>49</v>
      </c>
      <c r="O65" s="33" t="n">
        <f>1962</f>
        <v>1962.0</v>
      </c>
      <c r="P65" s="34" t="s">
        <v>50</v>
      </c>
      <c r="Q65" s="33" t="n">
        <f>2041</f>
        <v>2041.0</v>
      </c>
      <c r="R65" s="34" t="s">
        <v>51</v>
      </c>
      <c r="S65" s="35" t="n">
        <f>2024.2</f>
        <v>2024.2</v>
      </c>
      <c r="T65" s="32" t="n">
        <f>4409254</f>
        <v>4409254.0</v>
      </c>
      <c r="U65" s="32" t="n">
        <f>649570</f>
        <v>649570.0</v>
      </c>
      <c r="V65" s="32" t="n">
        <f>8946816663</f>
        <v>8.946816663E9</v>
      </c>
      <c r="W65" s="32" t="n">
        <f>1340150712</f>
        <v>1.340150712E9</v>
      </c>
      <c r="X65" s="36" t="n">
        <f>20</f>
        <v>20.0</v>
      </c>
    </row>
    <row r="66">
      <c r="A66" s="27" t="s">
        <v>42</v>
      </c>
      <c r="B66" s="27" t="s">
        <v>242</v>
      </c>
      <c r="C66" s="27" t="s">
        <v>243</v>
      </c>
      <c r="D66" s="27" t="s">
        <v>244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2046</f>
        <v>2046.0</v>
      </c>
      <c r="L66" s="34" t="s">
        <v>48</v>
      </c>
      <c r="M66" s="33" t="n">
        <f>2075</f>
        <v>2075.0</v>
      </c>
      <c r="N66" s="34" t="s">
        <v>62</v>
      </c>
      <c r="O66" s="33" t="n">
        <f>1990</f>
        <v>1990.0</v>
      </c>
      <c r="P66" s="34" t="s">
        <v>245</v>
      </c>
      <c r="Q66" s="33" t="n">
        <f>2023</f>
        <v>2023.0</v>
      </c>
      <c r="R66" s="34" t="s">
        <v>51</v>
      </c>
      <c r="S66" s="35" t="n">
        <f>2013.95</f>
        <v>2013.95</v>
      </c>
      <c r="T66" s="32" t="n">
        <f>3082619</f>
        <v>3082619.0</v>
      </c>
      <c r="U66" s="32" t="n">
        <f>401620</f>
        <v>401620.0</v>
      </c>
      <c r="V66" s="32" t="n">
        <f>6229305719</f>
        <v>6.229305719E9</v>
      </c>
      <c r="W66" s="32" t="n">
        <f>804047054</f>
        <v>8.04047054E8</v>
      </c>
      <c r="X66" s="36" t="n">
        <f>20</f>
        <v>20.0</v>
      </c>
    </row>
    <row r="67">
      <c r="A67" s="27" t="s">
        <v>42</v>
      </c>
      <c r="B67" s="27" t="s">
        <v>246</v>
      </c>
      <c r="C67" s="27" t="s">
        <v>247</v>
      </c>
      <c r="D67" s="27" t="s">
        <v>248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1896</f>
        <v>1896.0</v>
      </c>
      <c r="L67" s="34" t="s">
        <v>48</v>
      </c>
      <c r="M67" s="33" t="n">
        <f>1978</f>
        <v>1978.0</v>
      </c>
      <c r="N67" s="34" t="s">
        <v>49</v>
      </c>
      <c r="O67" s="33" t="n">
        <f>1862</f>
        <v>1862.0</v>
      </c>
      <c r="P67" s="34" t="s">
        <v>170</v>
      </c>
      <c r="Q67" s="33" t="n">
        <f>1940</f>
        <v>1940.0</v>
      </c>
      <c r="R67" s="34" t="s">
        <v>51</v>
      </c>
      <c r="S67" s="35" t="n">
        <f>1919.45</f>
        <v>1919.45</v>
      </c>
      <c r="T67" s="32" t="n">
        <f>302415</f>
        <v>302415.0</v>
      </c>
      <c r="U67" s="32" t="n">
        <f>261038</f>
        <v>261038.0</v>
      </c>
      <c r="V67" s="32" t="n">
        <f>588806348</f>
        <v>5.88806348E8</v>
      </c>
      <c r="W67" s="32" t="n">
        <f>509928574</f>
        <v>5.09928574E8</v>
      </c>
      <c r="X67" s="36" t="n">
        <f>20</f>
        <v>20.0</v>
      </c>
    </row>
    <row r="68">
      <c r="A68" s="27" t="s">
        <v>42</v>
      </c>
      <c r="B68" s="27" t="s">
        <v>249</v>
      </c>
      <c r="C68" s="27" t="s">
        <v>250</v>
      </c>
      <c r="D68" s="27" t="s">
        <v>251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2408</f>
        <v>2408.0</v>
      </c>
      <c r="L68" s="34" t="s">
        <v>48</v>
      </c>
      <c r="M68" s="33" t="n">
        <f>2516</f>
        <v>2516.0</v>
      </c>
      <c r="N68" s="34" t="s">
        <v>79</v>
      </c>
      <c r="O68" s="33" t="n">
        <f>2395</f>
        <v>2395.0</v>
      </c>
      <c r="P68" s="34" t="s">
        <v>50</v>
      </c>
      <c r="Q68" s="33" t="n">
        <f>2482</f>
        <v>2482.0</v>
      </c>
      <c r="R68" s="34" t="s">
        <v>51</v>
      </c>
      <c r="S68" s="35" t="n">
        <f>2455.7</f>
        <v>2455.7</v>
      </c>
      <c r="T68" s="32" t="n">
        <f>416850</f>
        <v>416850.0</v>
      </c>
      <c r="U68" s="32" t="n">
        <f>262000</f>
        <v>262000.0</v>
      </c>
      <c r="V68" s="32" t="n">
        <f>1030643251</f>
        <v>1.030643251E9</v>
      </c>
      <c r="W68" s="32" t="n">
        <f>650310900</f>
        <v>6.503109E8</v>
      </c>
      <c r="X68" s="36" t="n">
        <f>20</f>
        <v>20.0</v>
      </c>
    </row>
    <row r="69">
      <c r="A69" s="27" t="s">
        <v>42</v>
      </c>
      <c r="B69" s="27" t="s">
        <v>252</v>
      </c>
      <c r="C69" s="27" t="s">
        <v>253</v>
      </c>
      <c r="D69" s="27" t="s">
        <v>254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24240</f>
        <v>24240.0</v>
      </c>
      <c r="L69" s="34" t="s">
        <v>48</v>
      </c>
      <c r="M69" s="33" t="n">
        <f>25320</f>
        <v>25320.0</v>
      </c>
      <c r="N69" s="34" t="s">
        <v>49</v>
      </c>
      <c r="O69" s="33" t="n">
        <f>23980</f>
        <v>23980.0</v>
      </c>
      <c r="P69" s="34" t="s">
        <v>50</v>
      </c>
      <c r="Q69" s="33" t="n">
        <f>24750</f>
        <v>24750.0</v>
      </c>
      <c r="R69" s="34" t="s">
        <v>51</v>
      </c>
      <c r="S69" s="35" t="n">
        <f>24593.75</f>
        <v>24593.75</v>
      </c>
      <c r="T69" s="32" t="n">
        <f>9</f>
        <v>9.0</v>
      </c>
      <c r="U69" s="32" t="str">
        <f>"－"</f>
        <v>－</v>
      </c>
      <c r="V69" s="32" t="n">
        <f>220990</f>
        <v>220990.0</v>
      </c>
      <c r="W69" s="32" t="str">
        <f>"－"</f>
        <v>－</v>
      </c>
      <c r="X69" s="36" t="n">
        <f>8</f>
        <v>8.0</v>
      </c>
    </row>
    <row r="70">
      <c r="A70" s="27" t="s">
        <v>42</v>
      </c>
      <c r="B70" s="27" t="s">
        <v>255</v>
      </c>
      <c r="C70" s="27" t="s">
        <v>256</v>
      </c>
      <c r="D70" s="27" t="s">
        <v>257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19415</f>
        <v>19415.0</v>
      </c>
      <c r="L70" s="34" t="s">
        <v>48</v>
      </c>
      <c r="M70" s="33" t="n">
        <f>20275</f>
        <v>20275.0</v>
      </c>
      <c r="N70" s="34" t="s">
        <v>79</v>
      </c>
      <c r="O70" s="33" t="n">
        <f>19210</f>
        <v>19210.0</v>
      </c>
      <c r="P70" s="34" t="s">
        <v>50</v>
      </c>
      <c r="Q70" s="33" t="n">
        <f>20275</f>
        <v>20275.0</v>
      </c>
      <c r="R70" s="34" t="s">
        <v>79</v>
      </c>
      <c r="S70" s="35" t="n">
        <f>19705</f>
        <v>19705.0</v>
      </c>
      <c r="T70" s="32" t="n">
        <f>235</f>
        <v>235.0</v>
      </c>
      <c r="U70" s="32" t="str">
        <f>"－"</f>
        <v>－</v>
      </c>
      <c r="V70" s="32" t="n">
        <f>4598435</f>
        <v>4598435.0</v>
      </c>
      <c r="W70" s="32" t="str">
        <f>"－"</f>
        <v>－</v>
      </c>
      <c r="X70" s="36" t="n">
        <f>6</f>
        <v>6.0</v>
      </c>
    </row>
    <row r="71">
      <c r="A71" s="27" t="s">
        <v>42</v>
      </c>
      <c r="B71" s="27" t="s">
        <v>258</v>
      </c>
      <c r="C71" s="27" t="s">
        <v>259</v>
      </c>
      <c r="D71" s="27" t="s">
        <v>260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2047</f>
        <v>2047.0</v>
      </c>
      <c r="L71" s="34" t="s">
        <v>48</v>
      </c>
      <c r="M71" s="33" t="n">
        <f>2134</f>
        <v>2134.0</v>
      </c>
      <c r="N71" s="34" t="s">
        <v>49</v>
      </c>
      <c r="O71" s="33" t="n">
        <f>2005</f>
        <v>2005.0</v>
      </c>
      <c r="P71" s="34" t="s">
        <v>50</v>
      </c>
      <c r="Q71" s="33" t="n">
        <f>2079</f>
        <v>2079.0</v>
      </c>
      <c r="R71" s="34" t="s">
        <v>51</v>
      </c>
      <c r="S71" s="35" t="n">
        <f>2067.75</f>
        <v>2067.75</v>
      </c>
      <c r="T71" s="32" t="n">
        <f>6912</f>
        <v>6912.0</v>
      </c>
      <c r="U71" s="32" t="str">
        <f>"－"</f>
        <v>－</v>
      </c>
      <c r="V71" s="32" t="n">
        <f>13942749</f>
        <v>1.3942749E7</v>
      </c>
      <c r="W71" s="32" t="str">
        <f>"－"</f>
        <v>－</v>
      </c>
      <c r="X71" s="36" t="n">
        <f>20</f>
        <v>20.0</v>
      </c>
    </row>
    <row r="72">
      <c r="A72" s="27" t="s">
        <v>42</v>
      </c>
      <c r="B72" s="27" t="s">
        <v>261</v>
      </c>
      <c r="C72" s="27" t="s">
        <v>262</v>
      </c>
      <c r="D72" s="27" t="s">
        <v>263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1873</f>
        <v>1873.0</v>
      </c>
      <c r="L72" s="34" t="s">
        <v>48</v>
      </c>
      <c r="M72" s="33" t="n">
        <f>1950</f>
        <v>1950.0</v>
      </c>
      <c r="N72" s="34" t="s">
        <v>91</v>
      </c>
      <c r="O72" s="33" t="n">
        <f>1845</f>
        <v>1845.0</v>
      </c>
      <c r="P72" s="34" t="s">
        <v>245</v>
      </c>
      <c r="Q72" s="33" t="n">
        <f>1917</f>
        <v>1917.0</v>
      </c>
      <c r="R72" s="34" t="s">
        <v>51</v>
      </c>
      <c r="S72" s="35" t="n">
        <f>1895.35</f>
        <v>1895.35</v>
      </c>
      <c r="T72" s="32" t="n">
        <f>2720667</f>
        <v>2720667.0</v>
      </c>
      <c r="U72" s="32" t="n">
        <f>1717017</f>
        <v>1717017.0</v>
      </c>
      <c r="V72" s="32" t="n">
        <f>5136264167</f>
        <v>5.136264167E9</v>
      </c>
      <c r="W72" s="32" t="n">
        <f>3236017564</f>
        <v>3.236017564E9</v>
      </c>
      <c r="X72" s="36" t="n">
        <f>20</f>
        <v>20.0</v>
      </c>
    </row>
    <row r="73">
      <c r="A73" s="27" t="s">
        <v>42</v>
      </c>
      <c r="B73" s="27" t="s">
        <v>264</v>
      </c>
      <c r="C73" s="27" t="s">
        <v>265</v>
      </c>
      <c r="D73" s="27" t="s">
        <v>266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2103</f>
        <v>2103.0</v>
      </c>
      <c r="L73" s="34" t="s">
        <v>48</v>
      </c>
      <c r="M73" s="33" t="n">
        <f>2155</f>
        <v>2155.0</v>
      </c>
      <c r="N73" s="34" t="s">
        <v>90</v>
      </c>
      <c r="O73" s="33" t="n">
        <f>2019</f>
        <v>2019.0</v>
      </c>
      <c r="P73" s="34" t="s">
        <v>90</v>
      </c>
      <c r="Q73" s="33" t="n">
        <f>2065</f>
        <v>2065.0</v>
      </c>
      <c r="R73" s="34" t="s">
        <v>51</v>
      </c>
      <c r="S73" s="35" t="n">
        <f>2068.85</f>
        <v>2068.85</v>
      </c>
      <c r="T73" s="32" t="n">
        <f>5775</f>
        <v>5775.0</v>
      </c>
      <c r="U73" s="32" t="str">
        <f>"－"</f>
        <v>－</v>
      </c>
      <c r="V73" s="32" t="n">
        <f>11959657</f>
        <v>1.1959657E7</v>
      </c>
      <c r="W73" s="32" t="str">
        <f>"－"</f>
        <v>－</v>
      </c>
      <c r="X73" s="36" t="n">
        <f>20</f>
        <v>20.0</v>
      </c>
    </row>
    <row r="74">
      <c r="A74" s="27" t="s">
        <v>42</v>
      </c>
      <c r="B74" s="27" t="s">
        <v>267</v>
      </c>
      <c r="C74" s="27" t="s">
        <v>268</v>
      </c>
      <c r="D74" s="27" t="s">
        <v>269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10.0</v>
      </c>
      <c r="K74" s="33" t="n">
        <f>2011</f>
        <v>2011.0</v>
      </c>
      <c r="L74" s="34" t="s">
        <v>48</v>
      </c>
      <c r="M74" s="33" t="n">
        <f>2100</f>
        <v>2100.0</v>
      </c>
      <c r="N74" s="34" t="s">
        <v>49</v>
      </c>
      <c r="O74" s="33" t="n">
        <f>1986</f>
        <v>1986.0</v>
      </c>
      <c r="P74" s="34" t="s">
        <v>50</v>
      </c>
      <c r="Q74" s="33" t="n">
        <f>2054.5</f>
        <v>2054.5</v>
      </c>
      <c r="R74" s="34" t="s">
        <v>51</v>
      </c>
      <c r="S74" s="35" t="n">
        <f>2040.7</f>
        <v>2040.7</v>
      </c>
      <c r="T74" s="32" t="n">
        <f>46590</f>
        <v>46590.0</v>
      </c>
      <c r="U74" s="32" t="str">
        <f>"－"</f>
        <v>－</v>
      </c>
      <c r="V74" s="32" t="n">
        <f>93898990</f>
        <v>9.389899E7</v>
      </c>
      <c r="W74" s="32" t="str">
        <f>"－"</f>
        <v>－</v>
      </c>
      <c r="X74" s="36" t="n">
        <f>20</f>
        <v>20.0</v>
      </c>
    </row>
    <row r="75">
      <c r="A75" s="27" t="s">
        <v>42</v>
      </c>
      <c r="B75" s="27" t="s">
        <v>270</v>
      </c>
      <c r="C75" s="27" t="s">
        <v>271</v>
      </c>
      <c r="D75" s="27" t="s">
        <v>272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30810</f>
        <v>30810.0</v>
      </c>
      <c r="L75" s="34" t="s">
        <v>245</v>
      </c>
      <c r="M75" s="33" t="n">
        <f>32910</f>
        <v>32910.0</v>
      </c>
      <c r="N75" s="34" t="s">
        <v>101</v>
      </c>
      <c r="O75" s="33" t="n">
        <f>30810</f>
        <v>30810.0</v>
      </c>
      <c r="P75" s="34" t="s">
        <v>245</v>
      </c>
      <c r="Q75" s="33" t="n">
        <f>32210</f>
        <v>32210.0</v>
      </c>
      <c r="R75" s="34" t="s">
        <v>71</v>
      </c>
      <c r="S75" s="35" t="n">
        <f>31743.33</f>
        <v>31743.33</v>
      </c>
      <c r="T75" s="32" t="n">
        <f>8</f>
        <v>8.0</v>
      </c>
      <c r="U75" s="32" t="str">
        <f>"－"</f>
        <v>－</v>
      </c>
      <c r="V75" s="32" t="n">
        <f>256980</f>
        <v>256980.0</v>
      </c>
      <c r="W75" s="32" t="str">
        <f>"－"</f>
        <v>－</v>
      </c>
      <c r="X75" s="36" t="n">
        <f>3</f>
        <v>3.0</v>
      </c>
    </row>
    <row r="76">
      <c r="A76" s="27" t="s">
        <v>42</v>
      </c>
      <c r="B76" s="27" t="s">
        <v>273</v>
      </c>
      <c r="C76" s="27" t="s">
        <v>274</v>
      </c>
      <c r="D76" s="27" t="s">
        <v>275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23215</f>
        <v>23215.0</v>
      </c>
      <c r="L76" s="34" t="s">
        <v>48</v>
      </c>
      <c r="M76" s="33" t="n">
        <f>23380</f>
        <v>23380.0</v>
      </c>
      <c r="N76" s="34" t="s">
        <v>48</v>
      </c>
      <c r="O76" s="33" t="n">
        <f>22155</f>
        <v>22155.0</v>
      </c>
      <c r="P76" s="34" t="s">
        <v>71</v>
      </c>
      <c r="Q76" s="33" t="n">
        <f>22355</f>
        <v>22355.0</v>
      </c>
      <c r="R76" s="34" t="s">
        <v>51</v>
      </c>
      <c r="S76" s="35" t="n">
        <f>22691</f>
        <v>22691.0</v>
      </c>
      <c r="T76" s="32" t="n">
        <f>521046</f>
        <v>521046.0</v>
      </c>
      <c r="U76" s="32" t="n">
        <f>485773</f>
        <v>485773.0</v>
      </c>
      <c r="V76" s="32" t="n">
        <f>11687426455</f>
        <v>1.1687426455E10</v>
      </c>
      <c r="W76" s="32" t="n">
        <f>10890938575</f>
        <v>1.0890938575E10</v>
      </c>
      <c r="X76" s="36" t="n">
        <f>20</f>
        <v>20.0</v>
      </c>
    </row>
    <row r="77">
      <c r="A77" s="27" t="s">
        <v>42</v>
      </c>
      <c r="B77" s="27" t="s">
        <v>276</v>
      </c>
      <c r="C77" s="27" t="s">
        <v>277</v>
      </c>
      <c r="D77" s="27" t="s">
        <v>278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14525</f>
        <v>14525.0</v>
      </c>
      <c r="L77" s="34" t="s">
        <v>48</v>
      </c>
      <c r="M77" s="33" t="n">
        <f>15100</f>
        <v>15100.0</v>
      </c>
      <c r="N77" s="34" t="s">
        <v>91</v>
      </c>
      <c r="O77" s="33" t="n">
        <f>14300</f>
        <v>14300.0</v>
      </c>
      <c r="P77" s="34" t="s">
        <v>245</v>
      </c>
      <c r="Q77" s="33" t="n">
        <f>14855</f>
        <v>14855.0</v>
      </c>
      <c r="R77" s="34" t="s">
        <v>51</v>
      </c>
      <c r="S77" s="35" t="n">
        <f>14691</f>
        <v>14691.0</v>
      </c>
      <c r="T77" s="32" t="n">
        <f>244352</f>
        <v>244352.0</v>
      </c>
      <c r="U77" s="32" t="n">
        <f>167949</f>
        <v>167949.0</v>
      </c>
      <c r="V77" s="32" t="n">
        <f>3534276461</f>
        <v>3.534276461E9</v>
      </c>
      <c r="W77" s="32" t="n">
        <f>2420541041</f>
        <v>2.420541041E9</v>
      </c>
      <c r="X77" s="36" t="n">
        <f>20</f>
        <v>20.0</v>
      </c>
    </row>
    <row r="78">
      <c r="A78" s="27" t="s">
        <v>42</v>
      </c>
      <c r="B78" s="27" t="s">
        <v>279</v>
      </c>
      <c r="C78" s="27" t="s">
        <v>280</v>
      </c>
      <c r="D78" s="27" t="s">
        <v>281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10.0</v>
      </c>
      <c r="K78" s="33" t="n">
        <f>2035.5</f>
        <v>2035.5</v>
      </c>
      <c r="L78" s="34" t="s">
        <v>48</v>
      </c>
      <c r="M78" s="33" t="n">
        <f>2063</f>
        <v>2063.0</v>
      </c>
      <c r="N78" s="34" t="s">
        <v>62</v>
      </c>
      <c r="O78" s="33" t="n">
        <f>1990</f>
        <v>1990.0</v>
      </c>
      <c r="P78" s="34" t="s">
        <v>90</v>
      </c>
      <c r="Q78" s="33" t="n">
        <f>2034</f>
        <v>2034.0</v>
      </c>
      <c r="R78" s="34" t="s">
        <v>51</v>
      </c>
      <c r="S78" s="35" t="n">
        <f>2019.5</f>
        <v>2019.5</v>
      </c>
      <c r="T78" s="32" t="n">
        <f>2278250</f>
        <v>2278250.0</v>
      </c>
      <c r="U78" s="32" t="n">
        <f>1600200</f>
        <v>1600200.0</v>
      </c>
      <c r="V78" s="32" t="n">
        <f>4592238047</f>
        <v>4.592238047E9</v>
      </c>
      <c r="W78" s="32" t="n">
        <f>3225233937</f>
        <v>3.225233937E9</v>
      </c>
      <c r="X78" s="36" t="n">
        <f>20</f>
        <v>20.0</v>
      </c>
    </row>
    <row r="79">
      <c r="A79" s="27" t="s">
        <v>42</v>
      </c>
      <c r="B79" s="27" t="s">
        <v>282</v>
      </c>
      <c r="C79" s="27" t="s">
        <v>283</v>
      </c>
      <c r="D79" s="27" t="s">
        <v>284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40450</f>
        <v>40450.0</v>
      </c>
      <c r="L79" s="34" t="s">
        <v>48</v>
      </c>
      <c r="M79" s="33" t="n">
        <f>43350</f>
        <v>43350.0</v>
      </c>
      <c r="N79" s="34" t="s">
        <v>91</v>
      </c>
      <c r="O79" s="33" t="n">
        <f>40390</f>
        <v>40390.0</v>
      </c>
      <c r="P79" s="34" t="s">
        <v>48</v>
      </c>
      <c r="Q79" s="33" t="n">
        <f>43000</f>
        <v>43000.0</v>
      </c>
      <c r="R79" s="34" t="s">
        <v>51</v>
      </c>
      <c r="S79" s="35" t="n">
        <f>41878.5</f>
        <v>41878.5</v>
      </c>
      <c r="T79" s="32" t="n">
        <f>98315</f>
        <v>98315.0</v>
      </c>
      <c r="U79" s="32" t="n">
        <f>16846</f>
        <v>16846.0</v>
      </c>
      <c r="V79" s="32" t="n">
        <f>4116417515</f>
        <v>4.116417515E9</v>
      </c>
      <c r="W79" s="32" t="n">
        <f>702932755</f>
        <v>7.02932755E8</v>
      </c>
      <c r="X79" s="36" t="n">
        <f>20</f>
        <v>20.0</v>
      </c>
    </row>
    <row r="80">
      <c r="A80" s="27" t="s">
        <v>42</v>
      </c>
      <c r="B80" s="27" t="s">
        <v>285</v>
      </c>
      <c r="C80" s="27" t="s">
        <v>286</v>
      </c>
      <c r="D80" s="27" t="s">
        <v>287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7629</f>
        <v>7629.0</v>
      </c>
      <c r="L80" s="34" t="s">
        <v>70</v>
      </c>
      <c r="M80" s="33" t="n">
        <f>7696</f>
        <v>7696.0</v>
      </c>
      <c r="N80" s="34" t="s">
        <v>75</v>
      </c>
      <c r="O80" s="33" t="n">
        <f>7623</f>
        <v>7623.0</v>
      </c>
      <c r="P80" s="34" t="s">
        <v>61</v>
      </c>
      <c r="Q80" s="33" t="n">
        <f>7696</f>
        <v>7696.0</v>
      </c>
      <c r="R80" s="34" t="s">
        <v>75</v>
      </c>
      <c r="S80" s="35" t="n">
        <f>7654.75</f>
        <v>7654.75</v>
      </c>
      <c r="T80" s="32" t="n">
        <f>40</f>
        <v>40.0</v>
      </c>
      <c r="U80" s="32" t="str">
        <f>"－"</f>
        <v>－</v>
      </c>
      <c r="V80" s="32" t="n">
        <f>306190</f>
        <v>306190.0</v>
      </c>
      <c r="W80" s="32" t="str">
        <f>"－"</f>
        <v>－</v>
      </c>
      <c r="X80" s="36" t="n">
        <f>4</f>
        <v>4.0</v>
      </c>
    </row>
    <row r="81">
      <c r="A81" s="27" t="s">
        <v>42</v>
      </c>
      <c r="B81" s="27" t="s">
        <v>288</v>
      </c>
      <c r="C81" s="27" t="s">
        <v>289</v>
      </c>
      <c r="D81" s="27" t="s">
        <v>290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15790</f>
        <v>15790.0</v>
      </c>
      <c r="L81" s="34" t="s">
        <v>48</v>
      </c>
      <c r="M81" s="33" t="n">
        <f>16690</f>
        <v>16690.0</v>
      </c>
      <c r="N81" s="34" t="s">
        <v>91</v>
      </c>
      <c r="O81" s="33" t="n">
        <f>15520</f>
        <v>15520.0</v>
      </c>
      <c r="P81" s="34" t="s">
        <v>90</v>
      </c>
      <c r="Q81" s="33" t="n">
        <f>16165</f>
        <v>16165.0</v>
      </c>
      <c r="R81" s="34" t="s">
        <v>51</v>
      </c>
      <c r="S81" s="35" t="n">
        <f>15978.25</f>
        <v>15978.25</v>
      </c>
      <c r="T81" s="32" t="n">
        <f>1030</f>
        <v>1030.0</v>
      </c>
      <c r="U81" s="32" t="str">
        <f>"－"</f>
        <v>－</v>
      </c>
      <c r="V81" s="32" t="n">
        <f>16536215</f>
        <v>1.6536215E7</v>
      </c>
      <c r="W81" s="32" t="str">
        <f>"－"</f>
        <v>－</v>
      </c>
      <c r="X81" s="36" t="n">
        <f>20</f>
        <v>20.0</v>
      </c>
    </row>
    <row r="82">
      <c r="A82" s="27" t="s">
        <v>42</v>
      </c>
      <c r="B82" s="27" t="s">
        <v>291</v>
      </c>
      <c r="C82" s="27" t="s">
        <v>292</v>
      </c>
      <c r="D82" s="27" t="s">
        <v>293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15710</f>
        <v>15710.0</v>
      </c>
      <c r="L82" s="34" t="s">
        <v>48</v>
      </c>
      <c r="M82" s="33" t="n">
        <f>16450</f>
        <v>16450.0</v>
      </c>
      <c r="N82" s="34" t="s">
        <v>91</v>
      </c>
      <c r="O82" s="33" t="n">
        <f>15305</f>
        <v>15305.0</v>
      </c>
      <c r="P82" s="34" t="s">
        <v>50</v>
      </c>
      <c r="Q82" s="33" t="n">
        <f>16070</f>
        <v>16070.0</v>
      </c>
      <c r="R82" s="34" t="s">
        <v>51</v>
      </c>
      <c r="S82" s="35" t="n">
        <f>15884.5</f>
        <v>15884.5</v>
      </c>
      <c r="T82" s="32" t="n">
        <f>1362</f>
        <v>1362.0</v>
      </c>
      <c r="U82" s="32" t="str">
        <f>"－"</f>
        <v>－</v>
      </c>
      <c r="V82" s="32" t="n">
        <f>21910260</f>
        <v>2.191026E7</v>
      </c>
      <c r="W82" s="32" t="str">
        <f>"－"</f>
        <v>－</v>
      </c>
      <c r="X82" s="36" t="n">
        <f>20</f>
        <v>20.0</v>
      </c>
    </row>
    <row r="83">
      <c r="A83" s="27" t="s">
        <v>42</v>
      </c>
      <c r="B83" s="27" t="s">
        <v>294</v>
      </c>
      <c r="C83" s="27" t="s">
        <v>295</v>
      </c>
      <c r="D83" s="27" t="s">
        <v>296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20050</f>
        <v>20050.0</v>
      </c>
      <c r="L83" s="34" t="s">
        <v>48</v>
      </c>
      <c r="M83" s="33" t="n">
        <f>21190</f>
        <v>21190.0</v>
      </c>
      <c r="N83" s="34" t="s">
        <v>91</v>
      </c>
      <c r="O83" s="33" t="n">
        <f>19870</f>
        <v>19870.0</v>
      </c>
      <c r="P83" s="34" t="s">
        <v>50</v>
      </c>
      <c r="Q83" s="33" t="n">
        <f>20750</f>
        <v>20750.0</v>
      </c>
      <c r="R83" s="34" t="s">
        <v>51</v>
      </c>
      <c r="S83" s="35" t="n">
        <f>20357.25</f>
        <v>20357.25</v>
      </c>
      <c r="T83" s="32" t="n">
        <f>3627</f>
        <v>3627.0</v>
      </c>
      <c r="U83" s="32" t="n">
        <f>3</f>
        <v>3.0</v>
      </c>
      <c r="V83" s="32" t="n">
        <f>73776160</f>
        <v>7.377616E7</v>
      </c>
      <c r="W83" s="32" t="n">
        <f>61960</f>
        <v>61960.0</v>
      </c>
      <c r="X83" s="36" t="n">
        <f>20</f>
        <v>20.0</v>
      </c>
    </row>
    <row r="84">
      <c r="A84" s="27" t="s">
        <v>42</v>
      </c>
      <c r="B84" s="27" t="s">
        <v>297</v>
      </c>
      <c r="C84" s="27" t="s">
        <v>298</v>
      </c>
      <c r="D84" s="27" t="s">
        <v>299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10370</f>
        <v>10370.0</v>
      </c>
      <c r="L84" s="34" t="s">
        <v>48</v>
      </c>
      <c r="M84" s="33" t="n">
        <f>10715</f>
        <v>10715.0</v>
      </c>
      <c r="N84" s="34" t="s">
        <v>75</v>
      </c>
      <c r="O84" s="33" t="n">
        <f>10225</f>
        <v>10225.0</v>
      </c>
      <c r="P84" s="34" t="s">
        <v>91</v>
      </c>
      <c r="Q84" s="33" t="n">
        <f>10350</f>
        <v>10350.0</v>
      </c>
      <c r="R84" s="34" t="s">
        <v>51</v>
      </c>
      <c r="S84" s="35" t="n">
        <f>10465.25</f>
        <v>10465.25</v>
      </c>
      <c r="T84" s="32" t="n">
        <f>49040</f>
        <v>49040.0</v>
      </c>
      <c r="U84" s="32" t="n">
        <f>40020</f>
        <v>40020.0</v>
      </c>
      <c r="V84" s="32" t="n">
        <f>508495880</f>
        <v>5.0849588E8</v>
      </c>
      <c r="W84" s="32" t="n">
        <f>414552530</f>
        <v>4.1455253E8</v>
      </c>
      <c r="X84" s="36" t="n">
        <f>20</f>
        <v>20.0</v>
      </c>
    </row>
    <row r="85">
      <c r="A85" s="27" t="s">
        <v>42</v>
      </c>
      <c r="B85" s="27" t="s">
        <v>300</v>
      </c>
      <c r="C85" s="27" t="s">
        <v>301</v>
      </c>
      <c r="D85" s="27" t="s">
        <v>302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1899</f>
        <v>1899.0</v>
      </c>
      <c r="L85" s="34" t="s">
        <v>48</v>
      </c>
      <c r="M85" s="33" t="n">
        <f>2024</f>
        <v>2024.0</v>
      </c>
      <c r="N85" s="34" t="s">
        <v>80</v>
      </c>
      <c r="O85" s="33" t="n">
        <f>1890</f>
        <v>1890.0</v>
      </c>
      <c r="P85" s="34" t="s">
        <v>245</v>
      </c>
      <c r="Q85" s="33" t="n">
        <f>1990</f>
        <v>1990.0</v>
      </c>
      <c r="R85" s="34" t="s">
        <v>51</v>
      </c>
      <c r="S85" s="35" t="n">
        <f>1955.85</f>
        <v>1955.85</v>
      </c>
      <c r="T85" s="32" t="n">
        <f>228950</f>
        <v>228950.0</v>
      </c>
      <c r="U85" s="32" t="n">
        <f>52662</f>
        <v>52662.0</v>
      </c>
      <c r="V85" s="32" t="n">
        <f>443103013</f>
        <v>4.43103013E8</v>
      </c>
      <c r="W85" s="32" t="n">
        <f>99902520</f>
        <v>9.990252E7</v>
      </c>
      <c r="X85" s="36" t="n">
        <f>20</f>
        <v>20.0</v>
      </c>
    </row>
    <row r="86">
      <c r="A86" s="27" t="s">
        <v>42</v>
      </c>
      <c r="B86" s="27" t="s">
        <v>303</v>
      </c>
      <c r="C86" s="27" t="s">
        <v>304</v>
      </c>
      <c r="D86" s="27" t="s">
        <v>305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1945</f>
        <v>1945.0</v>
      </c>
      <c r="L86" s="34" t="s">
        <v>48</v>
      </c>
      <c r="M86" s="33" t="n">
        <f>1981</f>
        <v>1981.0</v>
      </c>
      <c r="N86" s="34" t="s">
        <v>79</v>
      </c>
      <c r="O86" s="33" t="n">
        <f>1888</f>
        <v>1888.0</v>
      </c>
      <c r="P86" s="34" t="s">
        <v>101</v>
      </c>
      <c r="Q86" s="33" t="n">
        <f>1956</f>
        <v>1956.0</v>
      </c>
      <c r="R86" s="34" t="s">
        <v>51</v>
      </c>
      <c r="S86" s="35" t="n">
        <f>1940.95</f>
        <v>1940.95</v>
      </c>
      <c r="T86" s="32" t="n">
        <f>277098</f>
        <v>277098.0</v>
      </c>
      <c r="U86" s="32" t="n">
        <f>123</f>
        <v>123.0</v>
      </c>
      <c r="V86" s="32" t="n">
        <f>537280185</f>
        <v>5.37280185E8</v>
      </c>
      <c r="W86" s="32" t="n">
        <f>216849</f>
        <v>216849.0</v>
      </c>
      <c r="X86" s="36" t="n">
        <f>20</f>
        <v>20.0</v>
      </c>
    </row>
    <row r="87">
      <c r="A87" s="27" t="s">
        <v>42</v>
      </c>
      <c r="B87" s="27" t="s">
        <v>306</v>
      </c>
      <c r="C87" s="27" t="s">
        <v>307</v>
      </c>
      <c r="D87" s="27" t="s">
        <v>308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14795</f>
        <v>14795.0</v>
      </c>
      <c r="L87" s="34" t="s">
        <v>48</v>
      </c>
      <c r="M87" s="33" t="n">
        <f>15505</f>
        <v>15505.0</v>
      </c>
      <c r="N87" s="34" t="s">
        <v>49</v>
      </c>
      <c r="O87" s="33" t="n">
        <f>14660</f>
        <v>14660.0</v>
      </c>
      <c r="P87" s="34" t="s">
        <v>50</v>
      </c>
      <c r="Q87" s="33" t="n">
        <f>15225</f>
        <v>15225.0</v>
      </c>
      <c r="R87" s="34" t="s">
        <v>51</v>
      </c>
      <c r="S87" s="35" t="n">
        <f>15095</f>
        <v>15095.0</v>
      </c>
      <c r="T87" s="32" t="n">
        <f>1709</f>
        <v>1709.0</v>
      </c>
      <c r="U87" s="32" t="str">
        <f>"－"</f>
        <v>－</v>
      </c>
      <c r="V87" s="32" t="n">
        <f>25736355</f>
        <v>2.5736355E7</v>
      </c>
      <c r="W87" s="32" t="str">
        <f>"－"</f>
        <v>－</v>
      </c>
      <c r="X87" s="36" t="n">
        <f>20</f>
        <v>20.0</v>
      </c>
    </row>
    <row r="88">
      <c r="A88" s="27" t="s">
        <v>42</v>
      </c>
      <c r="B88" s="27" t="s">
        <v>309</v>
      </c>
      <c r="C88" s="27" t="s">
        <v>310</v>
      </c>
      <c r="D88" s="27" t="s">
        <v>311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8890</f>
        <v>8890.0</v>
      </c>
      <c r="L88" s="34" t="s">
        <v>48</v>
      </c>
      <c r="M88" s="33" t="n">
        <f>9100</f>
        <v>9100.0</v>
      </c>
      <c r="N88" s="34" t="s">
        <v>79</v>
      </c>
      <c r="O88" s="33" t="n">
        <f>8840</f>
        <v>8840.0</v>
      </c>
      <c r="P88" s="34" t="s">
        <v>71</v>
      </c>
      <c r="Q88" s="33" t="n">
        <f>9020</f>
        <v>9020.0</v>
      </c>
      <c r="R88" s="34" t="s">
        <v>51</v>
      </c>
      <c r="S88" s="35" t="n">
        <f>8947.4</f>
        <v>8947.4</v>
      </c>
      <c r="T88" s="32" t="n">
        <f>1146</f>
        <v>1146.0</v>
      </c>
      <c r="U88" s="32" t="n">
        <f>1</f>
        <v>1.0</v>
      </c>
      <c r="V88" s="32" t="n">
        <f>10243099</f>
        <v>1.0243099E7</v>
      </c>
      <c r="W88" s="32" t="n">
        <f>9020</f>
        <v>9020.0</v>
      </c>
      <c r="X88" s="36" t="n">
        <f>20</f>
        <v>20.0</v>
      </c>
    </row>
    <row r="89">
      <c r="A89" s="27" t="s">
        <v>42</v>
      </c>
      <c r="B89" s="27" t="s">
        <v>312</v>
      </c>
      <c r="C89" s="27" t="s">
        <v>313</v>
      </c>
      <c r="D89" s="27" t="s">
        <v>314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7421</f>
        <v>7421.0</v>
      </c>
      <c r="L89" s="34" t="s">
        <v>48</v>
      </c>
      <c r="M89" s="33" t="n">
        <f>7628</f>
        <v>7628.0</v>
      </c>
      <c r="N89" s="34" t="s">
        <v>101</v>
      </c>
      <c r="O89" s="33" t="n">
        <f>7386</f>
        <v>7386.0</v>
      </c>
      <c r="P89" s="34" t="s">
        <v>50</v>
      </c>
      <c r="Q89" s="33" t="n">
        <f>7436</f>
        <v>7436.0</v>
      </c>
      <c r="R89" s="34" t="s">
        <v>51</v>
      </c>
      <c r="S89" s="35" t="n">
        <f>7506.65</f>
        <v>7506.65</v>
      </c>
      <c r="T89" s="32" t="n">
        <f>2481655</f>
        <v>2481655.0</v>
      </c>
      <c r="U89" s="32" t="n">
        <f>841804</f>
        <v>841804.0</v>
      </c>
      <c r="V89" s="32" t="n">
        <f>18726073123</f>
        <v>1.8726073123E10</v>
      </c>
      <c r="W89" s="32" t="n">
        <f>6422973399</f>
        <v>6.422973399E9</v>
      </c>
      <c r="X89" s="36" t="n">
        <f>20</f>
        <v>20.0</v>
      </c>
    </row>
    <row r="90">
      <c r="A90" s="27" t="s">
        <v>42</v>
      </c>
      <c r="B90" s="27" t="s">
        <v>315</v>
      </c>
      <c r="C90" s="27" t="s">
        <v>316</v>
      </c>
      <c r="D90" s="27" t="s">
        <v>317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1.0</v>
      </c>
      <c r="K90" s="33" t="n">
        <f>4020</f>
        <v>4020.0</v>
      </c>
      <c r="L90" s="34" t="s">
        <v>48</v>
      </c>
      <c r="M90" s="33" t="n">
        <f>4300</f>
        <v>4300.0</v>
      </c>
      <c r="N90" s="34" t="s">
        <v>70</v>
      </c>
      <c r="O90" s="33" t="n">
        <f>4005</f>
        <v>4005.0</v>
      </c>
      <c r="P90" s="34" t="s">
        <v>50</v>
      </c>
      <c r="Q90" s="33" t="n">
        <f>4135</f>
        <v>4135.0</v>
      </c>
      <c r="R90" s="34" t="s">
        <v>51</v>
      </c>
      <c r="S90" s="35" t="n">
        <f>4127</f>
        <v>4127.0</v>
      </c>
      <c r="T90" s="32" t="n">
        <f>587636</f>
        <v>587636.0</v>
      </c>
      <c r="U90" s="32" t="n">
        <f>20</f>
        <v>20.0</v>
      </c>
      <c r="V90" s="32" t="n">
        <f>2437930140</f>
        <v>2.43793014E9</v>
      </c>
      <c r="W90" s="32" t="n">
        <f>83000</f>
        <v>83000.0</v>
      </c>
      <c r="X90" s="36" t="n">
        <f>20</f>
        <v>20.0</v>
      </c>
    </row>
    <row r="91">
      <c r="A91" s="27" t="s">
        <v>42</v>
      </c>
      <c r="B91" s="27" t="s">
        <v>318</v>
      </c>
      <c r="C91" s="27" t="s">
        <v>319</v>
      </c>
      <c r="D91" s="27" t="s">
        <v>320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8371</f>
        <v>8371.0</v>
      </c>
      <c r="L91" s="34" t="s">
        <v>48</v>
      </c>
      <c r="M91" s="33" t="n">
        <f>9046</f>
        <v>9046.0</v>
      </c>
      <c r="N91" s="34" t="s">
        <v>170</v>
      </c>
      <c r="O91" s="33" t="n">
        <f>8356</f>
        <v>8356.0</v>
      </c>
      <c r="P91" s="34" t="s">
        <v>48</v>
      </c>
      <c r="Q91" s="33" t="n">
        <f>8630</f>
        <v>8630.0</v>
      </c>
      <c r="R91" s="34" t="s">
        <v>51</v>
      </c>
      <c r="S91" s="35" t="n">
        <f>8740.6</f>
        <v>8740.6</v>
      </c>
      <c r="T91" s="32" t="n">
        <f>203846</f>
        <v>203846.0</v>
      </c>
      <c r="U91" s="32" t="str">
        <f>"－"</f>
        <v>－</v>
      </c>
      <c r="V91" s="32" t="n">
        <f>1784825215</f>
        <v>1.784825215E9</v>
      </c>
      <c r="W91" s="32" t="str">
        <f>"－"</f>
        <v>－</v>
      </c>
      <c r="X91" s="36" t="n">
        <f>20</f>
        <v>20.0</v>
      </c>
    </row>
    <row r="92">
      <c r="A92" s="27" t="s">
        <v>42</v>
      </c>
      <c r="B92" s="27" t="s">
        <v>321</v>
      </c>
      <c r="C92" s="27" t="s">
        <v>322</v>
      </c>
      <c r="D92" s="27" t="s">
        <v>323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82500</f>
        <v>82500.0</v>
      </c>
      <c r="L92" s="34" t="s">
        <v>48</v>
      </c>
      <c r="M92" s="33" t="n">
        <f>86100</f>
        <v>86100.0</v>
      </c>
      <c r="N92" s="34" t="s">
        <v>61</v>
      </c>
      <c r="O92" s="33" t="n">
        <f>77400</f>
        <v>77400.0</v>
      </c>
      <c r="P92" s="34" t="s">
        <v>51</v>
      </c>
      <c r="Q92" s="33" t="n">
        <f>77770</f>
        <v>77770.0</v>
      </c>
      <c r="R92" s="34" t="s">
        <v>51</v>
      </c>
      <c r="S92" s="35" t="n">
        <f>81757</f>
        <v>81757.0</v>
      </c>
      <c r="T92" s="32" t="n">
        <f>8325</f>
        <v>8325.0</v>
      </c>
      <c r="U92" s="32" t="n">
        <f>5</f>
        <v>5.0</v>
      </c>
      <c r="V92" s="32" t="n">
        <f>680725560</f>
        <v>6.8072556E8</v>
      </c>
      <c r="W92" s="32" t="n">
        <f>400800</f>
        <v>400800.0</v>
      </c>
      <c r="X92" s="36" t="n">
        <f>20</f>
        <v>20.0</v>
      </c>
    </row>
    <row r="93">
      <c r="A93" s="27" t="s">
        <v>42</v>
      </c>
      <c r="B93" s="27" t="s">
        <v>324</v>
      </c>
      <c r="C93" s="27" t="s">
        <v>325</v>
      </c>
      <c r="D93" s="27" t="s">
        <v>326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17235</f>
        <v>17235.0</v>
      </c>
      <c r="L93" s="34" t="s">
        <v>48</v>
      </c>
      <c r="M93" s="33" t="n">
        <f>17270</f>
        <v>17270.0</v>
      </c>
      <c r="N93" s="34" t="s">
        <v>48</v>
      </c>
      <c r="O93" s="33" t="n">
        <f>16020</f>
        <v>16020.0</v>
      </c>
      <c r="P93" s="34" t="s">
        <v>90</v>
      </c>
      <c r="Q93" s="33" t="n">
        <f>16175</f>
        <v>16175.0</v>
      </c>
      <c r="R93" s="34" t="s">
        <v>51</v>
      </c>
      <c r="S93" s="35" t="n">
        <f>16550</f>
        <v>16550.0</v>
      </c>
      <c r="T93" s="32" t="n">
        <f>1441117</f>
        <v>1441117.0</v>
      </c>
      <c r="U93" s="32" t="n">
        <f>37500</f>
        <v>37500.0</v>
      </c>
      <c r="V93" s="32" t="n">
        <f>23756445632</f>
        <v>2.3756445632E10</v>
      </c>
      <c r="W93" s="32" t="n">
        <f>609615802</f>
        <v>6.09615802E8</v>
      </c>
      <c r="X93" s="36" t="n">
        <f>20</f>
        <v>20.0</v>
      </c>
    </row>
    <row r="94">
      <c r="A94" s="27" t="s">
        <v>42</v>
      </c>
      <c r="B94" s="27" t="s">
        <v>327</v>
      </c>
      <c r="C94" s="27" t="s">
        <v>328</v>
      </c>
      <c r="D94" s="27" t="s">
        <v>329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47410</f>
        <v>47410.0</v>
      </c>
      <c r="L94" s="34" t="s">
        <v>48</v>
      </c>
      <c r="M94" s="33" t="n">
        <f>47450</f>
        <v>47450.0</v>
      </c>
      <c r="N94" s="34" t="s">
        <v>48</v>
      </c>
      <c r="O94" s="33" t="n">
        <f>45340</f>
        <v>45340.0</v>
      </c>
      <c r="P94" s="34" t="s">
        <v>61</v>
      </c>
      <c r="Q94" s="33" t="n">
        <f>45670</f>
        <v>45670.0</v>
      </c>
      <c r="R94" s="34" t="s">
        <v>51</v>
      </c>
      <c r="S94" s="35" t="n">
        <f>46239.5</f>
        <v>46239.5</v>
      </c>
      <c r="T94" s="32" t="n">
        <f>144285</f>
        <v>144285.0</v>
      </c>
      <c r="U94" s="32" t="n">
        <f>12500</f>
        <v>12500.0</v>
      </c>
      <c r="V94" s="32" t="n">
        <f>6673883866</f>
        <v>6.673883866E9</v>
      </c>
      <c r="W94" s="32" t="n">
        <f>574649786</f>
        <v>5.74649786E8</v>
      </c>
      <c r="X94" s="36" t="n">
        <f>20</f>
        <v>20.0</v>
      </c>
    </row>
    <row r="95">
      <c r="A95" s="27" t="s">
        <v>42</v>
      </c>
      <c r="B95" s="27" t="s">
        <v>330</v>
      </c>
      <c r="C95" s="27" t="s">
        <v>331</v>
      </c>
      <c r="D95" s="27" t="s">
        <v>332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6307</f>
        <v>6307.0</v>
      </c>
      <c r="L95" s="34" t="s">
        <v>48</v>
      </c>
      <c r="M95" s="33" t="n">
        <f>6318</f>
        <v>6318.0</v>
      </c>
      <c r="N95" s="34" t="s">
        <v>48</v>
      </c>
      <c r="O95" s="33" t="n">
        <f>6000</f>
        <v>6000.0</v>
      </c>
      <c r="P95" s="34" t="s">
        <v>101</v>
      </c>
      <c r="Q95" s="33" t="n">
        <f>6011</f>
        <v>6011.0</v>
      </c>
      <c r="R95" s="34" t="s">
        <v>51</v>
      </c>
      <c r="S95" s="35" t="n">
        <f>6101.6</f>
        <v>6101.6</v>
      </c>
      <c r="T95" s="32" t="n">
        <f>2477960</f>
        <v>2477960.0</v>
      </c>
      <c r="U95" s="32" t="n">
        <f>1012000</f>
        <v>1012000.0</v>
      </c>
      <c r="V95" s="32" t="n">
        <f>15272115181</f>
        <v>1.5272115181E10</v>
      </c>
      <c r="W95" s="32" t="n">
        <f>6343668891</f>
        <v>6.343668891E9</v>
      </c>
      <c r="X95" s="36" t="n">
        <f>20</f>
        <v>20.0</v>
      </c>
    </row>
    <row r="96">
      <c r="A96" s="27" t="s">
        <v>42</v>
      </c>
      <c r="B96" s="27" t="s">
        <v>333</v>
      </c>
      <c r="C96" s="27" t="s">
        <v>334</v>
      </c>
      <c r="D96" s="27" t="s">
        <v>335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10.0</v>
      </c>
      <c r="K96" s="33" t="n">
        <f>3930</f>
        <v>3930.0</v>
      </c>
      <c r="L96" s="34" t="s">
        <v>48</v>
      </c>
      <c r="M96" s="33" t="n">
        <f>3947</f>
        <v>3947.0</v>
      </c>
      <c r="N96" s="34" t="s">
        <v>48</v>
      </c>
      <c r="O96" s="33" t="n">
        <f>3778</f>
        <v>3778.0</v>
      </c>
      <c r="P96" s="34" t="s">
        <v>50</v>
      </c>
      <c r="Q96" s="33" t="n">
        <f>3830</f>
        <v>3830.0</v>
      </c>
      <c r="R96" s="34" t="s">
        <v>51</v>
      </c>
      <c r="S96" s="35" t="n">
        <f>3859.95</f>
        <v>3859.95</v>
      </c>
      <c r="T96" s="32" t="n">
        <f>67540</f>
        <v>67540.0</v>
      </c>
      <c r="U96" s="32" t="n">
        <f>130</f>
        <v>130.0</v>
      </c>
      <c r="V96" s="32" t="n">
        <f>261107540</f>
        <v>2.6110754E8</v>
      </c>
      <c r="W96" s="32" t="n">
        <f>497700</f>
        <v>497700.0</v>
      </c>
      <c r="X96" s="36" t="n">
        <f>20</f>
        <v>20.0</v>
      </c>
    </row>
    <row r="97">
      <c r="A97" s="27" t="s">
        <v>42</v>
      </c>
      <c r="B97" s="27" t="s">
        <v>336</v>
      </c>
      <c r="C97" s="27" t="s">
        <v>337</v>
      </c>
      <c r="D97" s="27" t="s">
        <v>338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4255</f>
        <v>4255.0</v>
      </c>
      <c r="L97" s="34" t="s">
        <v>48</v>
      </c>
      <c r="M97" s="33" t="n">
        <f>4459</f>
        <v>4459.0</v>
      </c>
      <c r="N97" s="34" t="s">
        <v>91</v>
      </c>
      <c r="O97" s="33" t="n">
        <f>4207</f>
        <v>4207.0</v>
      </c>
      <c r="P97" s="34" t="s">
        <v>50</v>
      </c>
      <c r="Q97" s="33" t="n">
        <f>4360</f>
        <v>4360.0</v>
      </c>
      <c r="R97" s="34" t="s">
        <v>51</v>
      </c>
      <c r="S97" s="35" t="n">
        <f>4335.6</f>
        <v>4335.6</v>
      </c>
      <c r="T97" s="32" t="n">
        <f>6050</f>
        <v>6050.0</v>
      </c>
      <c r="U97" s="32" t="str">
        <f>"－"</f>
        <v>－</v>
      </c>
      <c r="V97" s="32" t="n">
        <f>26235780</f>
        <v>2.623578E7</v>
      </c>
      <c r="W97" s="32" t="str">
        <f>"－"</f>
        <v>－</v>
      </c>
      <c r="X97" s="36" t="n">
        <f>20</f>
        <v>20.0</v>
      </c>
    </row>
    <row r="98">
      <c r="A98" s="27" t="s">
        <v>42</v>
      </c>
      <c r="B98" s="27" t="s">
        <v>339</v>
      </c>
      <c r="C98" s="27" t="s">
        <v>340</v>
      </c>
      <c r="D98" s="27" t="s">
        <v>341</v>
      </c>
      <c r="E98" s="28" t="s">
        <v>46</v>
      </c>
      <c r="F98" s="29" t="s">
        <v>46</v>
      </c>
      <c r="G98" s="30" t="s">
        <v>46</v>
      </c>
      <c r="H98" s="31" t="s">
        <v>69</v>
      </c>
      <c r="I98" s="31" t="s">
        <v>47</v>
      </c>
      <c r="J98" s="32" t="n">
        <v>1.0</v>
      </c>
      <c r="K98" s="33" t="n">
        <f>2099</f>
        <v>2099.0</v>
      </c>
      <c r="L98" s="34" t="s">
        <v>48</v>
      </c>
      <c r="M98" s="33" t="n">
        <f>2123</f>
        <v>2123.0</v>
      </c>
      <c r="N98" s="34" t="s">
        <v>101</v>
      </c>
      <c r="O98" s="33" t="n">
        <f>1682</f>
        <v>1682.0</v>
      </c>
      <c r="P98" s="34" t="s">
        <v>79</v>
      </c>
      <c r="Q98" s="33" t="n">
        <f>1712</f>
        <v>1712.0</v>
      </c>
      <c r="R98" s="34" t="s">
        <v>51</v>
      </c>
      <c r="S98" s="35" t="n">
        <f>1905.7</f>
        <v>1905.7</v>
      </c>
      <c r="T98" s="32" t="n">
        <f>34778311</f>
        <v>3.4778311E7</v>
      </c>
      <c r="U98" s="32" t="n">
        <f>50835</f>
        <v>50835.0</v>
      </c>
      <c r="V98" s="32" t="n">
        <f>64652999039</f>
        <v>6.4652999039E10</v>
      </c>
      <c r="W98" s="32" t="n">
        <f>101549078</f>
        <v>1.01549078E8</v>
      </c>
      <c r="X98" s="36" t="n">
        <f>20</f>
        <v>20.0</v>
      </c>
    </row>
    <row r="99">
      <c r="A99" s="27" t="s">
        <v>42</v>
      </c>
      <c r="B99" s="27" t="s">
        <v>342</v>
      </c>
      <c r="C99" s="27" t="s">
        <v>343</v>
      </c>
      <c r="D99" s="27" t="s">
        <v>344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3297</f>
        <v>3297.0</v>
      </c>
      <c r="L99" s="34" t="s">
        <v>48</v>
      </c>
      <c r="M99" s="33" t="n">
        <f>3320</f>
        <v>3320.0</v>
      </c>
      <c r="N99" s="34" t="s">
        <v>62</v>
      </c>
      <c r="O99" s="33" t="n">
        <f>3187</f>
        <v>3187.0</v>
      </c>
      <c r="P99" s="34" t="s">
        <v>50</v>
      </c>
      <c r="Q99" s="33" t="n">
        <f>3239</f>
        <v>3239.0</v>
      </c>
      <c r="R99" s="34" t="s">
        <v>51</v>
      </c>
      <c r="S99" s="35" t="n">
        <f>3259.65</f>
        <v>3259.65</v>
      </c>
      <c r="T99" s="32" t="n">
        <f>77330</f>
        <v>77330.0</v>
      </c>
      <c r="U99" s="32" t="str">
        <f>"－"</f>
        <v>－</v>
      </c>
      <c r="V99" s="32" t="n">
        <f>251378710</f>
        <v>2.5137871E8</v>
      </c>
      <c r="W99" s="32" t="str">
        <f>"－"</f>
        <v>－</v>
      </c>
      <c r="X99" s="36" t="n">
        <f>20</f>
        <v>20.0</v>
      </c>
    </row>
    <row r="100">
      <c r="A100" s="27" t="s">
        <v>42</v>
      </c>
      <c r="B100" s="27" t="s">
        <v>345</v>
      </c>
      <c r="C100" s="27" t="s">
        <v>346</v>
      </c>
      <c r="D100" s="27" t="s">
        <v>347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1687</f>
        <v>1687.0</v>
      </c>
      <c r="L100" s="34" t="s">
        <v>48</v>
      </c>
      <c r="M100" s="33" t="n">
        <f>1736</f>
        <v>1736.0</v>
      </c>
      <c r="N100" s="34" t="s">
        <v>51</v>
      </c>
      <c r="O100" s="33" t="n">
        <f>1630.5</f>
        <v>1630.5</v>
      </c>
      <c r="P100" s="34" t="s">
        <v>50</v>
      </c>
      <c r="Q100" s="33" t="n">
        <f>1733</f>
        <v>1733.0</v>
      </c>
      <c r="R100" s="34" t="s">
        <v>51</v>
      </c>
      <c r="S100" s="35" t="n">
        <f>1693.45</f>
        <v>1693.45</v>
      </c>
      <c r="T100" s="32" t="n">
        <f>217070</f>
        <v>217070.0</v>
      </c>
      <c r="U100" s="32" t="n">
        <f>100000</f>
        <v>100000.0</v>
      </c>
      <c r="V100" s="32" t="n">
        <f>373700240</f>
        <v>3.7370024E8</v>
      </c>
      <c r="W100" s="32" t="n">
        <f>174640000</f>
        <v>1.7464E8</v>
      </c>
      <c r="X100" s="36" t="n">
        <f>20</f>
        <v>20.0</v>
      </c>
    </row>
    <row r="101">
      <c r="A101" s="27" t="s">
        <v>42</v>
      </c>
      <c r="B101" s="27" t="s">
        <v>348</v>
      </c>
      <c r="C101" s="27" t="s">
        <v>349</v>
      </c>
      <c r="D101" s="27" t="s">
        <v>350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57530</f>
        <v>57530.0</v>
      </c>
      <c r="L101" s="34" t="s">
        <v>48</v>
      </c>
      <c r="M101" s="33" t="n">
        <f>57630</f>
        <v>57630.0</v>
      </c>
      <c r="N101" s="34" t="s">
        <v>48</v>
      </c>
      <c r="O101" s="33" t="n">
        <f>54750</f>
        <v>54750.0</v>
      </c>
      <c r="P101" s="34" t="s">
        <v>101</v>
      </c>
      <c r="Q101" s="33" t="n">
        <f>54800</f>
        <v>54800.0</v>
      </c>
      <c r="R101" s="34" t="s">
        <v>51</v>
      </c>
      <c r="S101" s="35" t="n">
        <f>55645.5</f>
        <v>55645.5</v>
      </c>
      <c r="T101" s="32" t="n">
        <f>121215</f>
        <v>121215.0</v>
      </c>
      <c r="U101" s="32" t="n">
        <f>8484</f>
        <v>8484.0</v>
      </c>
      <c r="V101" s="32" t="n">
        <f>6739308457</f>
        <v>6.739308457E9</v>
      </c>
      <c r="W101" s="32" t="n">
        <f>471151947</f>
        <v>4.71151947E8</v>
      </c>
      <c r="X101" s="36" t="n">
        <f>20</f>
        <v>20.0</v>
      </c>
    </row>
    <row r="102">
      <c r="A102" s="27" t="s">
        <v>42</v>
      </c>
      <c r="B102" s="27" t="s">
        <v>351</v>
      </c>
      <c r="C102" s="27" t="s">
        <v>352</v>
      </c>
      <c r="D102" s="27" t="s">
        <v>353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3195</f>
        <v>3195.0</v>
      </c>
      <c r="L102" s="34" t="s">
        <v>48</v>
      </c>
      <c r="M102" s="33" t="n">
        <f>3490</f>
        <v>3490.0</v>
      </c>
      <c r="N102" s="34" t="s">
        <v>91</v>
      </c>
      <c r="O102" s="33" t="n">
        <f>3145</f>
        <v>3145.0</v>
      </c>
      <c r="P102" s="34" t="s">
        <v>62</v>
      </c>
      <c r="Q102" s="33" t="n">
        <f>3370</f>
        <v>3370.0</v>
      </c>
      <c r="R102" s="34" t="s">
        <v>51</v>
      </c>
      <c r="S102" s="35" t="n">
        <f>3297.25</f>
        <v>3297.25</v>
      </c>
      <c r="T102" s="32" t="n">
        <f>18528</f>
        <v>18528.0</v>
      </c>
      <c r="U102" s="32" t="str">
        <f>"－"</f>
        <v>－</v>
      </c>
      <c r="V102" s="32" t="n">
        <f>61529320</f>
        <v>6.152932E7</v>
      </c>
      <c r="W102" s="32" t="str">
        <f>"－"</f>
        <v>－</v>
      </c>
      <c r="X102" s="36" t="n">
        <f>20</f>
        <v>20.0</v>
      </c>
    </row>
    <row r="103">
      <c r="A103" s="27" t="s">
        <v>42</v>
      </c>
      <c r="B103" s="27" t="s">
        <v>354</v>
      </c>
      <c r="C103" s="27" t="s">
        <v>355</v>
      </c>
      <c r="D103" s="27" t="s">
        <v>356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4240</f>
        <v>4240.0</v>
      </c>
      <c r="L103" s="34" t="s">
        <v>48</v>
      </c>
      <c r="M103" s="33" t="n">
        <f>4495</f>
        <v>4495.0</v>
      </c>
      <c r="N103" s="34" t="s">
        <v>91</v>
      </c>
      <c r="O103" s="33" t="n">
        <f>4125</f>
        <v>4125.0</v>
      </c>
      <c r="P103" s="34" t="s">
        <v>75</v>
      </c>
      <c r="Q103" s="33" t="n">
        <f>4400</f>
        <v>4400.0</v>
      </c>
      <c r="R103" s="34" t="s">
        <v>51</v>
      </c>
      <c r="S103" s="35" t="n">
        <f>4249</f>
        <v>4249.0</v>
      </c>
      <c r="T103" s="32" t="n">
        <f>6690</f>
        <v>6690.0</v>
      </c>
      <c r="U103" s="32" t="str">
        <f>"－"</f>
        <v>－</v>
      </c>
      <c r="V103" s="32" t="n">
        <f>28962355</f>
        <v>2.8962355E7</v>
      </c>
      <c r="W103" s="32" t="str">
        <f>"－"</f>
        <v>－</v>
      </c>
      <c r="X103" s="36" t="n">
        <f>20</f>
        <v>20.0</v>
      </c>
    </row>
    <row r="104">
      <c r="A104" s="27" t="s">
        <v>42</v>
      </c>
      <c r="B104" s="27" t="s">
        <v>357</v>
      </c>
      <c r="C104" s="27" t="s">
        <v>358</v>
      </c>
      <c r="D104" s="27" t="s">
        <v>359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2335</f>
        <v>2335.0</v>
      </c>
      <c r="L104" s="34" t="s">
        <v>48</v>
      </c>
      <c r="M104" s="33" t="n">
        <f>2630</f>
        <v>2630.0</v>
      </c>
      <c r="N104" s="34" t="s">
        <v>91</v>
      </c>
      <c r="O104" s="33" t="n">
        <f>2316</f>
        <v>2316.0</v>
      </c>
      <c r="P104" s="34" t="s">
        <v>50</v>
      </c>
      <c r="Q104" s="33" t="n">
        <f>2587</f>
        <v>2587.0</v>
      </c>
      <c r="R104" s="34" t="s">
        <v>51</v>
      </c>
      <c r="S104" s="35" t="n">
        <f>2487.15</f>
        <v>2487.15</v>
      </c>
      <c r="T104" s="32" t="n">
        <f>614193</f>
        <v>614193.0</v>
      </c>
      <c r="U104" s="32" t="str">
        <f>"－"</f>
        <v>－</v>
      </c>
      <c r="V104" s="32" t="n">
        <f>1534001081</f>
        <v>1.534001081E9</v>
      </c>
      <c r="W104" s="32" t="str">
        <f>"－"</f>
        <v>－</v>
      </c>
      <c r="X104" s="36" t="n">
        <f>20</f>
        <v>20.0</v>
      </c>
    </row>
    <row r="105">
      <c r="A105" s="27" t="s">
        <v>42</v>
      </c>
      <c r="B105" s="27" t="s">
        <v>360</v>
      </c>
      <c r="C105" s="27" t="s">
        <v>361</v>
      </c>
      <c r="D105" s="27" t="s">
        <v>362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43610</f>
        <v>43610.0</v>
      </c>
      <c r="L105" s="34" t="s">
        <v>48</v>
      </c>
      <c r="M105" s="33" t="n">
        <f>43990</f>
        <v>43990.0</v>
      </c>
      <c r="N105" s="34" t="s">
        <v>90</v>
      </c>
      <c r="O105" s="33" t="n">
        <f>42900</f>
        <v>42900.0</v>
      </c>
      <c r="P105" s="34" t="s">
        <v>172</v>
      </c>
      <c r="Q105" s="33" t="n">
        <f>43260</f>
        <v>43260.0</v>
      </c>
      <c r="R105" s="34" t="s">
        <v>51</v>
      </c>
      <c r="S105" s="35" t="n">
        <f>43374.5</f>
        <v>43374.5</v>
      </c>
      <c r="T105" s="32" t="n">
        <f>23201</f>
        <v>23201.0</v>
      </c>
      <c r="U105" s="32" t="n">
        <f>11776</f>
        <v>11776.0</v>
      </c>
      <c r="V105" s="32" t="n">
        <f>1002501729</f>
        <v>1.002501729E9</v>
      </c>
      <c r="W105" s="32" t="n">
        <f>506468779</f>
        <v>5.06468779E8</v>
      </c>
      <c r="X105" s="36" t="n">
        <f>20</f>
        <v>20.0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23965</f>
        <v>23965.0</v>
      </c>
      <c r="L106" s="34" t="s">
        <v>48</v>
      </c>
      <c r="M106" s="33" t="n">
        <f>26200</f>
        <v>26200.0</v>
      </c>
      <c r="N106" s="34" t="s">
        <v>49</v>
      </c>
      <c r="O106" s="33" t="n">
        <f>23290</f>
        <v>23290.0</v>
      </c>
      <c r="P106" s="34" t="s">
        <v>50</v>
      </c>
      <c r="Q106" s="33" t="n">
        <f>25140</f>
        <v>25140.0</v>
      </c>
      <c r="R106" s="34" t="s">
        <v>51</v>
      </c>
      <c r="S106" s="35" t="n">
        <f>24762.5</f>
        <v>24762.5</v>
      </c>
      <c r="T106" s="32" t="n">
        <f>2017520</f>
        <v>2017520.0</v>
      </c>
      <c r="U106" s="32" t="n">
        <f>260</f>
        <v>260.0</v>
      </c>
      <c r="V106" s="32" t="n">
        <f>50055127300</f>
        <v>5.00551273E10</v>
      </c>
      <c r="W106" s="32" t="n">
        <f>6501600</f>
        <v>6501600.0</v>
      </c>
      <c r="X106" s="36" t="n">
        <f>20</f>
        <v>20.0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10.0</v>
      </c>
      <c r="K107" s="33" t="n">
        <f>2043</f>
        <v>2043.0</v>
      </c>
      <c r="L107" s="34" t="s">
        <v>48</v>
      </c>
      <c r="M107" s="33" t="n">
        <f>2069.5</f>
        <v>2069.5</v>
      </c>
      <c r="N107" s="34" t="s">
        <v>50</v>
      </c>
      <c r="O107" s="33" t="n">
        <f>1945</f>
        <v>1945.0</v>
      </c>
      <c r="P107" s="34" t="s">
        <v>49</v>
      </c>
      <c r="Q107" s="33" t="n">
        <f>1984.5</f>
        <v>1984.5</v>
      </c>
      <c r="R107" s="34" t="s">
        <v>51</v>
      </c>
      <c r="S107" s="35" t="n">
        <f>2003.35</f>
        <v>2003.35</v>
      </c>
      <c r="T107" s="32" t="n">
        <f>91270</f>
        <v>91270.0</v>
      </c>
      <c r="U107" s="32" t="str">
        <f>"－"</f>
        <v>－</v>
      </c>
      <c r="V107" s="32" t="n">
        <f>182117800</f>
        <v>1.821178E8</v>
      </c>
      <c r="W107" s="32" t="str">
        <f>"－"</f>
        <v>－</v>
      </c>
      <c r="X107" s="36" t="n">
        <f>20</f>
        <v>20.0</v>
      </c>
    </row>
    <row r="108">
      <c r="A108" s="27" t="s">
        <v>42</v>
      </c>
      <c r="B108" s="27" t="s">
        <v>369</v>
      </c>
      <c r="C108" s="27" t="s">
        <v>370</v>
      </c>
      <c r="D108" s="27" t="s">
        <v>371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14320</f>
        <v>14320.0</v>
      </c>
      <c r="L108" s="34" t="s">
        <v>48</v>
      </c>
      <c r="M108" s="33" t="n">
        <f>15220</f>
        <v>15220.0</v>
      </c>
      <c r="N108" s="34" t="s">
        <v>49</v>
      </c>
      <c r="O108" s="33" t="n">
        <f>13710</f>
        <v>13710.0</v>
      </c>
      <c r="P108" s="34" t="s">
        <v>50</v>
      </c>
      <c r="Q108" s="33" t="n">
        <f>14665</f>
        <v>14665.0</v>
      </c>
      <c r="R108" s="34" t="s">
        <v>51</v>
      </c>
      <c r="S108" s="35" t="n">
        <f>14601</f>
        <v>14601.0</v>
      </c>
      <c r="T108" s="32" t="n">
        <f>181268312</f>
        <v>1.81268312E8</v>
      </c>
      <c r="U108" s="32" t="n">
        <f>1037079</f>
        <v>1037079.0</v>
      </c>
      <c r="V108" s="32" t="n">
        <f>2643088820826</f>
        <v>2.643088820826E12</v>
      </c>
      <c r="W108" s="32" t="n">
        <f>15615551836</f>
        <v>1.5615551836E10</v>
      </c>
      <c r="X108" s="36" t="n">
        <f>20</f>
        <v>20.0</v>
      </c>
    </row>
    <row r="109">
      <c r="A109" s="27" t="s">
        <v>42</v>
      </c>
      <c r="B109" s="27" t="s">
        <v>372</v>
      </c>
      <c r="C109" s="27" t="s">
        <v>373</v>
      </c>
      <c r="D109" s="27" t="s">
        <v>374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958</f>
        <v>958.0</v>
      </c>
      <c r="L109" s="34" t="s">
        <v>48</v>
      </c>
      <c r="M109" s="33" t="n">
        <f>979</f>
        <v>979.0</v>
      </c>
      <c r="N109" s="34" t="s">
        <v>50</v>
      </c>
      <c r="O109" s="33" t="n">
        <f>926</f>
        <v>926.0</v>
      </c>
      <c r="P109" s="34" t="s">
        <v>49</v>
      </c>
      <c r="Q109" s="33" t="n">
        <f>943</f>
        <v>943.0</v>
      </c>
      <c r="R109" s="34" t="s">
        <v>51</v>
      </c>
      <c r="S109" s="35" t="n">
        <f>947.15</f>
        <v>947.15</v>
      </c>
      <c r="T109" s="32" t="n">
        <f>30980333</f>
        <v>3.0980333E7</v>
      </c>
      <c r="U109" s="32" t="n">
        <f>3100000</f>
        <v>3100000.0</v>
      </c>
      <c r="V109" s="32" t="n">
        <f>29456303753</f>
        <v>2.9456303753E10</v>
      </c>
      <c r="W109" s="32" t="n">
        <f>2973677000</f>
        <v>2.973677E9</v>
      </c>
      <c r="X109" s="36" t="n">
        <f>20</f>
        <v>20.0</v>
      </c>
    </row>
    <row r="110">
      <c r="A110" s="27" t="s">
        <v>42</v>
      </c>
      <c r="B110" s="27" t="s">
        <v>375</v>
      </c>
      <c r="C110" s="27" t="s">
        <v>376</v>
      </c>
      <c r="D110" s="27" t="s">
        <v>377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3111</f>
        <v>3111.0</v>
      </c>
      <c r="L110" s="34" t="s">
        <v>48</v>
      </c>
      <c r="M110" s="33" t="n">
        <f>4467</f>
        <v>4467.0</v>
      </c>
      <c r="N110" s="34" t="s">
        <v>61</v>
      </c>
      <c r="O110" s="33" t="n">
        <f>3020</f>
        <v>3020.0</v>
      </c>
      <c r="P110" s="34" t="s">
        <v>48</v>
      </c>
      <c r="Q110" s="33" t="n">
        <f>4354</f>
        <v>4354.0</v>
      </c>
      <c r="R110" s="34" t="s">
        <v>51</v>
      </c>
      <c r="S110" s="35" t="n">
        <f>3950.15</f>
        <v>3950.15</v>
      </c>
      <c r="T110" s="32" t="n">
        <f>676710</f>
        <v>676710.0</v>
      </c>
      <c r="U110" s="32" t="n">
        <f>40</f>
        <v>40.0</v>
      </c>
      <c r="V110" s="32" t="n">
        <f>2635313490</f>
        <v>2.63531349E9</v>
      </c>
      <c r="W110" s="32" t="n">
        <f>175280</f>
        <v>175280.0</v>
      </c>
      <c r="X110" s="36" t="n">
        <f>20</f>
        <v>20.0</v>
      </c>
    </row>
    <row r="111">
      <c r="A111" s="27" t="s">
        <v>42</v>
      </c>
      <c r="B111" s="27" t="s">
        <v>378</v>
      </c>
      <c r="C111" s="27" t="s">
        <v>379</v>
      </c>
      <c r="D111" s="27" t="s">
        <v>380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10.0</v>
      </c>
      <c r="K111" s="33" t="n">
        <f>15985</f>
        <v>15985.0</v>
      </c>
      <c r="L111" s="34" t="s">
        <v>48</v>
      </c>
      <c r="M111" s="33" t="n">
        <f>15995</f>
        <v>15995.0</v>
      </c>
      <c r="N111" s="34" t="s">
        <v>48</v>
      </c>
      <c r="O111" s="33" t="n">
        <f>11495</f>
        <v>11495.0</v>
      </c>
      <c r="P111" s="34" t="s">
        <v>61</v>
      </c>
      <c r="Q111" s="33" t="n">
        <f>11820</f>
        <v>11820.0</v>
      </c>
      <c r="R111" s="34" t="s">
        <v>51</v>
      </c>
      <c r="S111" s="35" t="n">
        <f>12865.25</f>
        <v>12865.25</v>
      </c>
      <c r="T111" s="32" t="n">
        <f>89110</f>
        <v>89110.0</v>
      </c>
      <c r="U111" s="32" t="str">
        <f>"－"</f>
        <v>－</v>
      </c>
      <c r="V111" s="32" t="n">
        <f>1168501750</f>
        <v>1.16850175E9</v>
      </c>
      <c r="W111" s="32" t="str">
        <f>"－"</f>
        <v>－</v>
      </c>
      <c r="X111" s="36" t="n">
        <f>20</f>
        <v>20.0</v>
      </c>
    </row>
    <row r="112">
      <c r="A112" s="27" t="s">
        <v>42</v>
      </c>
      <c r="B112" s="27" t="s">
        <v>381</v>
      </c>
      <c r="C112" s="27" t="s">
        <v>382</v>
      </c>
      <c r="D112" s="27" t="s">
        <v>383</v>
      </c>
      <c r="E112" s="28" t="s">
        <v>384</v>
      </c>
      <c r="F112" s="29" t="s">
        <v>385</v>
      </c>
      <c r="G112" s="30" t="s">
        <v>386</v>
      </c>
      <c r="H112" s="31" t="s">
        <v>387</v>
      </c>
      <c r="I112" s="31"/>
      <c r="J112" s="32" t="n">
        <v>10.0</v>
      </c>
      <c r="K112" s="33" t="n">
        <f>689.2</f>
        <v>689.2</v>
      </c>
      <c r="L112" s="34" t="s">
        <v>48</v>
      </c>
      <c r="M112" s="33" t="n">
        <f>774</f>
        <v>774.0</v>
      </c>
      <c r="N112" s="34" t="s">
        <v>90</v>
      </c>
      <c r="O112" s="33" t="n">
        <f>689.2</f>
        <v>689.2</v>
      </c>
      <c r="P112" s="34" t="s">
        <v>48</v>
      </c>
      <c r="Q112" s="33" t="n">
        <f>748</f>
        <v>748.0</v>
      </c>
      <c r="R112" s="34" t="s">
        <v>70</v>
      </c>
      <c r="S112" s="35" t="n">
        <f>731.09</f>
        <v>731.09</v>
      </c>
      <c r="T112" s="32" t="n">
        <f>57300</f>
        <v>57300.0</v>
      </c>
      <c r="U112" s="32" t="n">
        <f>45150</f>
        <v>45150.0</v>
      </c>
      <c r="V112" s="32" t="n">
        <f>43373144</f>
        <v>4.3373144E7</v>
      </c>
      <c r="W112" s="32" t="n">
        <f>34512757</f>
        <v>3.4512757E7</v>
      </c>
      <c r="X112" s="36" t="n">
        <f>8</f>
        <v>8.0</v>
      </c>
    </row>
    <row r="113">
      <c r="A113" s="27" t="s">
        <v>42</v>
      </c>
      <c r="B113" s="27" t="s">
        <v>388</v>
      </c>
      <c r="C113" s="27" t="s">
        <v>389</v>
      </c>
      <c r="D113" s="27" t="s">
        <v>390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24050</f>
        <v>24050.0</v>
      </c>
      <c r="L113" s="34" t="s">
        <v>48</v>
      </c>
      <c r="M113" s="33" t="n">
        <f>25340</f>
        <v>25340.0</v>
      </c>
      <c r="N113" s="34" t="s">
        <v>91</v>
      </c>
      <c r="O113" s="33" t="n">
        <f>24050</f>
        <v>24050.0</v>
      </c>
      <c r="P113" s="34" t="s">
        <v>48</v>
      </c>
      <c r="Q113" s="33" t="n">
        <f>25020</f>
        <v>25020.0</v>
      </c>
      <c r="R113" s="34" t="s">
        <v>51</v>
      </c>
      <c r="S113" s="35" t="n">
        <f>24578.25</f>
        <v>24578.25</v>
      </c>
      <c r="T113" s="32" t="n">
        <f>52537</f>
        <v>52537.0</v>
      </c>
      <c r="U113" s="32" t="n">
        <f>14200</f>
        <v>14200.0</v>
      </c>
      <c r="V113" s="32" t="n">
        <f>1301724961</f>
        <v>1.301724961E9</v>
      </c>
      <c r="W113" s="32" t="n">
        <f>350721776</f>
        <v>3.50721776E8</v>
      </c>
      <c r="X113" s="36" t="n">
        <f>20</f>
        <v>20.0</v>
      </c>
    </row>
    <row r="114">
      <c r="A114" s="27" t="s">
        <v>42</v>
      </c>
      <c r="B114" s="27" t="s">
        <v>391</v>
      </c>
      <c r="C114" s="27" t="s">
        <v>392</v>
      </c>
      <c r="D114" s="27" t="s">
        <v>393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2217</f>
        <v>2217.0</v>
      </c>
      <c r="L114" s="34" t="s">
        <v>48</v>
      </c>
      <c r="M114" s="33" t="n">
        <f>2290</f>
        <v>2290.0</v>
      </c>
      <c r="N114" s="34" t="s">
        <v>49</v>
      </c>
      <c r="O114" s="33" t="n">
        <f>2172</f>
        <v>2172.0</v>
      </c>
      <c r="P114" s="34" t="s">
        <v>50</v>
      </c>
      <c r="Q114" s="33" t="n">
        <f>2249</f>
        <v>2249.0</v>
      </c>
      <c r="R114" s="34" t="s">
        <v>51</v>
      </c>
      <c r="S114" s="35" t="n">
        <f>2242.9</f>
        <v>2242.9</v>
      </c>
      <c r="T114" s="32" t="n">
        <f>502508</f>
        <v>502508.0</v>
      </c>
      <c r="U114" s="32" t="n">
        <f>457000</f>
        <v>457000.0</v>
      </c>
      <c r="V114" s="32" t="n">
        <f>1123065931</f>
        <v>1.123065931E9</v>
      </c>
      <c r="W114" s="32" t="n">
        <f>1020963400</f>
        <v>1.0209634E9</v>
      </c>
      <c r="X114" s="36" t="n">
        <f>20</f>
        <v>20.0</v>
      </c>
    </row>
    <row r="115">
      <c r="A115" s="27" t="s">
        <v>42</v>
      </c>
      <c r="B115" s="27" t="s">
        <v>394</v>
      </c>
      <c r="C115" s="27" t="s">
        <v>395</v>
      </c>
      <c r="D115" s="27" t="s">
        <v>396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10.0</v>
      </c>
      <c r="K115" s="33" t="n">
        <f>15325</f>
        <v>15325.0</v>
      </c>
      <c r="L115" s="34" t="s">
        <v>48</v>
      </c>
      <c r="M115" s="33" t="n">
        <f>16295</f>
        <v>16295.0</v>
      </c>
      <c r="N115" s="34" t="s">
        <v>49</v>
      </c>
      <c r="O115" s="33" t="n">
        <f>14675</f>
        <v>14675.0</v>
      </c>
      <c r="P115" s="34" t="s">
        <v>50</v>
      </c>
      <c r="Q115" s="33" t="n">
        <f>15695</f>
        <v>15695.0</v>
      </c>
      <c r="R115" s="34" t="s">
        <v>51</v>
      </c>
      <c r="S115" s="35" t="n">
        <f>15629.25</f>
        <v>15629.25</v>
      </c>
      <c r="T115" s="32" t="n">
        <f>15446260</f>
        <v>1.544626E7</v>
      </c>
      <c r="U115" s="32" t="n">
        <f>15030</f>
        <v>15030.0</v>
      </c>
      <c r="V115" s="32" t="n">
        <f>241674166300</f>
        <v>2.416741663E11</v>
      </c>
      <c r="W115" s="32" t="n">
        <f>228402000</f>
        <v>2.28402E8</v>
      </c>
      <c r="X115" s="36" t="n">
        <f>20</f>
        <v>20.0</v>
      </c>
    </row>
    <row r="116">
      <c r="A116" s="27" t="s">
        <v>42</v>
      </c>
      <c r="B116" s="27" t="s">
        <v>397</v>
      </c>
      <c r="C116" s="27" t="s">
        <v>398</v>
      </c>
      <c r="D116" s="27" t="s">
        <v>399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10.0</v>
      </c>
      <c r="K116" s="33" t="n">
        <f>2547.5</f>
        <v>2547.5</v>
      </c>
      <c r="L116" s="34" t="s">
        <v>48</v>
      </c>
      <c r="M116" s="33" t="n">
        <f>2600</f>
        <v>2600.0</v>
      </c>
      <c r="N116" s="34" t="s">
        <v>50</v>
      </c>
      <c r="O116" s="33" t="n">
        <f>2461</f>
        <v>2461.0</v>
      </c>
      <c r="P116" s="34" t="s">
        <v>49</v>
      </c>
      <c r="Q116" s="33" t="n">
        <f>2508</f>
        <v>2508.0</v>
      </c>
      <c r="R116" s="34" t="s">
        <v>51</v>
      </c>
      <c r="S116" s="35" t="n">
        <f>2516.53</f>
        <v>2516.53</v>
      </c>
      <c r="T116" s="32" t="n">
        <f>447370</f>
        <v>447370.0</v>
      </c>
      <c r="U116" s="32" t="str">
        <f>"－"</f>
        <v>－</v>
      </c>
      <c r="V116" s="32" t="n">
        <f>1125672265</f>
        <v>1.125672265E9</v>
      </c>
      <c r="W116" s="32" t="str">
        <f>"－"</f>
        <v>－</v>
      </c>
      <c r="X116" s="36" t="n">
        <f>20</f>
        <v>20.0</v>
      </c>
    </row>
    <row r="117">
      <c r="A117" s="27" t="s">
        <v>42</v>
      </c>
      <c r="B117" s="27" t="s">
        <v>400</v>
      </c>
      <c r="C117" s="27" t="s">
        <v>401</v>
      </c>
      <c r="D117" s="27" t="s">
        <v>402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920.1</f>
        <v>920.1</v>
      </c>
      <c r="L117" s="34" t="s">
        <v>48</v>
      </c>
      <c r="M117" s="33" t="n">
        <f>1100.5</f>
        <v>1100.5</v>
      </c>
      <c r="N117" s="34" t="s">
        <v>70</v>
      </c>
      <c r="O117" s="33" t="n">
        <f>920.1</f>
        <v>920.1</v>
      </c>
      <c r="P117" s="34" t="s">
        <v>48</v>
      </c>
      <c r="Q117" s="33" t="n">
        <f>950</f>
        <v>950.0</v>
      </c>
      <c r="R117" s="34" t="s">
        <v>51</v>
      </c>
      <c r="S117" s="35" t="n">
        <f>952.56</f>
        <v>952.56</v>
      </c>
      <c r="T117" s="32" t="n">
        <f>3650</f>
        <v>3650.0</v>
      </c>
      <c r="U117" s="32" t="str">
        <f>"－"</f>
        <v>－</v>
      </c>
      <c r="V117" s="32" t="n">
        <f>3644064</f>
        <v>3644064.0</v>
      </c>
      <c r="W117" s="32" t="str">
        <f>"－"</f>
        <v>－</v>
      </c>
      <c r="X117" s="36" t="n">
        <f>12</f>
        <v>12.0</v>
      </c>
    </row>
    <row r="118">
      <c r="A118" s="27" t="s">
        <v>42</v>
      </c>
      <c r="B118" s="27" t="s">
        <v>403</v>
      </c>
      <c r="C118" s="27" t="s">
        <v>404</v>
      </c>
      <c r="D118" s="27" t="s">
        <v>405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1536.5</f>
        <v>1536.5</v>
      </c>
      <c r="L118" s="34" t="s">
        <v>48</v>
      </c>
      <c r="M118" s="33" t="n">
        <f>1591</f>
        <v>1591.0</v>
      </c>
      <c r="N118" s="34" t="s">
        <v>49</v>
      </c>
      <c r="O118" s="33" t="n">
        <f>1532</f>
        <v>1532.0</v>
      </c>
      <c r="P118" s="34" t="s">
        <v>101</v>
      </c>
      <c r="Q118" s="33" t="n">
        <f>1561.5</f>
        <v>1561.5</v>
      </c>
      <c r="R118" s="34" t="s">
        <v>51</v>
      </c>
      <c r="S118" s="35" t="n">
        <f>1557.75</f>
        <v>1557.75</v>
      </c>
      <c r="T118" s="32" t="n">
        <f>3080</f>
        <v>3080.0</v>
      </c>
      <c r="U118" s="32" t="str">
        <f>"－"</f>
        <v>－</v>
      </c>
      <c r="V118" s="32" t="n">
        <f>4801665</f>
        <v>4801665.0</v>
      </c>
      <c r="W118" s="32" t="str">
        <f>"－"</f>
        <v>－</v>
      </c>
      <c r="X118" s="36" t="n">
        <f>8</f>
        <v>8.0</v>
      </c>
    </row>
    <row r="119">
      <c r="A119" s="27" t="s">
        <v>42</v>
      </c>
      <c r="B119" s="27" t="s">
        <v>406</v>
      </c>
      <c r="C119" s="27" t="s">
        <v>407</v>
      </c>
      <c r="D119" s="27" t="s">
        <v>408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1666</f>
        <v>1666.0</v>
      </c>
      <c r="L119" s="34" t="s">
        <v>48</v>
      </c>
      <c r="M119" s="33" t="n">
        <f>1721</f>
        <v>1721.0</v>
      </c>
      <c r="N119" s="34" t="s">
        <v>160</v>
      </c>
      <c r="O119" s="33" t="n">
        <f>1627</f>
        <v>1627.0</v>
      </c>
      <c r="P119" s="34" t="s">
        <v>50</v>
      </c>
      <c r="Q119" s="33" t="n">
        <f>1676</f>
        <v>1676.0</v>
      </c>
      <c r="R119" s="34" t="s">
        <v>51</v>
      </c>
      <c r="S119" s="35" t="n">
        <f>1662.8</f>
        <v>1662.8</v>
      </c>
      <c r="T119" s="32" t="n">
        <f>15341</f>
        <v>15341.0</v>
      </c>
      <c r="U119" s="32" t="str">
        <f>"－"</f>
        <v>－</v>
      </c>
      <c r="V119" s="32" t="n">
        <f>25673787</f>
        <v>2.5673787E7</v>
      </c>
      <c r="W119" s="32" t="str">
        <f>"－"</f>
        <v>－</v>
      </c>
      <c r="X119" s="36" t="n">
        <f>20</f>
        <v>20.0</v>
      </c>
    </row>
    <row r="120">
      <c r="A120" s="27" t="s">
        <v>42</v>
      </c>
      <c r="B120" s="27" t="s">
        <v>409</v>
      </c>
      <c r="C120" s="27" t="s">
        <v>410</v>
      </c>
      <c r="D120" s="27" t="s">
        <v>411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17400</f>
        <v>17400.0</v>
      </c>
      <c r="L120" s="34" t="s">
        <v>48</v>
      </c>
      <c r="M120" s="33" t="n">
        <f>18315</f>
        <v>18315.0</v>
      </c>
      <c r="N120" s="34" t="s">
        <v>49</v>
      </c>
      <c r="O120" s="33" t="n">
        <f>17170</f>
        <v>17170.0</v>
      </c>
      <c r="P120" s="34" t="s">
        <v>50</v>
      </c>
      <c r="Q120" s="33" t="n">
        <f>17945</f>
        <v>17945.0</v>
      </c>
      <c r="R120" s="34" t="s">
        <v>51</v>
      </c>
      <c r="S120" s="35" t="n">
        <f>17789.75</f>
        <v>17789.75</v>
      </c>
      <c r="T120" s="32" t="n">
        <f>212334</f>
        <v>212334.0</v>
      </c>
      <c r="U120" s="32" t="n">
        <f>151801</f>
        <v>151801.0</v>
      </c>
      <c r="V120" s="32" t="n">
        <f>3813563190</f>
        <v>3.81356319E9</v>
      </c>
      <c r="W120" s="32" t="n">
        <f>2735526410</f>
        <v>2.73552641E9</v>
      </c>
      <c r="X120" s="36" t="n">
        <f>20</f>
        <v>20.0</v>
      </c>
    </row>
    <row r="121">
      <c r="A121" s="27" t="s">
        <v>42</v>
      </c>
      <c r="B121" s="27" t="s">
        <v>412</v>
      </c>
      <c r="C121" s="27" t="s">
        <v>413</v>
      </c>
      <c r="D121" s="27" t="s">
        <v>414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1610</f>
        <v>1610.0</v>
      </c>
      <c r="L121" s="34" t="s">
        <v>48</v>
      </c>
      <c r="M121" s="33" t="n">
        <f>1689</f>
        <v>1689.0</v>
      </c>
      <c r="N121" s="34" t="s">
        <v>49</v>
      </c>
      <c r="O121" s="33" t="n">
        <f>1585</f>
        <v>1585.0</v>
      </c>
      <c r="P121" s="34" t="s">
        <v>50</v>
      </c>
      <c r="Q121" s="33" t="n">
        <f>1655</f>
        <v>1655.0</v>
      </c>
      <c r="R121" s="34" t="s">
        <v>51</v>
      </c>
      <c r="S121" s="35" t="n">
        <f>1641.6</f>
        <v>1641.6</v>
      </c>
      <c r="T121" s="32" t="n">
        <f>69795</f>
        <v>69795.0</v>
      </c>
      <c r="U121" s="32" t="n">
        <f>36500</f>
        <v>36500.0</v>
      </c>
      <c r="V121" s="32" t="n">
        <f>116168968</f>
        <v>1.16168968E8</v>
      </c>
      <c r="W121" s="32" t="n">
        <f>61557250</f>
        <v>6.155725E7</v>
      </c>
      <c r="X121" s="36" t="n">
        <f>20</f>
        <v>20.0</v>
      </c>
    </row>
    <row r="122">
      <c r="A122" s="27" t="s">
        <v>42</v>
      </c>
      <c r="B122" s="27" t="s">
        <v>415</v>
      </c>
      <c r="C122" s="27" t="s">
        <v>416</v>
      </c>
      <c r="D122" s="27" t="s">
        <v>417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17900</f>
        <v>17900.0</v>
      </c>
      <c r="L122" s="34" t="s">
        <v>48</v>
      </c>
      <c r="M122" s="33" t="n">
        <f>18880</f>
        <v>18880.0</v>
      </c>
      <c r="N122" s="34" t="s">
        <v>79</v>
      </c>
      <c r="O122" s="33" t="n">
        <f>17690</f>
        <v>17690.0</v>
      </c>
      <c r="P122" s="34" t="s">
        <v>50</v>
      </c>
      <c r="Q122" s="33" t="n">
        <f>18500</f>
        <v>18500.0</v>
      </c>
      <c r="R122" s="34" t="s">
        <v>51</v>
      </c>
      <c r="S122" s="35" t="n">
        <f>18339.5</f>
        <v>18339.5</v>
      </c>
      <c r="T122" s="32" t="n">
        <f>16903</f>
        <v>16903.0</v>
      </c>
      <c r="U122" s="32" t="n">
        <f>550</f>
        <v>550.0</v>
      </c>
      <c r="V122" s="32" t="n">
        <f>311084570</f>
        <v>3.1108457E8</v>
      </c>
      <c r="W122" s="32" t="n">
        <f>10366400</f>
        <v>1.03664E7</v>
      </c>
      <c r="X122" s="36" t="n">
        <f>20</f>
        <v>20.0</v>
      </c>
    </row>
    <row r="123">
      <c r="A123" s="27" t="s">
        <v>42</v>
      </c>
      <c r="B123" s="27" t="s">
        <v>418</v>
      </c>
      <c r="C123" s="27" t="s">
        <v>419</v>
      </c>
      <c r="D123" s="27" t="s">
        <v>420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10.0</v>
      </c>
      <c r="K123" s="33" t="n">
        <f>2006.5</f>
        <v>2006.5</v>
      </c>
      <c r="L123" s="34" t="s">
        <v>48</v>
      </c>
      <c r="M123" s="33" t="n">
        <f>2031</f>
        <v>2031.0</v>
      </c>
      <c r="N123" s="34" t="s">
        <v>62</v>
      </c>
      <c r="O123" s="33" t="n">
        <f>1962</f>
        <v>1962.0</v>
      </c>
      <c r="P123" s="34" t="s">
        <v>90</v>
      </c>
      <c r="Q123" s="33" t="n">
        <f>2001</f>
        <v>2001.0</v>
      </c>
      <c r="R123" s="34" t="s">
        <v>51</v>
      </c>
      <c r="S123" s="35" t="n">
        <f>1991</f>
        <v>1991.0</v>
      </c>
      <c r="T123" s="32" t="n">
        <f>507090</f>
        <v>507090.0</v>
      </c>
      <c r="U123" s="32" t="n">
        <f>62510</f>
        <v>62510.0</v>
      </c>
      <c r="V123" s="32" t="n">
        <f>1011193250</f>
        <v>1.01119325E9</v>
      </c>
      <c r="W123" s="32" t="n">
        <f>125100665</f>
        <v>1.25100665E8</v>
      </c>
      <c r="X123" s="36" t="n">
        <f>20</f>
        <v>20.0</v>
      </c>
    </row>
    <row r="124">
      <c r="A124" s="27" t="s">
        <v>42</v>
      </c>
      <c r="B124" s="27" t="s">
        <v>421</v>
      </c>
      <c r="C124" s="27" t="s">
        <v>422</v>
      </c>
      <c r="D124" s="27" t="s">
        <v>423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1687</f>
        <v>1687.0</v>
      </c>
      <c r="L124" s="34" t="s">
        <v>62</v>
      </c>
      <c r="M124" s="33" t="n">
        <f>1757</f>
        <v>1757.0</v>
      </c>
      <c r="N124" s="34" t="s">
        <v>79</v>
      </c>
      <c r="O124" s="33" t="n">
        <f>1687</f>
        <v>1687.0</v>
      </c>
      <c r="P124" s="34" t="s">
        <v>62</v>
      </c>
      <c r="Q124" s="33" t="n">
        <f>1757</f>
        <v>1757.0</v>
      </c>
      <c r="R124" s="34" t="s">
        <v>79</v>
      </c>
      <c r="S124" s="35" t="n">
        <f>1722.33</f>
        <v>1722.33</v>
      </c>
      <c r="T124" s="32" t="n">
        <f>30</f>
        <v>30.0</v>
      </c>
      <c r="U124" s="32" t="str">
        <f>"－"</f>
        <v>－</v>
      </c>
      <c r="V124" s="32" t="n">
        <f>51670</f>
        <v>51670.0</v>
      </c>
      <c r="W124" s="32" t="str">
        <f>"－"</f>
        <v>－</v>
      </c>
      <c r="X124" s="36" t="n">
        <f>3</f>
        <v>3.0</v>
      </c>
    </row>
    <row r="125">
      <c r="A125" s="27" t="s">
        <v>42</v>
      </c>
      <c r="B125" s="27" t="s">
        <v>424</v>
      </c>
      <c r="C125" s="27" t="s">
        <v>425</v>
      </c>
      <c r="D125" s="27" t="s">
        <v>426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2028</f>
        <v>2028.0</v>
      </c>
      <c r="L125" s="34" t="s">
        <v>48</v>
      </c>
      <c r="M125" s="33" t="n">
        <f>2052.5</f>
        <v>2052.5</v>
      </c>
      <c r="N125" s="34" t="s">
        <v>62</v>
      </c>
      <c r="O125" s="33" t="n">
        <f>1980</f>
        <v>1980.0</v>
      </c>
      <c r="P125" s="34" t="s">
        <v>90</v>
      </c>
      <c r="Q125" s="33" t="n">
        <f>2024.5</f>
        <v>2024.5</v>
      </c>
      <c r="R125" s="34" t="s">
        <v>51</v>
      </c>
      <c r="S125" s="35" t="n">
        <f>2009.05</f>
        <v>2009.05</v>
      </c>
      <c r="T125" s="32" t="n">
        <f>867370</f>
        <v>867370.0</v>
      </c>
      <c r="U125" s="32" t="n">
        <f>290600</f>
        <v>290600.0</v>
      </c>
      <c r="V125" s="32" t="n">
        <f>1740557063</f>
        <v>1.740557063E9</v>
      </c>
      <c r="W125" s="32" t="n">
        <f>579463843</f>
        <v>5.79463843E8</v>
      </c>
      <c r="X125" s="36" t="n">
        <f>20</f>
        <v>20.0</v>
      </c>
    </row>
    <row r="126">
      <c r="A126" s="27" t="s">
        <v>42</v>
      </c>
      <c r="B126" s="27" t="s">
        <v>427</v>
      </c>
      <c r="C126" s="27" t="s">
        <v>428</v>
      </c>
      <c r="D126" s="27" t="s">
        <v>429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17815</f>
        <v>17815.0</v>
      </c>
      <c r="L126" s="34" t="s">
        <v>48</v>
      </c>
      <c r="M126" s="33" t="n">
        <f>18670</f>
        <v>18670.0</v>
      </c>
      <c r="N126" s="34" t="s">
        <v>49</v>
      </c>
      <c r="O126" s="33" t="n">
        <f>17735</f>
        <v>17735.0</v>
      </c>
      <c r="P126" s="34" t="s">
        <v>90</v>
      </c>
      <c r="Q126" s="33" t="n">
        <f>18310</f>
        <v>18310.0</v>
      </c>
      <c r="R126" s="34" t="s">
        <v>51</v>
      </c>
      <c r="S126" s="35" t="n">
        <f>18167.22</f>
        <v>18167.22</v>
      </c>
      <c r="T126" s="32" t="n">
        <f>75056</f>
        <v>75056.0</v>
      </c>
      <c r="U126" s="32" t="n">
        <f>74226</f>
        <v>74226.0</v>
      </c>
      <c r="V126" s="32" t="n">
        <f>1368425039</f>
        <v>1.368425039E9</v>
      </c>
      <c r="W126" s="32" t="n">
        <f>1353380754</f>
        <v>1.353380754E9</v>
      </c>
      <c r="X126" s="36" t="n">
        <f>18</f>
        <v>18.0</v>
      </c>
    </row>
    <row r="127">
      <c r="A127" s="27" t="s">
        <v>42</v>
      </c>
      <c r="B127" s="27" t="s">
        <v>430</v>
      </c>
      <c r="C127" s="27" t="s">
        <v>431</v>
      </c>
      <c r="D127" s="27" t="s">
        <v>432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100.0</v>
      </c>
      <c r="K127" s="33" t="n">
        <f>168.4</f>
        <v>168.4</v>
      </c>
      <c r="L127" s="34" t="s">
        <v>48</v>
      </c>
      <c r="M127" s="33" t="n">
        <f>185.2</f>
        <v>185.2</v>
      </c>
      <c r="N127" s="34" t="s">
        <v>91</v>
      </c>
      <c r="O127" s="33" t="n">
        <f>167.6</f>
        <v>167.6</v>
      </c>
      <c r="P127" s="34" t="s">
        <v>48</v>
      </c>
      <c r="Q127" s="33" t="n">
        <f>181.2</f>
        <v>181.2</v>
      </c>
      <c r="R127" s="34" t="s">
        <v>51</v>
      </c>
      <c r="S127" s="35" t="n">
        <f>173.76</f>
        <v>173.76</v>
      </c>
      <c r="T127" s="32" t="n">
        <f>33631000</f>
        <v>3.3631E7</v>
      </c>
      <c r="U127" s="32" t="n">
        <f>6800</f>
        <v>6800.0</v>
      </c>
      <c r="V127" s="32" t="n">
        <f>5840061765</f>
        <v>5.840061765E9</v>
      </c>
      <c r="W127" s="32" t="n">
        <f>1211435</f>
        <v>1211435.0</v>
      </c>
      <c r="X127" s="36" t="n">
        <f>20</f>
        <v>20.0</v>
      </c>
    </row>
    <row r="128">
      <c r="A128" s="27" t="s">
        <v>42</v>
      </c>
      <c r="B128" s="27" t="s">
        <v>433</v>
      </c>
      <c r="C128" s="27" t="s">
        <v>434</v>
      </c>
      <c r="D128" s="27" t="s">
        <v>435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29060</f>
        <v>29060.0</v>
      </c>
      <c r="L128" s="34" t="s">
        <v>48</v>
      </c>
      <c r="M128" s="33" t="n">
        <f>30470</f>
        <v>30470.0</v>
      </c>
      <c r="N128" s="34" t="s">
        <v>79</v>
      </c>
      <c r="O128" s="33" t="n">
        <f>28860</f>
        <v>28860.0</v>
      </c>
      <c r="P128" s="34" t="s">
        <v>171</v>
      </c>
      <c r="Q128" s="33" t="n">
        <f>30090</f>
        <v>30090.0</v>
      </c>
      <c r="R128" s="34" t="s">
        <v>51</v>
      </c>
      <c r="S128" s="35" t="n">
        <f>29715.53</f>
        <v>29715.53</v>
      </c>
      <c r="T128" s="32" t="n">
        <f>1096</f>
        <v>1096.0</v>
      </c>
      <c r="U128" s="32" t="str">
        <f>"－"</f>
        <v>－</v>
      </c>
      <c r="V128" s="32" t="n">
        <f>32724340</f>
        <v>3.272434E7</v>
      </c>
      <c r="W128" s="32" t="str">
        <f>"－"</f>
        <v>－</v>
      </c>
      <c r="X128" s="36" t="n">
        <f>19</f>
        <v>19.0</v>
      </c>
    </row>
    <row r="129">
      <c r="A129" s="27" t="s">
        <v>42</v>
      </c>
      <c r="B129" s="27" t="s">
        <v>436</v>
      </c>
      <c r="C129" s="27" t="s">
        <v>437</v>
      </c>
      <c r="D129" s="27" t="s">
        <v>438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13700</f>
        <v>13700.0</v>
      </c>
      <c r="L129" s="34" t="s">
        <v>48</v>
      </c>
      <c r="M129" s="33" t="n">
        <f>14360</f>
        <v>14360.0</v>
      </c>
      <c r="N129" s="34" t="s">
        <v>245</v>
      </c>
      <c r="O129" s="33" t="n">
        <f>13295</f>
        <v>13295.0</v>
      </c>
      <c r="P129" s="34" t="s">
        <v>75</v>
      </c>
      <c r="Q129" s="33" t="n">
        <f>13525</f>
        <v>13525.0</v>
      </c>
      <c r="R129" s="34" t="s">
        <v>51</v>
      </c>
      <c r="S129" s="35" t="n">
        <f>13731.25</f>
        <v>13731.25</v>
      </c>
      <c r="T129" s="32" t="n">
        <f>7367</f>
        <v>7367.0</v>
      </c>
      <c r="U129" s="32" t="n">
        <f>1</f>
        <v>1.0</v>
      </c>
      <c r="V129" s="32" t="n">
        <f>101322190</f>
        <v>1.0132219E8</v>
      </c>
      <c r="W129" s="32" t="n">
        <f>14240</f>
        <v>14240.0</v>
      </c>
      <c r="X129" s="36" t="n">
        <f>20</f>
        <v>20.0</v>
      </c>
    </row>
    <row r="130">
      <c r="A130" s="27" t="s">
        <v>42</v>
      </c>
      <c r="B130" s="27" t="s">
        <v>439</v>
      </c>
      <c r="C130" s="27" t="s">
        <v>440</v>
      </c>
      <c r="D130" s="27" t="s">
        <v>441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21080</f>
        <v>21080.0</v>
      </c>
      <c r="L130" s="34" t="s">
        <v>62</v>
      </c>
      <c r="M130" s="33" t="n">
        <f>21970</f>
        <v>21970.0</v>
      </c>
      <c r="N130" s="34" t="s">
        <v>79</v>
      </c>
      <c r="O130" s="33" t="n">
        <f>20525</f>
        <v>20525.0</v>
      </c>
      <c r="P130" s="34" t="s">
        <v>50</v>
      </c>
      <c r="Q130" s="33" t="n">
        <f>21585</f>
        <v>21585.0</v>
      </c>
      <c r="R130" s="34" t="s">
        <v>51</v>
      </c>
      <c r="S130" s="35" t="n">
        <f>21275.53</f>
        <v>21275.53</v>
      </c>
      <c r="T130" s="32" t="n">
        <f>570</f>
        <v>570.0</v>
      </c>
      <c r="U130" s="32" t="str">
        <f>"－"</f>
        <v>－</v>
      </c>
      <c r="V130" s="32" t="n">
        <f>12206370</f>
        <v>1.220637E7</v>
      </c>
      <c r="W130" s="32" t="str">
        <f>"－"</f>
        <v>－</v>
      </c>
      <c r="X130" s="36" t="n">
        <f>19</f>
        <v>19.0</v>
      </c>
    </row>
    <row r="131">
      <c r="A131" s="27" t="s">
        <v>42</v>
      </c>
      <c r="B131" s="27" t="s">
        <v>442</v>
      </c>
      <c r="C131" s="27" t="s">
        <v>443</v>
      </c>
      <c r="D131" s="27" t="s">
        <v>444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23455</f>
        <v>23455.0</v>
      </c>
      <c r="L131" s="34" t="s">
        <v>48</v>
      </c>
      <c r="M131" s="33" t="n">
        <f>25200</f>
        <v>25200.0</v>
      </c>
      <c r="N131" s="34" t="s">
        <v>79</v>
      </c>
      <c r="O131" s="33" t="n">
        <f>22775</f>
        <v>22775.0</v>
      </c>
      <c r="P131" s="34" t="s">
        <v>50</v>
      </c>
      <c r="Q131" s="33" t="n">
        <f>24800</f>
        <v>24800.0</v>
      </c>
      <c r="R131" s="34" t="s">
        <v>51</v>
      </c>
      <c r="S131" s="35" t="n">
        <f>24291.25</f>
        <v>24291.25</v>
      </c>
      <c r="T131" s="32" t="n">
        <f>2423</f>
        <v>2423.0</v>
      </c>
      <c r="U131" s="32" t="str">
        <f>"－"</f>
        <v>－</v>
      </c>
      <c r="V131" s="32" t="n">
        <f>58497840</f>
        <v>5.849784E7</v>
      </c>
      <c r="W131" s="32" t="str">
        <f>"－"</f>
        <v>－</v>
      </c>
      <c r="X131" s="36" t="n">
        <f>20</f>
        <v>20.0</v>
      </c>
    </row>
    <row r="132">
      <c r="A132" s="27" t="s">
        <v>42</v>
      </c>
      <c r="B132" s="27" t="s">
        <v>445</v>
      </c>
      <c r="C132" s="27" t="s">
        <v>446</v>
      </c>
      <c r="D132" s="27" t="s">
        <v>447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1.0</v>
      </c>
      <c r="K132" s="33" t="n">
        <f>26755</f>
        <v>26755.0</v>
      </c>
      <c r="L132" s="34" t="s">
        <v>48</v>
      </c>
      <c r="M132" s="33" t="n">
        <f>27450</f>
        <v>27450.0</v>
      </c>
      <c r="N132" s="34" t="s">
        <v>49</v>
      </c>
      <c r="O132" s="33" t="n">
        <f>25570</f>
        <v>25570.0</v>
      </c>
      <c r="P132" s="34" t="s">
        <v>71</v>
      </c>
      <c r="Q132" s="33" t="n">
        <f>26750</f>
        <v>26750.0</v>
      </c>
      <c r="R132" s="34" t="s">
        <v>51</v>
      </c>
      <c r="S132" s="35" t="n">
        <f>26439.25</f>
        <v>26439.25</v>
      </c>
      <c r="T132" s="32" t="n">
        <f>3805</f>
        <v>3805.0</v>
      </c>
      <c r="U132" s="32" t="n">
        <f>375</f>
        <v>375.0</v>
      </c>
      <c r="V132" s="32" t="n">
        <f>101117570</f>
        <v>1.0111757E8</v>
      </c>
      <c r="W132" s="32" t="n">
        <f>9997830</f>
        <v>9997830.0</v>
      </c>
      <c r="X132" s="36" t="n">
        <f>20</f>
        <v>20.0</v>
      </c>
    </row>
    <row r="133">
      <c r="A133" s="27" t="s">
        <v>42</v>
      </c>
      <c r="B133" s="27" t="s">
        <v>448</v>
      </c>
      <c r="C133" s="27" t="s">
        <v>449</v>
      </c>
      <c r="D133" s="27" t="s">
        <v>450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1.0</v>
      </c>
      <c r="K133" s="33" t="n">
        <f>23975</f>
        <v>23975.0</v>
      </c>
      <c r="L133" s="34" t="s">
        <v>48</v>
      </c>
      <c r="M133" s="33" t="n">
        <f>24325</f>
        <v>24325.0</v>
      </c>
      <c r="N133" s="34" t="s">
        <v>160</v>
      </c>
      <c r="O133" s="33" t="n">
        <f>23100</f>
        <v>23100.0</v>
      </c>
      <c r="P133" s="34" t="s">
        <v>62</v>
      </c>
      <c r="Q133" s="33" t="n">
        <f>23880</f>
        <v>23880.0</v>
      </c>
      <c r="R133" s="34" t="s">
        <v>51</v>
      </c>
      <c r="S133" s="35" t="n">
        <f>23871.5</f>
        <v>23871.5</v>
      </c>
      <c r="T133" s="32" t="n">
        <f>3644</f>
        <v>3644.0</v>
      </c>
      <c r="U133" s="32" t="str">
        <f>"－"</f>
        <v>－</v>
      </c>
      <c r="V133" s="32" t="n">
        <f>87044955</f>
        <v>8.7044955E7</v>
      </c>
      <c r="W133" s="32" t="str">
        <f>"－"</f>
        <v>－</v>
      </c>
      <c r="X133" s="36" t="n">
        <f>20</f>
        <v>20.0</v>
      </c>
    </row>
    <row r="134">
      <c r="A134" s="27" t="s">
        <v>42</v>
      </c>
      <c r="B134" s="27" t="s">
        <v>451</v>
      </c>
      <c r="C134" s="27" t="s">
        <v>452</v>
      </c>
      <c r="D134" s="27" t="s">
        <v>453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1.0</v>
      </c>
      <c r="K134" s="33" t="n">
        <f>16445</f>
        <v>16445.0</v>
      </c>
      <c r="L134" s="34" t="s">
        <v>48</v>
      </c>
      <c r="M134" s="33" t="n">
        <f>18030</f>
        <v>18030.0</v>
      </c>
      <c r="N134" s="34" t="s">
        <v>160</v>
      </c>
      <c r="O134" s="33" t="n">
        <f>16410</f>
        <v>16410.0</v>
      </c>
      <c r="P134" s="34" t="s">
        <v>48</v>
      </c>
      <c r="Q134" s="33" t="n">
        <f>17700</f>
        <v>17700.0</v>
      </c>
      <c r="R134" s="34" t="s">
        <v>51</v>
      </c>
      <c r="S134" s="35" t="n">
        <f>17424.25</f>
        <v>17424.25</v>
      </c>
      <c r="T134" s="32" t="n">
        <f>5430</f>
        <v>5430.0</v>
      </c>
      <c r="U134" s="32" t="str">
        <f>"－"</f>
        <v>－</v>
      </c>
      <c r="V134" s="32" t="n">
        <f>94549285</f>
        <v>9.4549285E7</v>
      </c>
      <c r="W134" s="32" t="str">
        <f>"－"</f>
        <v>－</v>
      </c>
      <c r="X134" s="36" t="n">
        <f>20</f>
        <v>20.0</v>
      </c>
    </row>
    <row r="135">
      <c r="A135" s="27" t="s">
        <v>42</v>
      </c>
      <c r="B135" s="27" t="s">
        <v>454</v>
      </c>
      <c r="C135" s="27" t="s">
        <v>455</v>
      </c>
      <c r="D135" s="27" t="s">
        <v>456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37910</f>
        <v>37910.0</v>
      </c>
      <c r="L135" s="34" t="s">
        <v>48</v>
      </c>
      <c r="M135" s="33" t="n">
        <f>40090</f>
        <v>40090.0</v>
      </c>
      <c r="N135" s="34" t="s">
        <v>49</v>
      </c>
      <c r="O135" s="33" t="n">
        <f>37300</f>
        <v>37300.0</v>
      </c>
      <c r="P135" s="34" t="s">
        <v>62</v>
      </c>
      <c r="Q135" s="33" t="n">
        <f>39000</f>
        <v>39000.0</v>
      </c>
      <c r="R135" s="34" t="s">
        <v>51</v>
      </c>
      <c r="S135" s="35" t="n">
        <f>38980.5</f>
        <v>38980.5</v>
      </c>
      <c r="T135" s="32" t="n">
        <f>620</f>
        <v>620.0</v>
      </c>
      <c r="U135" s="32" t="str">
        <f>"－"</f>
        <v>－</v>
      </c>
      <c r="V135" s="32" t="n">
        <f>24127920</f>
        <v>2.412792E7</v>
      </c>
      <c r="W135" s="32" t="str">
        <f>"－"</f>
        <v>－</v>
      </c>
      <c r="X135" s="36" t="n">
        <f>20</f>
        <v>20.0</v>
      </c>
    </row>
    <row r="136">
      <c r="A136" s="27" t="s">
        <v>42</v>
      </c>
      <c r="B136" s="27" t="s">
        <v>457</v>
      </c>
      <c r="C136" s="27" t="s">
        <v>458</v>
      </c>
      <c r="D136" s="27" t="s">
        <v>459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26445</f>
        <v>26445.0</v>
      </c>
      <c r="L136" s="34" t="s">
        <v>48</v>
      </c>
      <c r="M136" s="33" t="n">
        <f>28475</f>
        <v>28475.0</v>
      </c>
      <c r="N136" s="34" t="s">
        <v>49</v>
      </c>
      <c r="O136" s="33" t="n">
        <f>25500</f>
        <v>25500.0</v>
      </c>
      <c r="P136" s="34" t="s">
        <v>62</v>
      </c>
      <c r="Q136" s="33" t="n">
        <f>27540</f>
        <v>27540.0</v>
      </c>
      <c r="R136" s="34" t="s">
        <v>51</v>
      </c>
      <c r="S136" s="35" t="n">
        <f>27500.25</f>
        <v>27500.25</v>
      </c>
      <c r="T136" s="32" t="n">
        <f>3829</f>
        <v>3829.0</v>
      </c>
      <c r="U136" s="32" t="str">
        <f>"－"</f>
        <v>－</v>
      </c>
      <c r="V136" s="32" t="n">
        <f>105305305</f>
        <v>1.05305305E8</v>
      </c>
      <c r="W136" s="32" t="str">
        <f>"－"</f>
        <v>－</v>
      </c>
      <c r="X136" s="36" t="n">
        <f>20</f>
        <v>20.0</v>
      </c>
    </row>
    <row r="137">
      <c r="A137" s="27" t="s">
        <v>42</v>
      </c>
      <c r="B137" s="27" t="s">
        <v>460</v>
      </c>
      <c r="C137" s="27" t="s">
        <v>461</v>
      </c>
      <c r="D137" s="27" t="s">
        <v>462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28945</f>
        <v>28945.0</v>
      </c>
      <c r="L137" s="34" t="s">
        <v>48</v>
      </c>
      <c r="M137" s="33" t="n">
        <f>29100</f>
        <v>29100.0</v>
      </c>
      <c r="N137" s="34" t="s">
        <v>62</v>
      </c>
      <c r="O137" s="33" t="n">
        <f>28065</f>
        <v>28065.0</v>
      </c>
      <c r="P137" s="34" t="s">
        <v>172</v>
      </c>
      <c r="Q137" s="33" t="n">
        <f>28280</f>
        <v>28280.0</v>
      </c>
      <c r="R137" s="34" t="s">
        <v>51</v>
      </c>
      <c r="S137" s="35" t="n">
        <f>28548.5</f>
        <v>28548.5</v>
      </c>
      <c r="T137" s="32" t="n">
        <f>852</f>
        <v>852.0</v>
      </c>
      <c r="U137" s="32" t="str">
        <f>"－"</f>
        <v>－</v>
      </c>
      <c r="V137" s="32" t="n">
        <f>24365860</f>
        <v>2.436586E7</v>
      </c>
      <c r="W137" s="32" t="str">
        <f>"－"</f>
        <v>－</v>
      </c>
      <c r="X137" s="36" t="n">
        <f>20</f>
        <v>20.0</v>
      </c>
    </row>
    <row r="138">
      <c r="A138" s="27" t="s">
        <v>42</v>
      </c>
      <c r="B138" s="27" t="s">
        <v>463</v>
      </c>
      <c r="C138" s="27" t="s">
        <v>464</v>
      </c>
      <c r="D138" s="27" t="s">
        <v>465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5973</f>
        <v>5973.0</v>
      </c>
      <c r="L138" s="34" t="s">
        <v>48</v>
      </c>
      <c r="M138" s="33" t="n">
        <f>6210</f>
        <v>6210.0</v>
      </c>
      <c r="N138" s="34" t="s">
        <v>79</v>
      </c>
      <c r="O138" s="33" t="n">
        <f>5698</f>
        <v>5698.0</v>
      </c>
      <c r="P138" s="34" t="s">
        <v>61</v>
      </c>
      <c r="Q138" s="33" t="n">
        <f>5983</f>
        <v>5983.0</v>
      </c>
      <c r="R138" s="34" t="s">
        <v>51</v>
      </c>
      <c r="S138" s="35" t="n">
        <f>5900.3</f>
        <v>5900.3</v>
      </c>
      <c r="T138" s="32" t="n">
        <f>25908</f>
        <v>25908.0</v>
      </c>
      <c r="U138" s="32" t="str">
        <f>"－"</f>
        <v>－</v>
      </c>
      <c r="V138" s="32" t="n">
        <f>153565607</f>
        <v>1.53565607E8</v>
      </c>
      <c r="W138" s="32" t="str">
        <f>"－"</f>
        <v>－</v>
      </c>
      <c r="X138" s="36" t="n">
        <f>20</f>
        <v>20.0</v>
      </c>
    </row>
    <row r="139">
      <c r="A139" s="27" t="s">
        <v>42</v>
      </c>
      <c r="B139" s="27" t="s">
        <v>466</v>
      </c>
      <c r="C139" s="27" t="s">
        <v>467</v>
      </c>
      <c r="D139" s="27" t="s">
        <v>468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16235</f>
        <v>16235.0</v>
      </c>
      <c r="L139" s="34" t="s">
        <v>48</v>
      </c>
      <c r="M139" s="33" t="n">
        <f>16570</f>
        <v>16570.0</v>
      </c>
      <c r="N139" s="34" t="s">
        <v>51</v>
      </c>
      <c r="O139" s="33" t="n">
        <f>15600</f>
        <v>15600.0</v>
      </c>
      <c r="P139" s="34" t="s">
        <v>61</v>
      </c>
      <c r="Q139" s="33" t="n">
        <f>16470</f>
        <v>16470.0</v>
      </c>
      <c r="R139" s="34" t="s">
        <v>51</v>
      </c>
      <c r="S139" s="35" t="n">
        <f>16119</f>
        <v>16119.0</v>
      </c>
      <c r="T139" s="32" t="n">
        <f>16994</f>
        <v>16994.0</v>
      </c>
      <c r="U139" s="32" t="str">
        <f>"－"</f>
        <v>－</v>
      </c>
      <c r="V139" s="32" t="n">
        <f>273023210</f>
        <v>2.7302321E8</v>
      </c>
      <c r="W139" s="32" t="str">
        <f>"－"</f>
        <v>－</v>
      </c>
      <c r="X139" s="36" t="n">
        <f>20</f>
        <v>20.0</v>
      </c>
    </row>
    <row r="140">
      <c r="A140" s="27" t="s">
        <v>42</v>
      </c>
      <c r="B140" s="27" t="s">
        <v>469</v>
      </c>
      <c r="C140" s="27" t="s">
        <v>470</v>
      </c>
      <c r="D140" s="27" t="s">
        <v>471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46710</f>
        <v>46710.0</v>
      </c>
      <c r="L140" s="34" t="s">
        <v>48</v>
      </c>
      <c r="M140" s="33" t="n">
        <f>52890</f>
        <v>52890.0</v>
      </c>
      <c r="N140" s="34" t="s">
        <v>49</v>
      </c>
      <c r="O140" s="33" t="n">
        <f>46700</f>
        <v>46700.0</v>
      </c>
      <c r="P140" s="34" t="s">
        <v>48</v>
      </c>
      <c r="Q140" s="33" t="n">
        <f>51680</f>
        <v>51680.0</v>
      </c>
      <c r="R140" s="34" t="s">
        <v>51</v>
      </c>
      <c r="S140" s="35" t="n">
        <f>50275.5</f>
        <v>50275.5</v>
      </c>
      <c r="T140" s="32" t="n">
        <f>12594</f>
        <v>12594.0</v>
      </c>
      <c r="U140" s="32" t="str">
        <f>"－"</f>
        <v>－</v>
      </c>
      <c r="V140" s="32" t="n">
        <f>622825180</f>
        <v>6.2282518E8</v>
      </c>
      <c r="W140" s="32" t="str">
        <f>"－"</f>
        <v>－</v>
      </c>
      <c r="X140" s="36" t="n">
        <f>20</f>
        <v>20.0</v>
      </c>
    </row>
    <row r="141">
      <c r="A141" s="27" t="s">
        <v>42</v>
      </c>
      <c r="B141" s="27" t="s">
        <v>472</v>
      </c>
      <c r="C141" s="27" t="s">
        <v>473</v>
      </c>
      <c r="D141" s="27" t="s">
        <v>474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22505</f>
        <v>22505.0</v>
      </c>
      <c r="L141" s="34" t="s">
        <v>48</v>
      </c>
      <c r="M141" s="33" t="n">
        <f>23275</f>
        <v>23275.0</v>
      </c>
      <c r="N141" s="34" t="s">
        <v>79</v>
      </c>
      <c r="O141" s="33" t="n">
        <f>22180</f>
        <v>22180.0</v>
      </c>
      <c r="P141" s="34" t="s">
        <v>50</v>
      </c>
      <c r="Q141" s="33" t="n">
        <f>22855</f>
        <v>22855.0</v>
      </c>
      <c r="R141" s="34" t="s">
        <v>51</v>
      </c>
      <c r="S141" s="35" t="n">
        <f>22679.5</f>
        <v>22679.5</v>
      </c>
      <c r="T141" s="32" t="n">
        <f>609</f>
        <v>609.0</v>
      </c>
      <c r="U141" s="32" t="str">
        <f>"－"</f>
        <v>－</v>
      </c>
      <c r="V141" s="32" t="n">
        <f>13847195</f>
        <v>1.3847195E7</v>
      </c>
      <c r="W141" s="32" t="str">
        <f>"－"</f>
        <v>－</v>
      </c>
      <c r="X141" s="36" t="n">
        <f>20</f>
        <v>20.0</v>
      </c>
    </row>
    <row r="142">
      <c r="A142" s="27" t="s">
        <v>42</v>
      </c>
      <c r="B142" s="27" t="s">
        <v>475</v>
      </c>
      <c r="C142" s="27" t="s">
        <v>476</v>
      </c>
      <c r="D142" s="27" t="s">
        <v>477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8636</f>
        <v>8636.0</v>
      </c>
      <c r="L142" s="34" t="s">
        <v>48</v>
      </c>
      <c r="M142" s="33" t="n">
        <f>9571</f>
        <v>9571.0</v>
      </c>
      <c r="N142" s="34" t="s">
        <v>91</v>
      </c>
      <c r="O142" s="33" t="n">
        <f>8636</f>
        <v>8636.0</v>
      </c>
      <c r="P142" s="34" t="s">
        <v>48</v>
      </c>
      <c r="Q142" s="33" t="n">
        <f>9373</f>
        <v>9373.0</v>
      </c>
      <c r="R142" s="34" t="s">
        <v>51</v>
      </c>
      <c r="S142" s="35" t="n">
        <f>8978.75</f>
        <v>8978.75</v>
      </c>
      <c r="T142" s="32" t="n">
        <f>18052</f>
        <v>18052.0</v>
      </c>
      <c r="U142" s="32" t="str">
        <f>"－"</f>
        <v>－</v>
      </c>
      <c r="V142" s="32" t="n">
        <f>164316202</f>
        <v>1.64316202E8</v>
      </c>
      <c r="W142" s="32" t="str">
        <f>"－"</f>
        <v>－</v>
      </c>
      <c r="X142" s="36" t="n">
        <f>20</f>
        <v>20.0</v>
      </c>
    </row>
    <row r="143">
      <c r="A143" s="27" t="s">
        <v>42</v>
      </c>
      <c r="B143" s="27" t="s">
        <v>478</v>
      </c>
      <c r="C143" s="27" t="s">
        <v>479</v>
      </c>
      <c r="D143" s="27" t="s">
        <v>480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14880</f>
        <v>14880.0</v>
      </c>
      <c r="L143" s="34" t="s">
        <v>48</v>
      </c>
      <c r="M143" s="33" t="n">
        <f>15600</f>
        <v>15600.0</v>
      </c>
      <c r="N143" s="34" t="s">
        <v>91</v>
      </c>
      <c r="O143" s="33" t="n">
        <f>14575</f>
        <v>14575.0</v>
      </c>
      <c r="P143" s="34" t="s">
        <v>171</v>
      </c>
      <c r="Q143" s="33" t="n">
        <f>15370</f>
        <v>15370.0</v>
      </c>
      <c r="R143" s="34" t="s">
        <v>51</v>
      </c>
      <c r="S143" s="35" t="n">
        <f>15041</f>
        <v>15041.0</v>
      </c>
      <c r="T143" s="32" t="n">
        <f>1195</f>
        <v>1195.0</v>
      </c>
      <c r="U143" s="32" t="str">
        <f>"－"</f>
        <v>－</v>
      </c>
      <c r="V143" s="32" t="n">
        <f>18142575</f>
        <v>1.8142575E7</v>
      </c>
      <c r="W143" s="32" t="str">
        <f>"－"</f>
        <v>－</v>
      </c>
      <c r="X143" s="36" t="n">
        <f>20</f>
        <v>20.0</v>
      </c>
    </row>
    <row r="144">
      <c r="A144" s="27" t="s">
        <v>42</v>
      </c>
      <c r="B144" s="27" t="s">
        <v>481</v>
      </c>
      <c r="C144" s="27" t="s">
        <v>482</v>
      </c>
      <c r="D144" s="27" t="s">
        <v>483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30980</f>
        <v>30980.0</v>
      </c>
      <c r="L144" s="34" t="s">
        <v>48</v>
      </c>
      <c r="M144" s="33" t="n">
        <f>31720</f>
        <v>31720.0</v>
      </c>
      <c r="N144" s="34" t="s">
        <v>79</v>
      </c>
      <c r="O144" s="33" t="n">
        <f>30130</f>
        <v>30130.0</v>
      </c>
      <c r="P144" s="34" t="s">
        <v>50</v>
      </c>
      <c r="Q144" s="33" t="n">
        <f>31160</f>
        <v>31160.0</v>
      </c>
      <c r="R144" s="34" t="s">
        <v>51</v>
      </c>
      <c r="S144" s="35" t="n">
        <f>30895.79</f>
        <v>30895.79</v>
      </c>
      <c r="T144" s="32" t="n">
        <f>727</f>
        <v>727.0</v>
      </c>
      <c r="U144" s="32" t="str">
        <f>"－"</f>
        <v>－</v>
      </c>
      <c r="V144" s="32" t="n">
        <f>22488130</f>
        <v>2.248813E7</v>
      </c>
      <c r="W144" s="32" t="str">
        <f>"－"</f>
        <v>－</v>
      </c>
      <c r="X144" s="36" t="n">
        <f>19</f>
        <v>19.0</v>
      </c>
    </row>
    <row r="145">
      <c r="A145" s="27" t="s">
        <v>42</v>
      </c>
      <c r="B145" s="27" t="s">
        <v>484</v>
      </c>
      <c r="C145" s="27" t="s">
        <v>485</v>
      </c>
      <c r="D145" s="27" t="s">
        <v>486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1251</f>
        <v>1251.0</v>
      </c>
      <c r="L145" s="34" t="s">
        <v>48</v>
      </c>
      <c r="M145" s="33" t="n">
        <f>1299.5</f>
        <v>1299.5</v>
      </c>
      <c r="N145" s="34" t="s">
        <v>91</v>
      </c>
      <c r="O145" s="33" t="n">
        <f>1240</f>
        <v>1240.0</v>
      </c>
      <c r="P145" s="34" t="s">
        <v>61</v>
      </c>
      <c r="Q145" s="33" t="n">
        <f>1279.5</f>
        <v>1279.5</v>
      </c>
      <c r="R145" s="34" t="s">
        <v>51</v>
      </c>
      <c r="S145" s="35" t="n">
        <f>1265.23</f>
        <v>1265.23</v>
      </c>
      <c r="T145" s="32" t="n">
        <f>1015330</f>
        <v>1015330.0</v>
      </c>
      <c r="U145" s="32" t="n">
        <f>90</f>
        <v>90.0</v>
      </c>
      <c r="V145" s="32" t="n">
        <f>1276995390</f>
        <v>1.27699539E9</v>
      </c>
      <c r="W145" s="32" t="n">
        <f>113085</f>
        <v>113085.0</v>
      </c>
      <c r="X145" s="36" t="n">
        <f>20</f>
        <v>20.0</v>
      </c>
    </row>
    <row r="146">
      <c r="A146" s="27" t="s">
        <v>42</v>
      </c>
      <c r="B146" s="27" t="s">
        <v>487</v>
      </c>
      <c r="C146" s="27" t="s">
        <v>488</v>
      </c>
      <c r="D146" s="27" t="s">
        <v>489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2279.5</f>
        <v>2279.5</v>
      </c>
      <c r="L146" s="34" t="s">
        <v>50</v>
      </c>
      <c r="M146" s="33" t="n">
        <f>2369</f>
        <v>2369.0</v>
      </c>
      <c r="N146" s="34" t="s">
        <v>80</v>
      </c>
      <c r="O146" s="33" t="n">
        <f>2279.5</f>
        <v>2279.5</v>
      </c>
      <c r="P146" s="34" t="s">
        <v>50</v>
      </c>
      <c r="Q146" s="33" t="n">
        <f>2351</f>
        <v>2351.0</v>
      </c>
      <c r="R146" s="34" t="s">
        <v>51</v>
      </c>
      <c r="S146" s="35" t="n">
        <f>2332.06</f>
        <v>2332.06</v>
      </c>
      <c r="T146" s="32" t="n">
        <f>2580</f>
        <v>2580.0</v>
      </c>
      <c r="U146" s="32" t="str">
        <f>"－"</f>
        <v>－</v>
      </c>
      <c r="V146" s="32" t="n">
        <f>6061300</f>
        <v>6061300.0</v>
      </c>
      <c r="W146" s="32" t="str">
        <f>"－"</f>
        <v>－</v>
      </c>
      <c r="X146" s="36" t="n">
        <f>8</f>
        <v>8.0</v>
      </c>
    </row>
    <row r="147">
      <c r="A147" s="27" t="s">
        <v>42</v>
      </c>
      <c r="B147" s="27" t="s">
        <v>490</v>
      </c>
      <c r="C147" s="27" t="s">
        <v>491</v>
      </c>
      <c r="D147" s="27" t="s">
        <v>492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2470.5</f>
        <v>2470.5</v>
      </c>
      <c r="L147" s="34" t="s">
        <v>48</v>
      </c>
      <c r="M147" s="33" t="n">
        <f>2572</f>
        <v>2572.0</v>
      </c>
      <c r="N147" s="34" t="s">
        <v>79</v>
      </c>
      <c r="O147" s="33" t="n">
        <f>2466.5</f>
        <v>2466.5</v>
      </c>
      <c r="P147" s="34" t="s">
        <v>101</v>
      </c>
      <c r="Q147" s="33" t="n">
        <f>2525</f>
        <v>2525.0</v>
      </c>
      <c r="R147" s="34" t="s">
        <v>51</v>
      </c>
      <c r="S147" s="35" t="n">
        <f>2518.11</f>
        <v>2518.11</v>
      </c>
      <c r="T147" s="32" t="n">
        <f>8500</f>
        <v>8500.0</v>
      </c>
      <c r="U147" s="32" t="n">
        <f>4050</f>
        <v>4050.0</v>
      </c>
      <c r="V147" s="32" t="n">
        <f>21347835</f>
        <v>2.1347835E7</v>
      </c>
      <c r="W147" s="32" t="n">
        <f>9987300</f>
        <v>9987300.0</v>
      </c>
      <c r="X147" s="36" t="n">
        <f>18</f>
        <v>18.0</v>
      </c>
    </row>
    <row r="148">
      <c r="A148" s="27" t="s">
        <v>42</v>
      </c>
      <c r="B148" s="27" t="s">
        <v>493</v>
      </c>
      <c r="C148" s="27" t="s">
        <v>494</v>
      </c>
      <c r="D148" s="27" t="s">
        <v>495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1532</f>
        <v>1532.0</v>
      </c>
      <c r="L148" s="34" t="s">
        <v>48</v>
      </c>
      <c r="M148" s="33" t="n">
        <f>1599</f>
        <v>1599.0</v>
      </c>
      <c r="N148" s="34" t="s">
        <v>49</v>
      </c>
      <c r="O148" s="33" t="n">
        <f>1532</f>
        <v>1532.0</v>
      </c>
      <c r="P148" s="34" t="s">
        <v>48</v>
      </c>
      <c r="Q148" s="33" t="n">
        <f>1573</f>
        <v>1573.0</v>
      </c>
      <c r="R148" s="34" t="s">
        <v>51</v>
      </c>
      <c r="S148" s="35" t="n">
        <f>1563.55</f>
        <v>1563.55</v>
      </c>
      <c r="T148" s="32" t="n">
        <f>9370</f>
        <v>9370.0</v>
      </c>
      <c r="U148" s="32" t="str">
        <f>"－"</f>
        <v>－</v>
      </c>
      <c r="V148" s="32" t="n">
        <f>14659015</f>
        <v>1.4659015E7</v>
      </c>
      <c r="W148" s="32" t="str">
        <f>"－"</f>
        <v>－</v>
      </c>
      <c r="X148" s="36" t="n">
        <f>11</f>
        <v>11.0</v>
      </c>
    </row>
    <row r="149">
      <c r="A149" s="27" t="s">
        <v>42</v>
      </c>
      <c r="B149" s="27" t="s">
        <v>496</v>
      </c>
      <c r="C149" s="27" t="s">
        <v>497</v>
      </c>
      <c r="D149" s="27" t="s">
        <v>498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415.1</f>
        <v>415.1</v>
      </c>
      <c r="L149" s="34" t="s">
        <v>48</v>
      </c>
      <c r="M149" s="33" t="n">
        <f>415.8</f>
        <v>415.8</v>
      </c>
      <c r="N149" s="34" t="s">
        <v>48</v>
      </c>
      <c r="O149" s="33" t="n">
        <f>394.8</f>
        <v>394.8</v>
      </c>
      <c r="P149" s="34" t="s">
        <v>101</v>
      </c>
      <c r="Q149" s="33" t="n">
        <f>395.5</f>
        <v>395.5</v>
      </c>
      <c r="R149" s="34" t="s">
        <v>51</v>
      </c>
      <c r="S149" s="35" t="n">
        <f>401.51</f>
        <v>401.51</v>
      </c>
      <c r="T149" s="32" t="n">
        <f>56690520</f>
        <v>5.669052E7</v>
      </c>
      <c r="U149" s="32" t="n">
        <f>5593070</f>
        <v>5593070.0</v>
      </c>
      <c r="V149" s="32" t="n">
        <f>22791453746</f>
        <v>2.2791453746E10</v>
      </c>
      <c r="W149" s="32" t="n">
        <f>2250232612</f>
        <v>2.250232612E9</v>
      </c>
      <c r="X149" s="36" t="n">
        <f>20</f>
        <v>20.0</v>
      </c>
    </row>
    <row r="150">
      <c r="A150" s="27" t="s">
        <v>42</v>
      </c>
      <c r="B150" s="27" t="s">
        <v>499</v>
      </c>
      <c r="C150" s="27" t="s">
        <v>500</v>
      </c>
      <c r="D150" s="27" t="s">
        <v>501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288.9</f>
        <v>288.9</v>
      </c>
      <c r="L150" s="34" t="s">
        <v>48</v>
      </c>
      <c r="M150" s="33" t="n">
        <f>289.8</f>
        <v>289.8</v>
      </c>
      <c r="N150" s="34" t="s">
        <v>48</v>
      </c>
      <c r="O150" s="33" t="n">
        <f>274.3</f>
        <v>274.3</v>
      </c>
      <c r="P150" s="34" t="s">
        <v>71</v>
      </c>
      <c r="Q150" s="33" t="n">
        <f>277.1</f>
        <v>277.1</v>
      </c>
      <c r="R150" s="34" t="s">
        <v>51</v>
      </c>
      <c r="S150" s="35" t="n">
        <f>280.94</f>
        <v>280.94</v>
      </c>
      <c r="T150" s="32" t="n">
        <f>8229040</f>
        <v>8229040.0</v>
      </c>
      <c r="U150" s="32" t="n">
        <f>6342920</f>
        <v>6342920.0</v>
      </c>
      <c r="V150" s="32" t="n">
        <f>2318484035</f>
        <v>2.318484035E9</v>
      </c>
      <c r="W150" s="32" t="n">
        <f>1784113635</f>
        <v>1.784113635E9</v>
      </c>
      <c r="X150" s="36" t="n">
        <f>20</f>
        <v>20.0</v>
      </c>
    </row>
    <row r="151">
      <c r="A151" s="27" t="s">
        <v>42</v>
      </c>
      <c r="B151" s="27" t="s">
        <v>502</v>
      </c>
      <c r="C151" s="27" t="s">
        <v>503</v>
      </c>
      <c r="D151" s="27" t="s">
        <v>504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3540</f>
        <v>3540.0</v>
      </c>
      <c r="L151" s="34" t="s">
        <v>48</v>
      </c>
      <c r="M151" s="33" t="n">
        <f>3545</f>
        <v>3545.0</v>
      </c>
      <c r="N151" s="34" t="s">
        <v>48</v>
      </c>
      <c r="O151" s="33" t="n">
        <f>3390</f>
        <v>3390.0</v>
      </c>
      <c r="P151" s="34" t="s">
        <v>50</v>
      </c>
      <c r="Q151" s="33" t="n">
        <f>3445</f>
        <v>3445.0</v>
      </c>
      <c r="R151" s="34" t="s">
        <v>51</v>
      </c>
      <c r="S151" s="35" t="n">
        <f>3470.75</f>
        <v>3470.75</v>
      </c>
      <c r="T151" s="32" t="n">
        <f>50740</f>
        <v>50740.0</v>
      </c>
      <c r="U151" s="32" t="n">
        <f>3220</f>
        <v>3220.0</v>
      </c>
      <c r="V151" s="32" t="n">
        <f>175482457</f>
        <v>1.75482457E8</v>
      </c>
      <c r="W151" s="32" t="n">
        <f>11059637</f>
        <v>1.1059637E7</v>
      </c>
      <c r="X151" s="36" t="n">
        <f>20</f>
        <v>20.0</v>
      </c>
    </row>
    <row r="152">
      <c r="A152" s="27" t="s">
        <v>42</v>
      </c>
      <c r="B152" s="27" t="s">
        <v>505</v>
      </c>
      <c r="C152" s="27" t="s">
        <v>506</v>
      </c>
      <c r="D152" s="27" t="s">
        <v>507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2100</f>
        <v>2100.0</v>
      </c>
      <c r="L152" s="34" t="s">
        <v>48</v>
      </c>
      <c r="M152" s="33" t="n">
        <f>2241</f>
        <v>2241.0</v>
      </c>
      <c r="N152" s="34" t="s">
        <v>61</v>
      </c>
      <c r="O152" s="33" t="n">
        <f>2098</f>
        <v>2098.0</v>
      </c>
      <c r="P152" s="34" t="s">
        <v>48</v>
      </c>
      <c r="Q152" s="33" t="n">
        <f>2211</f>
        <v>2211.0</v>
      </c>
      <c r="R152" s="34" t="s">
        <v>51</v>
      </c>
      <c r="S152" s="35" t="n">
        <f>2191.35</f>
        <v>2191.35</v>
      </c>
      <c r="T152" s="32" t="n">
        <f>332934</f>
        <v>332934.0</v>
      </c>
      <c r="U152" s="32" t="n">
        <f>4</f>
        <v>4.0</v>
      </c>
      <c r="V152" s="32" t="n">
        <f>728050415</f>
        <v>7.28050415E8</v>
      </c>
      <c r="W152" s="32" t="n">
        <f>8800</f>
        <v>8800.0</v>
      </c>
      <c r="X152" s="36" t="n">
        <f>20</f>
        <v>20.0</v>
      </c>
    </row>
    <row r="153">
      <c r="A153" s="27" t="s">
        <v>42</v>
      </c>
      <c r="B153" s="27" t="s">
        <v>508</v>
      </c>
      <c r="C153" s="27" t="s">
        <v>509</v>
      </c>
      <c r="D153" s="27" t="s">
        <v>510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2763</f>
        <v>2763.0</v>
      </c>
      <c r="L153" s="34" t="s">
        <v>48</v>
      </c>
      <c r="M153" s="33" t="n">
        <f>2782</f>
        <v>2782.0</v>
      </c>
      <c r="N153" s="34" t="s">
        <v>48</v>
      </c>
      <c r="O153" s="33" t="n">
        <f>2595</f>
        <v>2595.0</v>
      </c>
      <c r="P153" s="34" t="s">
        <v>80</v>
      </c>
      <c r="Q153" s="33" t="n">
        <f>2642</f>
        <v>2642.0</v>
      </c>
      <c r="R153" s="34" t="s">
        <v>51</v>
      </c>
      <c r="S153" s="35" t="n">
        <f>2668.45</f>
        <v>2668.45</v>
      </c>
      <c r="T153" s="32" t="n">
        <f>121592</f>
        <v>121592.0</v>
      </c>
      <c r="U153" s="32" t="str">
        <f>"－"</f>
        <v>－</v>
      </c>
      <c r="V153" s="32" t="n">
        <f>324905400</f>
        <v>3.249054E8</v>
      </c>
      <c r="W153" s="32" t="str">
        <f>"－"</f>
        <v>－</v>
      </c>
      <c r="X153" s="36" t="n">
        <f>20</f>
        <v>20.0</v>
      </c>
    </row>
    <row r="154">
      <c r="A154" s="27" t="s">
        <v>42</v>
      </c>
      <c r="B154" s="27" t="s">
        <v>511</v>
      </c>
      <c r="C154" s="27" t="s">
        <v>512</v>
      </c>
      <c r="D154" s="27" t="s">
        <v>513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11275</f>
        <v>11275.0</v>
      </c>
      <c r="L154" s="34" t="s">
        <v>48</v>
      </c>
      <c r="M154" s="33" t="n">
        <f>11410</f>
        <v>11410.0</v>
      </c>
      <c r="N154" s="34" t="s">
        <v>62</v>
      </c>
      <c r="O154" s="33" t="n">
        <f>10920</f>
        <v>10920.0</v>
      </c>
      <c r="P154" s="34" t="s">
        <v>50</v>
      </c>
      <c r="Q154" s="33" t="n">
        <f>11225</f>
        <v>11225.0</v>
      </c>
      <c r="R154" s="34" t="s">
        <v>51</v>
      </c>
      <c r="S154" s="35" t="n">
        <f>11147.75</f>
        <v>11147.75</v>
      </c>
      <c r="T154" s="32" t="n">
        <f>13044</f>
        <v>13044.0</v>
      </c>
      <c r="U154" s="32" t="str">
        <f>"－"</f>
        <v>－</v>
      </c>
      <c r="V154" s="32" t="n">
        <f>145448880</f>
        <v>1.4544888E8</v>
      </c>
      <c r="W154" s="32" t="str">
        <f>"－"</f>
        <v>－</v>
      </c>
      <c r="X154" s="36" t="n">
        <f>20</f>
        <v>20.0</v>
      </c>
    </row>
    <row r="155">
      <c r="A155" s="27" t="s">
        <v>42</v>
      </c>
      <c r="B155" s="27" t="s">
        <v>514</v>
      </c>
      <c r="C155" s="27" t="s">
        <v>515</v>
      </c>
      <c r="D155" s="27" t="s">
        <v>516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3025</f>
        <v>3025.0</v>
      </c>
      <c r="L155" s="34" t="s">
        <v>48</v>
      </c>
      <c r="M155" s="33" t="n">
        <f>3195</f>
        <v>3195.0</v>
      </c>
      <c r="N155" s="34" t="s">
        <v>245</v>
      </c>
      <c r="O155" s="33" t="n">
        <f>2460</f>
        <v>2460.0</v>
      </c>
      <c r="P155" s="34" t="s">
        <v>91</v>
      </c>
      <c r="Q155" s="33" t="n">
        <f>2610</f>
        <v>2610.0</v>
      </c>
      <c r="R155" s="34" t="s">
        <v>51</v>
      </c>
      <c r="S155" s="35" t="n">
        <f>2857.45</f>
        <v>2857.45</v>
      </c>
      <c r="T155" s="32" t="n">
        <f>9336271</f>
        <v>9336271.0</v>
      </c>
      <c r="U155" s="32" t="n">
        <f>6493</f>
        <v>6493.0</v>
      </c>
      <c r="V155" s="32" t="n">
        <f>26117705346</f>
        <v>2.6117705346E10</v>
      </c>
      <c r="W155" s="32" t="n">
        <f>19893810</f>
        <v>1.989381E7</v>
      </c>
      <c r="X155" s="36" t="n">
        <f>20</f>
        <v>20.0</v>
      </c>
    </row>
    <row r="156">
      <c r="A156" s="27" t="s">
        <v>42</v>
      </c>
      <c r="B156" s="27" t="s">
        <v>517</v>
      </c>
      <c r="C156" s="27" t="s">
        <v>518</v>
      </c>
      <c r="D156" s="27" t="s">
        <v>519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1.0</v>
      </c>
      <c r="K156" s="33" t="n">
        <f>22875</f>
        <v>22875.0</v>
      </c>
      <c r="L156" s="34" t="s">
        <v>48</v>
      </c>
      <c r="M156" s="33" t="n">
        <f>23630</f>
        <v>23630.0</v>
      </c>
      <c r="N156" s="34" t="s">
        <v>70</v>
      </c>
      <c r="O156" s="33" t="n">
        <f>22730</f>
        <v>22730.0</v>
      </c>
      <c r="P156" s="34" t="s">
        <v>50</v>
      </c>
      <c r="Q156" s="33" t="n">
        <f>22935</f>
        <v>22935.0</v>
      </c>
      <c r="R156" s="34" t="s">
        <v>51</v>
      </c>
      <c r="S156" s="35" t="n">
        <f>23119.25</f>
        <v>23119.25</v>
      </c>
      <c r="T156" s="32" t="n">
        <f>2937</f>
        <v>2937.0</v>
      </c>
      <c r="U156" s="32" t="str">
        <f>"－"</f>
        <v>－</v>
      </c>
      <c r="V156" s="32" t="n">
        <f>67844065</f>
        <v>6.7844065E7</v>
      </c>
      <c r="W156" s="32" t="str">
        <f>"－"</f>
        <v>－</v>
      </c>
      <c r="X156" s="36" t="n">
        <f>20</f>
        <v>20.0</v>
      </c>
    </row>
    <row r="157">
      <c r="A157" s="27" t="s">
        <v>42</v>
      </c>
      <c r="B157" s="27" t="s">
        <v>520</v>
      </c>
      <c r="C157" s="27" t="s">
        <v>521</v>
      </c>
      <c r="D157" s="27" t="s">
        <v>522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2655</f>
        <v>2655.0</v>
      </c>
      <c r="L157" s="34" t="s">
        <v>48</v>
      </c>
      <c r="M157" s="33" t="n">
        <f>2885</f>
        <v>2885.0</v>
      </c>
      <c r="N157" s="34" t="s">
        <v>170</v>
      </c>
      <c r="O157" s="33" t="n">
        <f>2651.5</f>
        <v>2651.5</v>
      </c>
      <c r="P157" s="34" t="s">
        <v>48</v>
      </c>
      <c r="Q157" s="33" t="n">
        <f>2746</f>
        <v>2746.0</v>
      </c>
      <c r="R157" s="34" t="s">
        <v>51</v>
      </c>
      <c r="S157" s="35" t="n">
        <f>2768.55</f>
        <v>2768.55</v>
      </c>
      <c r="T157" s="32" t="n">
        <f>29780</f>
        <v>29780.0</v>
      </c>
      <c r="U157" s="32" t="str">
        <f>"－"</f>
        <v>－</v>
      </c>
      <c r="V157" s="32" t="n">
        <f>82942220</f>
        <v>8.294222E7</v>
      </c>
      <c r="W157" s="32" t="str">
        <f>"－"</f>
        <v>－</v>
      </c>
      <c r="X157" s="36" t="n">
        <f>20</f>
        <v>20.0</v>
      </c>
    </row>
    <row r="158">
      <c r="A158" s="27" t="s">
        <v>42</v>
      </c>
      <c r="B158" s="27" t="s">
        <v>523</v>
      </c>
      <c r="C158" s="27" t="s">
        <v>524</v>
      </c>
      <c r="D158" s="27" t="s">
        <v>525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1.0</v>
      </c>
      <c r="K158" s="33" t="n">
        <f>12920</f>
        <v>12920.0</v>
      </c>
      <c r="L158" s="34" t="s">
        <v>48</v>
      </c>
      <c r="M158" s="33" t="n">
        <f>13705</f>
        <v>13705.0</v>
      </c>
      <c r="N158" s="34" t="s">
        <v>70</v>
      </c>
      <c r="O158" s="33" t="n">
        <f>12510</f>
        <v>12510.0</v>
      </c>
      <c r="P158" s="34" t="s">
        <v>91</v>
      </c>
      <c r="Q158" s="33" t="n">
        <f>12890</f>
        <v>12890.0</v>
      </c>
      <c r="R158" s="34" t="s">
        <v>51</v>
      </c>
      <c r="S158" s="35" t="n">
        <f>13015.53</f>
        <v>13015.53</v>
      </c>
      <c r="T158" s="32" t="n">
        <f>3116</f>
        <v>3116.0</v>
      </c>
      <c r="U158" s="32" t="str">
        <f>"－"</f>
        <v>－</v>
      </c>
      <c r="V158" s="32" t="n">
        <f>40834865</f>
        <v>4.0834865E7</v>
      </c>
      <c r="W158" s="32" t="str">
        <f>"－"</f>
        <v>－</v>
      </c>
      <c r="X158" s="36" t="n">
        <f>19</f>
        <v>19.0</v>
      </c>
    </row>
    <row r="159">
      <c r="A159" s="27" t="s">
        <v>42</v>
      </c>
      <c r="B159" s="27" t="s">
        <v>526</v>
      </c>
      <c r="C159" s="27" t="s">
        <v>527</v>
      </c>
      <c r="D159" s="27" t="s">
        <v>528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25705</f>
        <v>25705.0</v>
      </c>
      <c r="L159" s="34" t="s">
        <v>48</v>
      </c>
      <c r="M159" s="33" t="n">
        <f>27000</f>
        <v>27000.0</v>
      </c>
      <c r="N159" s="34" t="s">
        <v>61</v>
      </c>
      <c r="O159" s="33" t="n">
        <f>23630</f>
        <v>23630.0</v>
      </c>
      <c r="P159" s="34" t="s">
        <v>91</v>
      </c>
      <c r="Q159" s="33" t="n">
        <f>24295</f>
        <v>24295.0</v>
      </c>
      <c r="R159" s="34" t="s">
        <v>51</v>
      </c>
      <c r="S159" s="35" t="n">
        <f>25532.75</f>
        <v>25532.75</v>
      </c>
      <c r="T159" s="32" t="n">
        <f>2282</f>
        <v>2282.0</v>
      </c>
      <c r="U159" s="32" t="str">
        <f>"－"</f>
        <v>－</v>
      </c>
      <c r="V159" s="32" t="n">
        <f>57900590</f>
        <v>5.790059E7</v>
      </c>
      <c r="W159" s="32" t="str">
        <f>"－"</f>
        <v>－</v>
      </c>
      <c r="X159" s="36" t="n">
        <f>20</f>
        <v>20.0</v>
      </c>
    </row>
    <row r="160">
      <c r="A160" s="27" t="s">
        <v>42</v>
      </c>
      <c r="B160" s="27" t="s">
        <v>529</v>
      </c>
      <c r="C160" s="27" t="s">
        <v>530</v>
      </c>
      <c r="D160" s="27" t="s">
        <v>531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19265</f>
        <v>19265.0</v>
      </c>
      <c r="L160" s="34" t="s">
        <v>48</v>
      </c>
      <c r="M160" s="33" t="n">
        <f>20000</f>
        <v>20000.0</v>
      </c>
      <c r="N160" s="34" t="s">
        <v>70</v>
      </c>
      <c r="O160" s="33" t="n">
        <f>18205</f>
        <v>18205.0</v>
      </c>
      <c r="P160" s="34" t="s">
        <v>50</v>
      </c>
      <c r="Q160" s="33" t="n">
        <f>18420</f>
        <v>18420.0</v>
      </c>
      <c r="R160" s="34" t="s">
        <v>51</v>
      </c>
      <c r="S160" s="35" t="n">
        <f>19113.57</f>
        <v>19113.57</v>
      </c>
      <c r="T160" s="32" t="n">
        <f>287</f>
        <v>287.0</v>
      </c>
      <c r="U160" s="32" t="str">
        <f>"－"</f>
        <v>－</v>
      </c>
      <c r="V160" s="32" t="n">
        <f>5509420</f>
        <v>5509420.0</v>
      </c>
      <c r="W160" s="32" t="str">
        <f>"－"</f>
        <v>－</v>
      </c>
      <c r="X160" s="36" t="n">
        <f>14</f>
        <v>14.0</v>
      </c>
    </row>
    <row r="161">
      <c r="A161" s="27" t="s">
        <v>42</v>
      </c>
      <c r="B161" s="27" t="s">
        <v>532</v>
      </c>
      <c r="C161" s="27" t="s">
        <v>533</v>
      </c>
      <c r="D161" s="27" t="s">
        <v>534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52190</f>
        <v>52190.0</v>
      </c>
      <c r="L161" s="34" t="s">
        <v>48</v>
      </c>
      <c r="M161" s="33" t="n">
        <f>52460</f>
        <v>52460.0</v>
      </c>
      <c r="N161" s="34" t="s">
        <v>62</v>
      </c>
      <c r="O161" s="33" t="n">
        <f>50450</f>
        <v>50450.0</v>
      </c>
      <c r="P161" s="34" t="s">
        <v>71</v>
      </c>
      <c r="Q161" s="33" t="n">
        <f>51100</f>
        <v>51100.0</v>
      </c>
      <c r="R161" s="34" t="s">
        <v>51</v>
      </c>
      <c r="S161" s="35" t="n">
        <f>51399</f>
        <v>51399.0</v>
      </c>
      <c r="T161" s="32" t="n">
        <f>20470</f>
        <v>20470.0</v>
      </c>
      <c r="U161" s="32" t="n">
        <f>15430</f>
        <v>15430.0</v>
      </c>
      <c r="V161" s="32" t="n">
        <f>1047472200</f>
        <v>1.0474722E9</v>
      </c>
      <c r="W161" s="32" t="n">
        <f>789470000</f>
        <v>7.8947E8</v>
      </c>
      <c r="X161" s="36" t="n">
        <f>20</f>
        <v>20.0</v>
      </c>
    </row>
    <row r="162">
      <c r="A162" s="27" t="s">
        <v>42</v>
      </c>
      <c r="B162" s="27" t="s">
        <v>535</v>
      </c>
      <c r="C162" s="27" t="s">
        <v>536</v>
      </c>
      <c r="D162" s="27" t="s">
        <v>537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100.0</v>
      </c>
      <c r="K162" s="33" t="n">
        <f>290.1</f>
        <v>290.1</v>
      </c>
      <c r="L162" s="34" t="s">
        <v>48</v>
      </c>
      <c r="M162" s="33" t="n">
        <f>297</f>
        <v>297.0</v>
      </c>
      <c r="N162" s="34" t="s">
        <v>170</v>
      </c>
      <c r="O162" s="33" t="n">
        <f>280.1</f>
        <v>280.1</v>
      </c>
      <c r="P162" s="34" t="s">
        <v>75</v>
      </c>
      <c r="Q162" s="33" t="n">
        <f>285.6</f>
        <v>285.6</v>
      </c>
      <c r="R162" s="34" t="s">
        <v>51</v>
      </c>
      <c r="S162" s="35" t="n">
        <f>287.15</f>
        <v>287.15</v>
      </c>
      <c r="T162" s="32" t="n">
        <f>19191000</f>
        <v>1.9191E7</v>
      </c>
      <c r="U162" s="32" t="n">
        <f>1600</f>
        <v>1600.0</v>
      </c>
      <c r="V162" s="32" t="n">
        <f>5515101400</f>
        <v>5.5151014E9</v>
      </c>
      <c r="W162" s="32" t="n">
        <f>466000</f>
        <v>466000.0</v>
      </c>
      <c r="X162" s="36" t="n">
        <f>20</f>
        <v>20.0</v>
      </c>
    </row>
    <row r="163">
      <c r="A163" s="27" t="s">
        <v>42</v>
      </c>
      <c r="B163" s="27" t="s">
        <v>538</v>
      </c>
      <c r="C163" s="27" t="s">
        <v>539</v>
      </c>
      <c r="D163" s="27" t="s">
        <v>540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42150</f>
        <v>42150.0</v>
      </c>
      <c r="L163" s="34" t="s">
        <v>48</v>
      </c>
      <c r="M163" s="33" t="n">
        <f>42290</f>
        <v>42290.0</v>
      </c>
      <c r="N163" s="34" t="s">
        <v>48</v>
      </c>
      <c r="O163" s="33" t="n">
        <f>40410</f>
        <v>40410.0</v>
      </c>
      <c r="P163" s="34" t="s">
        <v>61</v>
      </c>
      <c r="Q163" s="33" t="n">
        <f>40710</f>
        <v>40710.0</v>
      </c>
      <c r="R163" s="34" t="s">
        <v>51</v>
      </c>
      <c r="S163" s="35" t="n">
        <f>41221.5</f>
        <v>41221.5</v>
      </c>
      <c r="T163" s="32" t="n">
        <f>10840</f>
        <v>10840.0</v>
      </c>
      <c r="U163" s="32" t="n">
        <f>20</f>
        <v>20.0</v>
      </c>
      <c r="V163" s="32" t="n">
        <f>447899400</f>
        <v>4.478994E8</v>
      </c>
      <c r="W163" s="32" t="n">
        <f>822400</f>
        <v>822400.0</v>
      </c>
      <c r="X163" s="36" t="n">
        <f>20</f>
        <v>20.0</v>
      </c>
    </row>
    <row r="164">
      <c r="A164" s="27" t="s">
        <v>42</v>
      </c>
      <c r="B164" s="27" t="s">
        <v>541</v>
      </c>
      <c r="C164" s="27" t="s">
        <v>542</v>
      </c>
      <c r="D164" s="27" t="s">
        <v>543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10.0</v>
      </c>
      <c r="K164" s="33" t="n">
        <f>4049</f>
        <v>4049.0</v>
      </c>
      <c r="L164" s="34" t="s">
        <v>48</v>
      </c>
      <c r="M164" s="33" t="n">
        <f>4065</f>
        <v>4065.0</v>
      </c>
      <c r="N164" s="34" t="s">
        <v>48</v>
      </c>
      <c r="O164" s="33" t="n">
        <f>3890</f>
        <v>3890.0</v>
      </c>
      <c r="P164" s="34" t="s">
        <v>50</v>
      </c>
      <c r="Q164" s="33" t="n">
        <f>3941</f>
        <v>3941.0</v>
      </c>
      <c r="R164" s="34" t="s">
        <v>51</v>
      </c>
      <c r="S164" s="35" t="n">
        <f>3974.55</f>
        <v>3974.55</v>
      </c>
      <c r="T164" s="32" t="n">
        <f>37300</f>
        <v>37300.0</v>
      </c>
      <c r="U164" s="32" t="n">
        <f>80</f>
        <v>80.0</v>
      </c>
      <c r="V164" s="32" t="n">
        <f>148265260</f>
        <v>1.4826526E8</v>
      </c>
      <c r="W164" s="32" t="n">
        <f>325000</f>
        <v>325000.0</v>
      </c>
      <c r="X164" s="36" t="n">
        <f>20</f>
        <v>20.0</v>
      </c>
    </row>
    <row r="165">
      <c r="A165" s="27" t="s">
        <v>42</v>
      </c>
      <c r="B165" s="27" t="s">
        <v>544</v>
      </c>
      <c r="C165" s="27" t="s">
        <v>545</v>
      </c>
      <c r="D165" s="27" t="s">
        <v>546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1622</f>
        <v>1622.0</v>
      </c>
      <c r="L165" s="34" t="s">
        <v>48</v>
      </c>
      <c r="M165" s="33" t="n">
        <f>1726</f>
        <v>1726.0</v>
      </c>
      <c r="N165" s="34" t="s">
        <v>114</v>
      </c>
      <c r="O165" s="33" t="n">
        <f>1617.5</f>
        <v>1617.5</v>
      </c>
      <c r="P165" s="34" t="s">
        <v>48</v>
      </c>
      <c r="Q165" s="33" t="n">
        <f>1705</f>
        <v>1705.0</v>
      </c>
      <c r="R165" s="34" t="s">
        <v>51</v>
      </c>
      <c r="S165" s="35" t="n">
        <f>1678.4</f>
        <v>1678.4</v>
      </c>
      <c r="T165" s="32" t="n">
        <f>119320</f>
        <v>119320.0</v>
      </c>
      <c r="U165" s="32" t="str">
        <f>"－"</f>
        <v>－</v>
      </c>
      <c r="V165" s="32" t="n">
        <f>199600820</f>
        <v>1.9960082E8</v>
      </c>
      <c r="W165" s="32" t="str">
        <f>"－"</f>
        <v>－</v>
      </c>
      <c r="X165" s="36" t="n">
        <f>20</f>
        <v>20.0</v>
      </c>
    </row>
    <row r="166">
      <c r="A166" s="27" t="s">
        <v>42</v>
      </c>
      <c r="B166" s="27" t="s">
        <v>547</v>
      </c>
      <c r="C166" s="27" t="s">
        <v>548</v>
      </c>
      <c r="D166" s="27" t="s">
        <v>549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100.0</v>
      </c>
      <c r="K166" s="33" t="n">
        <f>227</f>
        <v>227.0</v>
      </c>
      <c r="L166" s="34" t="s">
        <v>48</v>
      </c>
      <c r="M166" s="33" t="n">
        <f>245</f>
        <v>245.0</v>
      </c>
      <c r="N166" s="34" t="s">
        <v>170</v>
      </c>
      <c r="O166" s="33" t="n">
        <f>219</f>
        <v>219.0</v>
      </c>
      <c r="P166" s="34" t="s">
        <v>245</v>
      </c>
      <c r="Q166" s="33" t="n">
        <f>234</f>
        <v>234.0</v>
      </c>
      <c r="R166" s="34" t="s">
        <v>51</v>
      </c>
      <c r="S166" s="35" t="n">
        <f>233.18</f>
        <v>233.18</v>
      </c>
      <c r="T166" s="32" t="n">
        <f>165600</f>
        <v>165600.0</v>
      </c>
      <c r="U166" s="32" t="str">
        <f>"－"</f>
        <v>－</v>
      </c>
      <c r="V166" s="32" t="n">
        <f>38729320</f>
        <v>3.872932E7</v>
      </c>
      <c r="W166" s="32" t="str">
        <f>"－"</f>
        <v>－</v>
      </c>
      <c r="X166" s="36" t="n">
        <f>20</f>
        <v>20.0</v>
      </c>
    </row>
    <row r="167">
      <c r="A167" s="27" t="s">
        <v>42</v>
      </c>
      <c r="B167" s="27" t="s">
        <v>550</v>
      </c>
      <c r="C167" s="27" t="s">
        <v>551</v>
      </c>
      <c r="D167" s="27" t="s">
        <v>552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1760</f>
        <v>1760.0</v>
      </c>
      <c r="L167" s="34" t="s">
        <v>48</v>
      </c>
      <c r="M167" s="33" t="n">
        <f>1798</f>
        <v>1798.0</v>
      </c>
      <c r="N167" s="34" t="s">
        <v>50</v>
      </c>
      <c r="O167" s="33" t="n">
        <f>1612</f>
        <v>1612.0</v>
      </c>
      <c r="P167" s="34" t="s">
        <v>51</v>
      </c>
      <c r="Q167" s="33" t="n">
        <f>1653.5</f>
        <v>1653.5</v>
      </c>
      <c r="R167" s="34" t="s">
        <v>51</v>
      </c>
      <c r="S167" s="35" t="n">
        <f>1716.06</f>
        <v>1716.06</v>
      </c>
      <c r="T167" s="32" t="n">
        <f>3700</f>
        <v>3700.0</v>
      </c>
      <c r="U167" s="32" t="str">
        <f>"－"</f>
        <v>－</v>
      </c>
      <c r="V167" s="32" t="n">
        <f>6345130</f>
        <v>6345130.0</v>
      </c>
      <c r="W167" s="32" t="str">
        <f>"－"</f>
        <v>－</v>
      </c>
      <c r="X167" s="36" t="n">
        <f>18</f>
        <v>18.0</v>
      </c>
    </row>
    <row r="168">
      <c r="A168" s="27" t="s">
        <v>42</v>
      </c>
      <c r="B168" s="27" t="s">
        <v>553</v>
      </c>
      <c r="C168" s="27" t="s">
        <v>554</v>
      </c>
      <c r="D168" s="27" t="s">
        <v>555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753.3</f>
        <v>753.3</v>
      </c>
      <c r="L168" s="34" t="s">
        <v>48</v>
      </c>
      <c r="M168" s="33" t="n">
        <f>799.7</f>
        <v>799.7</v>
      </c>
      <c r="N168" s="34" t="s">
        <v>90</v>
      </c>
      <c r="O168" s="33" t="n">
        <f>670</f>
        <v>670.0</v>
      </c>
      <c r="P168" s="34" t="s">
        <v>91</v>
      </c>
      <c r="Q168" s="33" t="n">
        <f>690.1</f>
        <v>690.1</v>
      </c>
      <c r="R168" s="34" t="s">
        <v>51</v>
      </c>
      <c r="S168" s="35" t="n">
        <f>727.82</f>
        <v>727.82</v>
      </c>
      <c r="T168" s="32" t="n">
        <f>42570</f>
        <v>42570.0</v>
      </c>
      <c r="U168" s="32" t="str">
        <f>"－"</f>
        <v>－</v>
      </c>
      <c r="V168" s="32" t="n">
        <f>31335017</f>
        <v>3.1335017E7</v>
      </c>
      <c r="W168" s="32" t="str">
        <f>"－"</f>
        <v>－</v>
      </c>
      <c r="X168" s="36" t="n">
        <f>20</f>
        <v>20.0</v>
      </c>
    </row>
    <row r="169">
      <c r="A169" s="27" t="s">
        <v>42</v>
      </c>
      <c r="B169" s="27" t="s">
        <v>556</v>
      </c>
      <c r="C169" s="27" t="s">
        <v>557</v>
      </c>
      <c r="D169" s="27" t="s">
        <v>558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2069</f>
        <v>2069.0</v>
      </c>
      <c r="L169" s="34" t="s">
        <v>48</v>
      </c>
      <c r="M169" s="33" t="n">
        <f>2300</f>
        <v>2300.0</v>
      </c>
      <c r="N169" s="34" t="s">
        <v>61</v>
      </c>
      <c r="O169" s="33" t="n">
        <f>2058</f>
        <v>2058.0</v>
      </c>
      <c r="P169" s="34" t="s">
        <v>48</v>
      </c>
      <c r="Q169" s="33" t="n">
        <f>2137.5</f>
        <v>2137.5</v>
      </c>
      <c r="R169" s="34" t="s">
        <v>80</v>
      </c>
      <c r="S169" s="35" t="n">
        <f>2166.11</f>
        <v>2166.11</v>
      </c>
      <c r="T169" s="32" t="n">
        <f>2590</f>
        <v>2590.0</v>
      </c>
      <c r="U169" s="32" t="str">
        <f>"－"</f>
        <v>－</v>
      </c>
      <c r="V169" s="32" t="n">
        <f>5623760</f>
        <v>5623760.0</v>
      </c>
      <c r="W169" s="32" t="str">
        <f>"－"</f>
        <v>－</v>
      </c>
      <c r="X169" s="36" t="n">
        <f>19</f>
        <v>19.0</v>
      </c>
    </row>
    <row r="170">
      <c r="A170" s="27" t="s">
        <v>42</v>
      </c>
      <c r="B170" s="27" t="s">
        <v>559</v>
      </c>
      <c r="C170" s="27" t="s">
        <v>560</v>
      </c>
      <c r="D170" s="27" t="s">
        <v>561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981.3</f>
        <v>981.3</v>
      </c>
      <c r="L170" s="34" t="s">
        <v>48</v>
      </c>
      <c r="M170" s="33" t="n">
        <f>994</f>
        <v>994.0</v>
      </c>
      <c r="N170" s="34" t="s">
        <v>62</v>
      </c>
      <c r="O170" s="33" t="n">
        <f>885.8</f>
        <v>885.8</v>
      </c>
      <c r="P170" s="34" t="s">
        <v>91</v>
      </c>
      <c r="Q170" s="33" t="n">
        <f>895.5</f>
        <v>895.5</v>
      </c>
      <c r="R170" s="34" t="s">
        <v>51</v>
      </c>
      <c r="S170" s="35" t="n">
        <f>937.39</f>
        <v>937.39</v>
      </c>
      <c r="T170" s="32" t="n">
        <f>75530</f>
        <v>75530.0</v>
      </c>
      <c r="U170" s="32" t="str">
        <f>"－"</f>
        <v>－</v>
      </c>
      <c r="V170" s="32" t="n">
        <f>71828581</f>
        <v>7.1828581E7</v>
      </c>
      <c r="W170" s="32" t="str">
        <f>"－"</f>
        <v>－</v>
      </c>
      <c r="X170" s="36" t="n">
        <f>20</f>
        <v>20.0</v>
      </c>
    </row>
    <row r="171">
      <c r="A171" s="27" t="s">
        <v>42</v>
      </c>
      <c r="B171" s="27" t="s">
        <v>562</v>
      </c>
      <c r="C171" s="27" t="s">
        <v>563</v>
      </c>
      <c r="D171" s="27" t="s">
        <v>564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737</f>
        <v>737.0</v>
      </c>
      <c r="L171" s="34" t="s">
        <v>48</v>
      </c>
      <c r="M171" s="33" t="n">
        <f>746.8</f>
        <v>746.8</v>
      </c>
      <c r="N171" s="34" t="s">
        <v>62</v>
      </c>
      <c r="O171" s="33" t="n">
        <f>654.4</f>
        <v>654.4</v>
      </c>
      <c r="P171" s="34" t="s">
        <v>80</v>
      </c>
      <c r="Q171" s="33" t="n">
        <f>667.4</f>
        <v>667.4</v>
      </c>
      <c r="R171" s="34" t="s">
        <v>51</v>
      </c>
      <c r="S171" s="35" t="n">
        <f>691.72</f>
        <v>691.72</v>
      </c>
      <c r="T171" s="32" t="n">
        <f>229790</f>
        <v>229790.0</v>
      </c>
      <c r="U171" s="32" t="str">
        <f>"－"</f>
        <v>－</v>
      </c>
      <c r="V171" s="32" t="n">
        <f>159091343</f>
        <v>1.59091343E8</v>
      </c>
      <c r="W171" s="32" t="str">
        <f>"－"</f>
        <v>－</v>
      </c>
      <c r="X171" s="36" t="n">
        <f>20</f>
        <v>20.0</v>
      </c>
    </row>
    <row r="172">
      <c r="A172" s="27" t="s">
        <v>42</v>
      </c>
      <c r="B172" s="27" t="s">
        <v>565</v>
      </c>
      <c r="C172" s="27" t="s">
        <v>566</v>
      </c>
      <c r="D172" s="27" t="s">
        <v>567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100.0</v>
      </c>
      <c r="K172" s="33" t="n">
        <f>3.8</f>
        <v>3.8</v>
      </c>
      <c r="L172" s="34" t="s">
        <v>48</v>
      </c>
      <c r="M172" s="33" t="n">
        <f>4.2</f>
        <v>4.2</v>
      </c>
      <c r="N172" s="34" t="s">
        <v>49</v>
      </c>
      <c r="O172" s="33" t="n">
        <f>3.4</f>
        <v>3.4</v>
      </c>
      <c r="P172" s="34" t="s">
        <v>71</v>
      </c>
      <c r="Q172" s="33" t="n">
        <f>3.8</f>
        <v>3.8</v>
      </c>
      <c r="R172" s="34" t="s">
        <v>51</v>
      </c>
      <c r="S172" s="35" t="n">
        <f>3.7</f>
        <v>3.7</v>
      </c>
      <c r="T172" s="32" t="n">
        <f>586574500</f>
        <v>5.865745E8</v>
      </c>
      <c r="U172" s="32" t="n">
        <f>600000</f>
        <v>600000.0</v>
      </c>
      <c r="V172" s="32" t="n">
        <f>2227685810</f>
        <v>2.22768581E9</v>
      </c>
      <c r="W172" s="32" t="n">
        <f>2150000</f>
        <v>2150000.0</v>
      </c>
      <c r="X172" s="36" t="n">
        <f>20</f>
        <v>20.0</v>
      </c>
    </row>
    <row r="173">
      <c r="A173" s="27" t="s">
        <v>42</v>
      </c>
      <c r="B173" s="27" t="s">
        <v>568</v>
      </c>
      <c r="C173" s="27" t="s">
        <v>569</v>
      </c>
      <c r="D173" s="27" t="s">
        <v>570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1410</f>
        <v>1410.0</v>
      </c>
      <c r="L173" s="34" t="s">
        <v>48</v>
      </c>
      <c r="M173" s="33" t="n">
        <f>1496</f>
        <v>1496.0</v>
      </c>
      <c r="N173" s="34" t="s">
        <v>245</v>
      </c>
      <c r="O173" s="33" t="n">
        <f>1183</f>
        <v>1183.0</v>
      </c>
      <c r="P173" s="34" t="s">
        <v>91</v>
      </c>
      <c r="Q173" s="33" t="n">
        <f>1247</f>
        <v>1247.0</v>
      </c>
      <c r="R173" s="34" t="s">
        <v>51</v>
      </c>
      <c r="S173" s="35" t="n">
        <f>1349.05</f>
        <v>1349.05</v>
      </c>
      <c r="T173" s="32" t="n">
        <f>146950</f>
        <v>146950.0</v>
      </c>
      <c r="U173" s="32" t="str">
        <f>"－"</f>
        <v>－</v>
      </c>
      <c r="V173" s="32" t="n">
        <f>192098940</f>
        <v>1.9209894E8</v>
      </c>
      <c r="W173" s="32" t="str">
        <f>"－"</f>
        <v>－</v>
      </c>
      <c r="X173" s="36" t="n">
        <f>20</f>
        <v>20.0</v>
      </c>
    </row>
    <row r="174">
      <c r="A174" s="27" t="s">
        <v>42</v>
      </c>
      <c r="B174" s="27" t="s">
        <v>571</v>
      </c>
      <c r="C174" s="27" t="s">
        <v>572</v>
      </c>
      <c r="D174" s="27" t="s">
        <v>573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6780</f>
        <v>6780.0</v>
      </c>
      <c r="L174" s="34" t="s">
        <v>48</v>
      </c>
      <c r="M174" s="33" t="n">
        <f>7370</f>
        <v>7370.0</v>
      </c>
      <c r="N174" s="34" t="s">
        <v>50</v>
      </c>
      <c r="O174" s="33" t="n">
        <f>5840</f>
        <v>5840.0</v>
      </c>
      <c r="P174" s="34" t="s">
        <v>91</v>
      </c>
      <c r="Q174" s="33" t="n">
        <f>6040</f>
        <v>6040.0</v>
      </c>
      <c r="R174" s="34" t="s">
        <v>51</v>
      </c>
      <c r="S174" s="35" t="n">
        <f>6636.3</f>
        <v>6636.3</v>
      </c>
      <c r="T174" s="32" t="n">
        <f>2367</f>
        <v>2367.0</v>
      </c>
      <c r="U174" s="32" t="str">
        <f>"－"</f>
        <v>－</v>
      </c>
      <c r="V174" s="32" t="n">
        <f>14929929</f>
        <v>1.4929929E7</v>
      </c>
      <c r="W174" s="32" t="str">
        <f>"－"</f>
        <v>－</v>
      </c>
      <c r="X174" s="36" t="n">
        <f>20</f>
        <v>20.0</v>
      </c>
    </row>
    <row r="175">
      <c r="A175" s="27" t="s">
        <v>42</v>
      </c>
      <c r="B175" s="27" t="s">
        <v>574</v>
      </c>
      <c r="C175" s="27" t="s">
        <v>575</v>
      </c>
      <c r="D175" s="27" t="s">
        <v>576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100.0</v>
      </c>
      <c r="K175" s="33" t="n">
        <f>457.2</f>
        <v>457.2</v>
      </c>
      <c r="L175" s="34" t="s">
        <v>48</v>
      </c>
      <c r="M175" s="33" t="n">
        <f>479</f>
        <v>479.0</v>
      </c>
      <c r="N175" s="34" t="s">
        <v>170</v>
      </c>
      <c r="O175" s="33" t="n">
        <f>447.6</f>
        <v>447.6</v>
      </c>
      <c r="P175" s="34" t="s">
        <v>91</v>
      </c>
      <c r="Q175" s="33" t="n">
        <f>453.2</f>
        <v>453.2</v>
      </c>
      <c r="R175" s="34" t="s">
        <v>51</v>
      </c>
      <c r="S175" s="35" t="n">
        <f>464.44</f>
        <v>464.44</v>
      </c>
      <c r="T175" s="32" t="n">
        <f>102100</f>
        <v>102100.0</v>
      </c>
      <c r="U175" s="32" t="str">
        <f>"－"</f>
        <v>－</v>
      </c>
      <c r="V175" s="32" t="n">
        <f>47583600</f>
        <v>4.75836E7</v>
      </c>
      <c r="W175" s="32" t="str">
        <f>"－"</f>
        <v>－</v>
      </c>
      <c r="X175" s="36" t="n">
        <f>20</f>
        <v>20.0</v>
      </c>
    </row>
    <row r="176">
      <c r="A176" s="27" t="s">
        <v>42</v>
      </c>
      <c r="B176" s="27" t="s">
        <v>577</v>
      </c>
      <c r="C176" s="27" t="s">
        <v>578</v>
      </c>
      <c r="D176" s="27" t="s">
        <v>579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4481</f>
        <v>4481.0</v>
      </c>
      <c r="L176" s="34" t="s">
        <v>48</v>
      </c>
      <c r="M176" s="33" t="n">
        <f>4866</f>
        <v>4866.0</v>
      </c>
      <c r="N176" s="34" t="s">
        <v>71</v>
      </c>
      <c r="O176" s="33" t="n">
        <f>4343</f>
        <v>4343.0</v>
      </c>
      <c r="P176" s="34" t="s">
        <v>91</v>
      </c>
      <c r="Q176" s="33" t="n">
        <f>4467</f>
        <v>4467.0</v>
      </c>
      <c r="R176" s="34" t="s">
        <v>51</v>
      </c>
      <c r="S176" s="35" t="n">
        <f>4582.25</f>
        <v>4582.25</v>
      </c>
      <c r="T176" s="32" t="n">
        <f>37730</f>
        <v>37730.0</v>
      </c>
      <c r="U176" s="32" t="str">
        <f>"－"</f>
        <v>－</v>
      </c>
      <c r="V176" s="32" t="n">
        <f>173898550</f>
        <v>1.7389855E8</v>
      </c>
      <c r="W176" s="32" t="str">
        <f>"－"</f>
        <v>－</v>
      </c>
      <c r="X176" s="36" t="n">
        <f>20</f>
        <v>20.0</v>
      </c>
    </row>
    <row r="177">
      <c r="A177" s="27" t="s">
        <v>42</v>
      </c>
      <c r="B177" s="27" t="s">
        <v>580</v>
      </c>
      <c r="C177" s="27" t="s">
        <v>581</v>
      </c>
      <c r="D177" s="27" t="s">
        <v>582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2970.5</f>
        <v>2970.5</v>
      </c>
      <c r="L177" s="34" t="s">
        <v>48</v>
      </c>
      <c r="M177" s="33" t="n">
        <f>3890</f>
        <v>3890.0</v>
      </c>
      <c r="N177" s="34" t="s">
        <v>61</v>
      </c>
      <c r="O177" s="33" t="n">
        <f>2970.5</f>
        <v>2970.5</v>
      </c>
      <c r="P177" s="34" t="s">
        <v>48</v>
      </c>
      <c r="Q177" s="33" t="n">
        <f>3445</f>
        <v>3445.0</v>
      </c>
      <c r="R177" s="34" t="s">
        <v>51</v>
      </c>
      <c r="S177" s="35" t="n">
        <f>3333.6</f>
        <v>3333.6</v>
      </c>
      <c r="T177" s="32" t="n">
        <f>33210</f>
        <v>33210.0</v>
      </c>
      <c r="U177" s="32" t="str">
        <f>"－"</f>
        <v>－</v>
      </c>
      <c r="V177" s="32" t="n">
        <f>111344175</f>
        <v>1.11344175E8</v>
      </c>
      <c r="W177" s="32" t="str">
        <f>"－"</f>
        <v>－</v>
      </c>
      <c r="X177" s="36" t="n">
        <f>20</f>
        <v>20.0</v>
      </c>
    </row>
    <row r="178">
      <c r="A178" s="27" t="s">
        <v>42</v>
      </c>
      <c r="B178" s="27" t="s">
        <v>583</v>
      </c>
      <c r="C178" s="27" t="s">
        <v>584</v>
      </c>
      <c r="D178" s="27" t="s">
        <v>585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100.0</v>
      </c>
      <c r="K178" s="33" t="n">
        <f>131.3</f>
        <v>131.3</v>
      </c>
      <c r="L178" s="34" t="s">
        <v>48</v>
      </c>
      <c r="M178" s="33" t="n">
        <f>133.9</f>
        <v>133.9</v>
      </c>
      <c r="N178" s="34" t="s">
        <v>62</v>
      </c>
      <c r="O178" s="33" t="n">
        <f>106</f>
        <v>106.0</v>
      </c>
      <c r="P178" s="34" t="s">
        <v>80</v>
      </c>
      <c r="Q178" s="33" t="n">
        <f>107.1</f>
        <v>107.1</v>
      </c>
      <c r="R178" s="34" t="s">
        <v>51</v>
      </c>
      <c r="S178" s="35" t="n">
        <f>116.89</f>
        <v>116.89</v>
      </c>
      <c r="T178" s="32" t="n">
        <f>13013400</f>
        <v>1.30134E7</v>
      </c>
      <c r="U178" s="32" t="str">
        <f>"－"</f>
        <v>－</v>
      </c>
      <c r="V178" s="32" t="n">
        <f>1531823140</f>
        <v>1.53182314E9</v>
      </c>
      <c r="W178" s="32" t="str">
        <f>"－"</f>
        <v>－</v>
      </c>
      <c r="X178" s="36" t="n">
        <f>20</f>
        <v>20.0</v>
      </c>
    </row>
    <row r="179">
      <c r="A179" s="27" t="s">
        <v>42</v>
      </c>
      <c r="B179" s="27" t="s">
        <v>586</v>
      </c>
      <c r="C179" s="27" t="s">
        <v>587</v>
      </c>
      <c r="D179" s="27" t="s">
        <v>588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100.0</v>
      </c>
      <c r="K179" s="33" t="n">
        <f>204.5</f>
        <v>204.5</v>
      </c>
      <c r="L179" s="34" t="s">
        <v>48</v>
      </c>
      <c r="M179" s="33" t="n">
        <f>205</f>
        <v>205.0</v>
      </c>
      <c r="N179" s="34" t="s">
        <v>62</v>
      </c>
      <c r="O179" s="33" t="n">
        <f>180.9</f>
        <v>180.9</v>
      </c>
      <c r="P179" s="34" t="s">
        <v>71</v>
      </c>
      <c r="Q179" s="33" t="n">
        <f>183.3</f>
        <v>183.3</v>
      </c>
      <c r="R179" s="34" t="s">
        <v>51</v>
      </c>
      <c r="S179" s="35" t="n">
        <f>189.28</f>
        <v>189.28</v>
      </c>
      <c r="T179" s="32" t="n">
        <f>509000</f>
        <v>509000.0</v>
      </c>
      <c r="U179" s="32" t="str">
        <f>"－"</f>
        <v>－</v>
      </c>
      <c r="V179" s="32" t="n">
        <f>96849370</f>
        <v>9.684937E7</v>
      </c>
      <c r="W179" s="32" t="str">
        <f>"－"</f>
        <v>－</v>
      </c>
      <c r="X179" s="36" t="n">
        <f>20</f>
        <v>20.0</v>
      </c>
    </row>
    <row r="180">
      <c r="A180" s="27" t="s">
        <v>42</v>
      </c>
      <c r="B180" s="27" t="s">
        <v>589</v>
      </c>
      <c r="C180" s="27" t="s">
        <v>590</v>
      </c>
      <c r="D180" s="27" t="s">
        <v>591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4257</f>
        <v>4257.0</v>
      </c>
      <c r="L180" s="34" t="s">
        <v>48</v>
      </c>
      <c r="M180" s="33" t="n">
        <f>4350</f>
        <v>4350.0</v>
      </c>
      <c r="N180" s="34" t="s">
        <v>62</v>
      </c>
      <c r="O180" s="33" t="n">
        <f>4005</f>
        <v>4005.0</v>
      </c>
      <c r="P180" s="34" t="s">
        <v>49</v>
      </c>
      <c r="Q180" s="33" t="n">
        <f>4104</f>
        <v>4104.0</v>
      </c>
      <c r="R180" s="34" t="s">
        <v>51</v>
      </c>
      <c r="S180" s="35" t="n">
        <f>4152.4</f>
        <v>4152.4</v>
      </c>
      <c r="T180" s="32" t="n">
        <f>9710</f>
        <v>9710.0</v>
      </c>
      <c r="U180" s="32" t="str">
        <f>"－"</f>
        <v>－</v>
      </c>
      <c r="V180" s="32" t="n">
        <f>40610190</f>
        <v>4.061019E7</v>
      </c>
      <c r="W180" s="32" t="str">
        <f>"－"</f>
        <v>－</v>
      </c>
      <c r="X180" s="36" t="n">
        <f>20</f>
        <v>20.0</v>
      </c>
    </row>
    <row r="181">
      <c r="A181" s="27" t="s">
        <v>42</v>
      </c>
      <c r="B181" s="27" t="s">
        <v>592</v>
      </c>
      <c r="C181" s="27" t="s">
        <v>593</v>
      </c>
      <c r="D181" s="27" t="s">
        <v>594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2015</f>
        <v>2015.0</v>
      </c>
      <c r="L181" s="34" t="s">
        <v>48</v>
      </c>
      <c r="M181" s="33" t="n">
        <f>2139</f>
        <v>2139.0</v>
      </c>
      <c r="N181" s="34" t="s">
        <v>49</v>
      </c>
      <c r="O181" s="33" t="n">
        <f>2011.5</f>
        <v>2011.5</v>
      </c>
      <c r="P181" s="34" t="s">
        <v>50</v>
      </c>
      <c r="Q181" s="33" t="n">
        <f>2101</f>
        <v>2101.0</v>
      </c>
      <c r="R181" s="34" t="s">
        <v>51</v>
      </c>
      <c r="S181" s="35" t="n">
        <f>2070.48</f>
        <v>2070.48</v>
      </c>
      <c r="T181" s="32" t="n">
        <f>196620</f>
        <v>196620.0</v>
      </c>
      <c r="U181" s="32" t="n">
        <f>150000</f>
        <v>150000.0</v>
      </c>
      <c r="V181" s="32" t="n">
        <f>407034530</f>
        <v>4.0703453E8</v>
      </c>
      <c r="W181" s="32" t="n">
        <f>309675000</f>
        <v>3.09675E8</v>
      </c>
      <c r="X181" s="36" t="n">
        <f>20</f>
        <v>20.0</v>
      </c>
    </row>
    <row r="182">
      <c r="A182" s="27" t="s">
        <v>42</v>
      </c>
      <c r="B182" s="27" t="s">
        <v>595</v>
      </c>
      <c r="C182" s="27" t="s">
        <v>596</v>
      </c>
      <c r="D182" s="27" t="s">
        <v>597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10.0</v>
      </c>
      <c r="K182" s="33" t="n">
        <f>383.6</f>
        <v>383.6</v>
      </c>
      <c r="L182" s="34" t="s">
        <v>48</v>
      </c>
      <c r="M182" s="33" t="n">
        <f>405.6</f>
        <v>405.6</v>
      </c>
      <c r="N182" s="34" t="s">
        <v>245</v>
      </c>
      <c r="O182" s="33" t="n">
        <f>321</f>
        <v>321.0</v>
      </c>
      <c r="P182" s="34" t="s">
        <v>91</v>
      </c>
      <c r="Q182" s="33" t="n">
        <f>340</f>
        <v>340.0</v>
      </c>
      <c r="R182" s="34" t="s">
        <v>51</v>
      </c>
      <c r="S182" s="35" t="n">
        <f>366.89</f>
        <v>366.89</v>
      </c>
      <c r="T182" s="32" t="n">
        <f>37726950</f>
        <v>3.772695E7</v>
      </c>
      <c r="U182" s="32" t="n">
        <f>109650</f>
        <v>109650.0</v>
      </c>
      <c r="V182" s="32" t="n">
        <f>13578319943</f>
        <v>1.3578319943E10</v>
      </c>
      <c r="W182" s="32" t="n">
        <f>39207036</f>
        <v>3.9207036E7</v>
      </c>
      <c r="X182" s="36" t="n">
        <f>20</f>
        <v>20.0</v>
      </c>
    </row>
    <row r="183">
      <c r="A183" s="27" t="s">
        <v>42</v>
      </c>
      <c r="B183" s="27" t="s">
        <v>598</v>
      </c>
      <c r="C183" s="27" t="s">
        <v>599</v>
      </c>
      <c r="D183" s="27" t="s">
        <v>600</v>
      </c>
      <c r="E183" s="28" t="s">
        <v>46</v>
      </c>
      <c r="F183" s="29" t="s">
        <v>46</v>
      </c>
      <c r="G183" s="30" t="s">
        <v>46</v>
      </c>
      <c r="H183" s="31"/>
      <c r="I183" s="31" t="s">
        <v>601</v>
      </c>
      <c r="J183" s="32" t="n">
        <v>1.0</v>
      </c>
      <c r="K183" s="33" t="n">
        <f>3930</f>
        <v>3930.0</v>
      </c>
      <c r="L183" s="34" t="s">
        <v>48</v>
      </c>
      <c r="M183" s="33" t="n">
        <f>5340</f>
        <v>5340.0</v>
      </c>
      <c r="N183" s="34" t="s">
        <v>61</v>
      </c>
      <c r="O183" s="33" t="n">
        <f>3850</f>
        <v>3850.0</v>
      </c>
      <c r="P183" s="34" t="s">
        <v>48</v>
      </c>
      <c r="Q183" s="33" t="n">
        <f>5130</f>
        <v>5130.0</v>
      </c>
      <c r="R183" s="34" t="s">
        <v>51</v>
      </c>
      <c r="S183" s="35" t="n">
        <f>4739</f>
        <v>4739.0</v>
      </c>
      <c r="T183" s="32" t="n">
        <f>361149</f>
        <v>361149.0</v>
      </c>
      <c r="U183" s="32" t="str">
        <f>"－"</f>
        <v>－</v>
      </c>
      <c r="V183" s="32" t="n">
        <f>1703971655</f>
        <v>1.703971655E9</v>
      </c>
      <c r="W183" s="32" t="str">
        <f>"－"</f>
        <v>－</v>
      </c>
      <c r="X183" s="36" t="n">
        <f>20</f>
        <v>20.0</v>
      </c>
    </row>
    <row r="184">
      <c r="A184" s="27" t="s">
        <v>42</v>
      </c>
      <c r="B184" s="27" t="s">
        <v>602</v>
      </c>
      <c r="C184" s="27" t="s">
        <v>603</v>
      </c>
      <c r="D184" s="27" t="s">
        <v>604</v>
      </c>
      <c r="E184" s="28" t="s">
        <v>46</v>
      </c>
      <c r="F184" s="29" t="s">
        <v>46</v>
      </c>
      <c r="G184" s="30" t="s">
        <v>46</v>
      </c>
      <c r="H184" s="31"/>
      <c r="I184" s="31" t="s">
        <v>601</v>
      </c>
      <c r="J184" s="32" t="n">
        <v>1.0</v>
      </c>
      <c r="K184" s="33" t="n">
        <f>11905</f>
        <v>11905.0</v>
      </c>
      <c r="L184" s="34" t="s">
        <v>48</v>
      </c>
      <c r="M184" s="33" t="n">
        <f>11905</f>
        <v>11905.0</v>
      </c>
      <c r="N184" s="34" t="s">
        <v>48</v>
      </c>
      <c r="O184" s="33" t="n">
        <f>8595</f>
        <v>8595.0</v>
      </c>
      <c r="P184" s="34" t="s">
        <v>51</v>
      </c>
      <c r="Q184" s="33" t="n">
        <f>8614</f>
        <v>8614.0</v>
      </c>
      <c r="R184" s="34" t="s">
        <v>51</v>
      </c>
      <c r="S184" s="35" t="n">
        <f>9506.6</f>
        <v>9506.6</v>
      </c>
      <c r="T184" s="32" t="n">
        <f>38008</f>
        <v>38008.0</v>
      </c>
      <c r="U184" s="32" t="str">
        <f>"－"</f>
        <v>－</v>
      </c>
      <c r="V184" s="32" t="n">
        <f>370719886</f>
        <v>3.70719886E8</v>
      </c>
      <c r="W184" s="32" t="str">
        <f>"－"</f>
        <v>－</v>
      </c>
      <c r="X184" s="36" t="n">
        <f>20</f>
        <v>20.0</v>
      </c>
    </row>
    <row r="185">
      <c r="A185" s="27" t="s">
        <v>42</v>
      </c>
      <c r="B185" s="27" t="s">
        <v>605</v>
      </c>
      <c r="C185" s="27" t="s">
        <v>606</v>
      </c>
      <c r="D185" s="27" t="s">
        <v>607</v>
      </c>
      <c r="E185" s="28" t="s">
        <v>46</v>
      </c>
      <c r="F185" s="29" t="s">
        <v>46</v>
      </c>
      <c r="G185" s="30" t="s">
        <v>46</v>
      </c>
      <c r="H185" s="31"/>
      <c r="I185" s="31" t="s">
        <v>601</v>
      </c>
      <c r="J185" s="32" t="n">
        <v>1.0</v>
      </c>
      <c r="K185" s="33" t="n">
        <f>9627</f>
        <v>9627.0</v>
      </c>
      <c r="L185" s="34" t="s">
        <v>48</v>
      </c>
      <c r="M185" s="33" t="n">
        <f>11550</f>
        <v>11550.0</v>
      </c>
      <c r="N185" s="34" t="s">
        <v>70</v>
      </c>
      <c r="O185" s="33" t="n">
        <f>9627</f>
        <v>9627.0</v>
      </c>
      <c r="P185" s="34" t="s">
        <v>48</v>
      </c>
      <c r="Q185" s="33" t="n">
        <f>10890</f>
        <v>10890.0</v>
      </c>
      <c r="R185" s="34" t="s">
        <v>51</v>
      </c>
      <c r="S185" s="35" t="n">
        <f>10738.74</f>
        <v>10738.74</v>
      </c>
      <c r="T185" s="32" t="n">
        <f>2828</f>
        <v>2828.0</v>
      </c>
      <c r="U185" s="32" t="str">
        <f>"－"</f>
        <v>－</v>
      </c>
      <c r="V185" s="32" t="n">
        <f>30577923</f>
        <v>3.0577923E7</v>
      </c>
      <c r="W185" s="32" t="str">
        <f>"－"</f>
        <v>－</v>
      </c>
      <c r="X185" s="36" t="n">
        <f>19</f>
        <v>19.0</v>
      </c>
    </row>
    <row r="186">
      <c r="A186" s="27" t="s">
        <v>42</v>
      </c>
      <c r="B186" s="27" t="s">
        <v>608</v>
      </c>
      <c r="C186" s="27" t="s">
        <v>609</v>
      </c>
      <c r="D186" s="27" t="s">
        <v>610</v>
      </c>
      <c r="E186" s="28" t="s">
        <v>46</v>
      </c>
      <c r="F186" s="29" t="s">
        <v>46</v>
      </c>
      <c r="G186" s="30" t="s">
        <v>46</v>
      </c>
      <c r="H186" s="31"/>
      <c r="I186" s="31" t="s">
        <v>601</v>
      </c>
      <c r="J186" s="32" t="n">
        <v>1.0</v>
      </c>
      <c r="K186" s="33" t="n">
        <f>8545</f>
        <v>8545.0</v>
      </c>
      <c r="L186" s="34" t="s">
        <v>48</v>
      </c>
      <c r="M186" s="33" t="n">
        <f>8580</f>
        <v>8580.0</v>
      </c>
      <c r="N186" s="34" t="s">
        <v>50</v>
      </c>
      <c r="O186" s="33" t="n">
        <f>7912</f>
        <v>7912.0</v>
      </c>
      <c r="P186" s="34" t="s">
        <v>70</v>
      </c>
      <c r="Q186" s="33" t="n">
        <f>8116</f>
        <v>8116.0</v>
      </c>
      <c r="R186" s="34" t="s">
        <v>51</v>
      </c>
      <c r="S186" s="35" t="n">
        <f>8184.25</f>
        <v>8184.25</v>
      </c>
      <c r="T186" s="32" t="n">
        <f>22097</f>
        <v>22097.0</v>
      </c>
      <c r="U186" s="32" t="str">
        <f>"－"</f>
        <v>－</v>
      </c>
      <c r="V186" s="32" t="n">
        <f>182470283</f>
        <v>1.82470283E8</v>
      </c>
      <c r="W186" s="32" t="str">
        <f>"－"</f>
        <v>－</v>
      </c>
      <c r="X186" s="36" t="n">
        <f>20</f>
        <v>20.0</v>
      </c>
    </row>
    <row r="187">
      <c r="A187" s="27" t="s">
        <v>42</v>
      </c>
      <c r="B187" s="27" t="s">
        <v>611</v>
      </c>
      <c r="C187" s="27" t="s">
        <v>612</v>
      </c>
      <c r="D187" s="27" t="s">
        <v>613</v>
      </c>
      <c r="E187" s="28" t="s">
        <v>46</v>
      </c>
      <c r="F187" s="29" t="s">
        <v>46</v>
      </c>
      <c r="G187" s="30" t="s">
        <v>46</v>
      </c>
      <c r="H187" s="31"/>
      <c r="I187" s="31" t="s">
        <v>601</v>
      </c>
      <c r="J187" s="32" t="n">
        <v>1.0</v>
      </c>
      <c r="K187" s="33" t="n">
        <f>25855</f>
        <v>25855.0</v>
      </c>
      <c r="L187" s="34" t="s">
        <v>48</v>
      </c>
      <c r="M187" s="33" t="n">
        <f>27295</f>
        <v>27295.0</v>
      </c>
      <c r="N187" s="34" t="s">
        <v>70</v>
      </c>
      <c r="O187" s="33" t="n">
        <f>25440</f>
        <v>25440.0</v>
      </c>
      <c r="P187" s="34" t="s">
        <v>50</v>
      </c>
      <c r="Q187" s="33" t="n">
        <f>26055</f>
        <v>26055.0</v>
      </c>
      <c r="R187" s="34" t="s">
        <v>51</v>
      </c>
      <c r="S187" s="35" t="n">
        <f>26356.5</f>
        <v>26356.5</v>
      </c>
      <c r="T187" s="32" t="n">
        <f>32435</f>
        <v>32435.0</v>
      </c>
      <c r="U187" s="32" t="str">
        <f>"－"</f>
        <v>－</v>
      </c>
      <c r="V187" s="32" t="n">
        <f>859596340</f>
        <v>8.5959634E8</v>
      </c>
      <c r="W187" s="32" t="str">
        <f>"－"</f>
        <v>－</v>
      </c>
      <c r="X187" s="36" t="n">
        <f>20</f>
        <v>20.0</v>
      </c>
    </row>
    <row r="188">
      <c r="A188" s="27" t="s">
        <v>42</v>
      </c>
      <c r="B188" s="27" t="s">
        <v>614</v>
      </c>
      <c r="C188" s="27" t="s">
        <v>615</v>
      </c>
      <c r="D188" s="27" t="s">
        <v>616</v>
      </c>
      <c r="E188" s="28" t="s">
        <v>46</v>
      </c>
      <c r="F188" s="29" t="s">
        <v>46</v>
      </c>
      <c r="G188" s="30" t="s">
        <v>46</v>
      </c>
      <c r="H188" s="31"/>
      <c r="I188" s="31" t="s">
        <v>601</v>
      </c>
      <c r="J188" s="32" t="n">
        <v>1.0</v>
      </c>
      <c r="K188" s="33" t="n">
        <f>4365</f>
        <v>4365.0</v>
      </c>
      <c r="L188" s="34" t="s">
        <v>48</v>
      </c>
      <c r="M188" s="33" t="n">
        <f>4425</f>
        <v>4425.0</v>
      </c>
      <c r="N188" s="34" t="s">
        <v>50</v>
      </c>
      <c r="O188" s="33" t="n">
        <f>4250</f>
        <v>4250.0</v>
      </c>
      <c r="P188" s="34" t="s">
        <v>70</v>
      </c>
      <c r="Q188" s="33" t="n">
        <f>4335</f>
        <v>4335.0</v>
      </c>
      <c r="R188" s="34" t="s">
        <v>51</v>
      </c>
      <c r="S188" s="35" t="n">
        <f>4323</f>
        <v>4323.0</v>
      </c>
      <c r="T188" s="32" t="n">
        <f>13980</f>
        <v>13980.0</v>
      </c>
      <c r="U188" s="32" t="str">
        <f>"－"</f>
        <v>－</v>
      </c>
      <c r="V188" s="32" t="n">
        <f>60418905</f>
        <v>6.0418905E7</v>
      </c>
      <c r="W188" s="32" t="str">
        <f>"－"</f>
        <v>－</v>
      </c>
      <c r="X188" s="36" t="n">
        <f>20</f>
        <v>20.0</v>
      </c>
    </row>
    <row r="189">
      <c r="A189" s="27" t="s">
        <v>42</v>
      </c>
      <c r="B189" s="27" t="s">
        <v>617</v>
      </c>
      <c r="C189" s="27" t="s">
        <v>618</v>
      </c>
      <c r="D189" s="27" t="s">
        <v>619</v>
      </c>
      <c r="E189" s="28" t="s">
        <v>46</v>
      </c>
      <c r="F189" s="29" t="s">
        <v>46</v>
      </c>
      <c r="G189" s="30" t="s">
        <v>46</v>
      </c>
      <c r="H189" s="31"/>
      <c r="I189" s="31" t="s">
        <v>601</v>
      </c>
      <c r="J189" s="32" t="n">
        <v>1.0</v>
      </c>
      <c r="K189" s="33" t="n">
        <f>1704</f>
        <v>1704.0</v>
      </c>
      <c r="L189" s="34" t="s">
        <v>48</v>
      </c>
      <c r="M189" s="33" t="n">
        <f>1862</f>
        <v>1862.0</v>
      </c>
      <c r="N189" s="34" t="s">
        <v>90</v>
      </c>
      <c r="O189" s="33" t="n">
        <f>1269</f>
        <v>1269.0</v>
      </c>
      <c r="P189" s="34" t="s">
        <v>91</v>
      </c>
      <c r="Q189" s="33" t="n">
        <f>1378</f>
        <v>1378.0</v>
      </c>
      <c r="R189" s="34" t="s">
        <v>51</v>
      </c>
      <c r="S189" s="35" t="n">
        <f>1580.95</f>
        <v>1580.95</v>
      </c>
      <c r="T189" s="32" t="n">
        <f>38999579</f>
        <v>3.8999579E7</v>
      </c>
      <c r="U189" s="32" t="n">
        <f>300011</f>
        <v>300011.0</v>
      </c>
      <c r="V189" s="32" t="n">
        <f>58797227304</f>
        <v>5.8797227304E10</v>
      </c>
      <c r="W189" s="32" t="n">
        <f>555018632</f>
        <v>5.55018632E8</v>
      </c>
      <c r="X189" s="36" t="n">
        <f>20</f>
        <v>20.0</v>
      </c>
    </row>
    <row r="190">
      <c r="A190" s="27" t="s">
        <v>42</v>
      </c>
      <c r="B190" s="27" t="s">
        <v>620</v>
      </c>
      <c r="C190" s="27" t="s">
        <v>621</v>
      </c>
      <c r="D190" s="27" t="s">
        <v>622</v>
      </c>
      <c r="E190" s="28" t="s">
        <v>46</v>
      </c>
      <c r="F190" s="29" t="s">
        <v>46</v>
      </c>
      <c r="G190" s="30" t="s">
        <v>46</v>
      </c>
      <c r="H190" s="31"/>
      <c r="I190" s="31" t="s">
        <v>601</v>
      </c>
      <c r="J190" s="32" t="n">
        <v>1.0</v>
      </c>
      <c r="K190" s="33" t="n">
        <f>1343</f>
        <v>1343.0</v>
      </c>
      <c r="L190" s="34" t="s">
        <v>48</v>
      </c>
      <c r="M190" s="33" t="n">
        <f>1528</f>
        <v>1528.0</v>
      </c>
      <c r="N190" s="34" t="s">
        <v>91</v>
      </c>
      <c r="O190" s="33" t="n">
        <f>1292</f>
        <v>1292.0</v>
      </c>
      <c r="P190" s="34" t="s">
        <v>90</v>
      </c>
      <c r="Q190" s="33" t="n">
        <f>1470</f>
        <v>1470.0</v>
      </c>
      <c r="R190" s="34" t="s">
        <v>51</v>
      </c>
      <c r="S190" s="35" t="n">
        <f>1389.6</f>
        <v>1389.6</v>
      </c>
      <c r="T190" s="32" t="n">
        <f>3219105</f>
        <v>3219105.0</v>
      </c>
      <c r="U190" s="32" t="n">
        <f>663</f>
        <v>663.0</v>
      </c>
      <c r="V190" s="32" t="n">
        <f>4475131117</f>
        <v>4.475131117E9</v>
      </c>
      <c r="W190" s="32" t="n">
        <f>934986</f>
        <v>934986.0</v>
      </c>
      <c r="X190" s="36" t="n">
        <f>20</f>
        <v>20.0</v>
      </c>
    </row>
    <row r="191">
      <c r="A191" s="27" t="s">
        <v>42</v>
      </c>
      <c r="B191" s="27" t="s">
        <v>623</v>
      </c>
      <c r="C191" s="27" t="s">
        <v>624</v>
      </c>
      <c r="D191" s="27" t="s">
        <v>625</v>
      </c>
      <c r="E191" s="28" t="s">
        <v>46</v>
      </c>
      <c r="F191" s="29" t="s">
        <v>46</v>
      </c>
      <c r="G191" s="30" t="s">
        <v>46</v>
      </c>
      <c r="H191" s="31"/>
      <c r="I191" s="31" t="s">
        <v>601</v>
      </c>
      <c r="J191" s="32" t="n">
        <v>1.0</v>
      </c>
      <c r="K191" s="33" t="n">
        <f>24880</f>
        <v>24880.0</v>
      </c>
      <c r="L191" s="34" t="s">
        <v>48</v>
      </c>
      <c r="M191" s="33" t="n">
        <f>26855</f>
        <v>26855.0</v>
      </c>
      <c r="N191" s="34" t="s">
        <v>91</v>
      </c>
      <c r="O191" s="33" t="n">
        <f>23725</f>
        <v>23725.0</v>
      </c>
      <c r="P191" s="34" t="s">
        <v>50</v>
      </c>
      <c r="Q191" s="33" t="n">
        <f>26190</f>
        <v>26190.0</v>
      </c>
      <c r="R191" s="34" t="s">
        <v>51</v>
      </c>
      <c r="S191" s="35" t="n">
        <f>25716.75</f>
        <v>25716.75</v>
      </c>
      <c r="T191" s="32" t="n">
        <f>213669</f>
        <v>213669.0</v>
      </c>
      <c r="U191" s="32" t="n">
        <f>1300</f>
        <v>1300.0</v>
      </c>
      <c r="V191" s="32" t="n">
        <f>5486148325</f>
        <v>5.486148325E9</v>
      </c>
      <c r="W191" s="32" t="n">
        <f>33342400</f>
        <v>3.33424E7</v>
      </c>
      <c r="X191" s="36" t="n">
        <f>20</f>
        <v>20.0</v>
      </c>
    </row>
    <row r="192">
      <c r="A192" s="27" t="s">
        <v>42</v>
      </c>
      <c r="B192" s="27" t="s">
        <v>626</v>
      </c>
      <c r="C192" s="27" t="s">
        <v>627</v>
      </c>
      <c r="D192" s="27" t="s">
        <v>628</v>
      </c>
      <c r="E192" s="28" t="s">
        <v>46</v>
      </c>
      <c r="F192" s="29" t="s">
        <v>46</v>
      </c>
      <c r="G192" s="30" t="s">
        <v>46</v>
      </c>
      <c r="H192" s="31"/>
      <c r="I192" s="31" t="s">
        <v>601</v>
      </c>
      <c r="J192" s="32" t="n">
        <v>1.0</v>
      </c>
      <c r="K192" s="33" t="n">
        <f>3000</f>
        <v>3000.0</v>
      </c>
      <c r="L192" s="34" t="s">
        <v>48</v>
      </c>
      <c r="M192" s="33" t="n">
        <f>3100</f>
        <v>3100.0</v>
      </c>
      <c r="N192" s="34" t="s">
        <v>50</v>
      </c>
      <c r="O192" s="33" t="n">
        <f>2878</f>
        <v>2878.0</v>
      </c>
      <c r="P192" s="34" t="s">
        <v>49</v>
      </c>
      <c r="Q192" s="33" t="n">
        <f>2917</f>
        <v>2917.0</v>
      </c>
      <c r="R192" s="34" t="s">
        <v>51</v>
      </c>
      <c r="S192" s="35" t="n">
        <f>2956.1</f>
        <v>2956.1</v>
      </c>
      <c r="T192" s="32" t="n">
        <f>1272196</f>
        <v>1272196.0</v>
      </c>
      <c r="U192" s="32" t="n">
        <f>3500</f>
        <v>3500.0</v>
      </c>
      <c r="V192" s="32" t="n">
        <f>3765382917</f>
        <v>3.765382917E9</v>
      </c>
      <c r="W192" s="32" t="n">
        <f>10724000</f>
        <v>1.0724E7</v>
      </c>
      <c r="X192" s="36" t="n">
        <f>20</f>
        <v>20.0</v>
      </c>
    </row>
    <row r="193">
      <c r="A193" s="27" t="s">
        <v>42</v>
      </c>
      <c r="B193" s="27" t="s">
        <v>629</v>
      </c>
      <c r="C193" s="27" t="s">
        <v>630</v>
      </c>
      <c r="D193" s="27" t="s">
        <v>631</v>
      </c>
      <c r="E193" s="28" t="s">
        <v>46</v>
      </c>
      <c r="F193" s="29" t="s">
        <v>46</v>
      </c>
      <c r="G193" s="30" t="s">
        <v>46</v>
      </c>
      <c r="H193" s="31"/>
      <c r="I193" s="31" t="s">
        <v>601</v>
      </c>
      <c r="J193" s="32" t="n">
        <v>1.0</v>
      </c>
      <c r="K193" s="33" t="n">
        <f>8037</f>
        <v>8037.0</v>
      </c>
      <c r="L193" s="34" t="s">
        <v>48</v>
      </c>
      <c r="M193" s="33" t="n">
        <f>8642</f>
        <v>8642.0</v>
      </c>
      <c r="N193" s="34" t="s">
        <v>91</v>
      </c>
      <c r="O193" s="33" t="n">
        <f>7752</f>
        <v>7752.0</v>
      </c>
      <c r="P193" s="34" t="s">
        <v>90</v>
      </c>
      <c r="Q193" s="33" t="n">
        <f>8526</f>
        <v>8526.0</v>
      </c>
      <c r="R193" s="34" t="s">
        <v>51</v>
      </c>
      <c r="S193" s="35" t="n">
        <f>8202.85</f>
        <v>8202.85</v>
      </c>
      <c r="T193" s="32" t="n">
        <f>52572</f>
        <v>52572.0</v>
      </c>
      <c r="U193" s="32" t="n">
        <f>2000</f>
        <v>2000.0</v>
      </c>
      <c r="V193" s="32" t="n">
        <f>437415057</f>
        <v>4.37415057E8</v>
      </c>
      <c r="W193" s="32" t="n">
        <f>16648000</f>
        <v>1.6648E7</v>
      </c>
      <c r="X193" s="36" t="n">
        <f>20</f>
        <v>20.0</v>
      </c>
    </row>
    <row r="194">
      <c r="A194" s="27" t="s">
        <v>42</v>
      </c>
      <c r="B194" s="27" t="s">
        <v>632</v>
      </c>
      <c r="C194" s="27" t="s">
        <v>633</v>
      </c>
      <c r="D194" s="27" t="s">
        <v>634</v>
      </c>
      <c r="E194" s="28" t="s">
        <v>46</v>
      </c>
      <c r="F194" s="29" t="s">
        <v>46</v>
      </c>
      <c r="G194" s="30" t="s">
        <v>46</v>
      </c>
      <c r="H194" s="31"/>
      <c r="I194" s="31" t="s">
        <v>601</v>
      </c>
      <c r="J194" s="32" t="n">
        <v>1.0</v>
      </c>
      <c r="K194" s="33" t="n">
        <f>16690</f>
        <v>16690.0</v>
      </c>
      <c r="L194" s="34" t="s">
        <v>48</v>
      </c>
      <c r="M194" s="33" t="n">
        <f>17180</f>
        <v>17180.0</v>
      </c>
      <c r="N194" s="34" t="s">
        <v>90</v>
      </c>
      <c r="O194" s="33" t="n">
        <f>16120</f>
        <v>16120.0</v>
      </c>
      <c r="P194" s="34" t="s">
        <v>49</v>
      </c>
      <c r="Q194" s="33" t="n">
        <f>16765</f>
        <v>16765.0</v>
      </c>
      <c r="R194" s="34" t="s">
        <v>80</v>
      </c>
      <c r="S194" s="35" t="n">
        <f>16656.56</f>
        <v>16656.56</v>
      </c>
      <c r="T194" s="32" t="n">
        <f>903</f>
        <v>903.0</v>
      </c>
      <c r="U194" s="32" t="str">
        <f>"－"</f>
        <v>－</v>
      </c>
      <c r="V194" s="32" t="n">
        <f>15024295</f>
        <v>1.5024295E7</v>
      </c>
      <c r="W194" s="32" t="str">
        <f>"－"</f>
        <v>－</v>
      </c>
      <c r="X194" s="36" t="n">
        <f>16</f>
        <v>16.0</v>
      </c>
    </row>
    <row r="195">
      <c r="A195" s="27" t="s">
        <v>42</v>
      </c>
      <c r="B195" s="27" t="s">
        <v>635</v>
      </c>
      <c r="C195" s="27" t="s">
        <v>636</v>
      </c>
      <c r="D195" s="27" t="s">
        <v>637</v>
      </c>
      <c r="E195" s="28" t="s">
        <v>46</v>
      </c>
      <c r="F195" s="29" t="s">
        <v>46</v>
      </c>
      <c r="G195" s="30" t="s">
        <v>46</v>
      </c>
      <c r="H195" s="31"/>
      <c r="I195" s="31" t="s">
        <v>601</v>
      </c>
      <c r="J195" s="32" t="n">
        <v>1.0</v>
      </c>
      <c r="K195" s="33" t="n">
        <f>24705</f>
        <v>24705.0</v>
      </c>
      <c r="L195" s="34" t="s">
        <v>48</v>
      </c>
      <c r="M195" s="33" t="n">
        <f>24780</f>
        <v>24780.0</v>
      </c>
      <c r="N195" s="34" t="s">
        <v>49</v>
      </c>
      <c r="O195" s="33" t="n">
        <f>23775</f>
        <v>23775.0</v>
      </c>
      <c r="P195" s="34" t="s">
        <v>50</v>
      </c>
      <c r="Q195" s="33" t="n">
        <f>24250</f>
        <v>24250.0</v>
      </c>
      <c r="R195" s="34" t="s">
        <v>51</v>
      </c>
      <c r="S195" s="35" t="n">
        <f>24295.75</f>
        <v>24295.75</v>
      </c>
      <c r="T195" s="32" t="n">
        <f>18024</f>
        <v>18024.0</v>
      </c>
      <c r="U195" s="32" t="str">
        <f>"－"</f>
        <v>－</v>
      </c>
      <c r="V195" s="32" t="n">
        <f>438616270</f>
        <v>4.3861627E8</v>
      </c>
      <c r="W195" s="32" t="str">
        <f>"－"</f>
        <v>－</v>
      </c>
      <c r="X195" s="36" t="n">
        <f>20</f>
        <v>20.0</v>
      </c>
    </row>
    <row r="196">
      <c r="A196" s="27" t="s">
        <v>42</v>
      </c>
      <c r="B196" s="27" t="s">
        <v>638</v>
      </c>
      <c r="C196" s="27" t="s">
        <v>639</v>
      </c>
      <c r="D196" s="27" t="s">
        <v>640</v>
      </c>
      <c r="E196" s="28" t="s">
        <v>46</v>
      </c>
      <c r="F196" s="29" t="s">
        <v>46</v>
      </c>
      <c r="G196" s="30" t="s">
        <v>46</v>
      </c>
      <c r="H196" s="31"/>
      <c r="I196" s="31" t="s">
        <v>601</v>
      </c>
      <c r="J196" s="32" t="n">
        <v>1.0</v>
      </c>
      <c r="K196" s="33" t="n">
        <f>15030</f>
        <v>15030.0</v>
      </c>
      <c r="L196" s="34" t="s">
        <v>48</v>
      </c>
      <c r="M196" s="33" t="n">
        <f>15820</f>
        <v>15820.0</v>
      </c>
      <c r="N196" s="34" t="s">
        <v>61</v>
      </c>
      <c r="O196" s="33" t="n">
        <f>14715</f>
        <v>14715.0</v>
      </c>
      <c r="P196" s="34" t="s">
        <v>49</v>
      </c>
      <c r="Q196" s="33" t="n">
        <f>15125</f>
        <v>15125.0</v>
      </c>
      <c r="R196" s="34" t="s">
        <v>80</v>
      </c>
      <c r="S196" s="35" t="n">
        <f>15091.67</f>
        <v>15091.67</v>
      </c>
      <c r="T196" s="32" t="n">
        <f>4129</f>
        <v>4129.0</v>
      </c>
      <c r="U196" s="32" t="str">
        <f>"－"</f>
        <v>－</v>
      </c>
      <c r="V196" s="32" t="n">
        <f>63002615</f>
        <v>6.3002615E7</v>
      </c>
      <c r="W196" s="32" t="str">
        <f>"－"</f>
        <v>－</v>
      </c>
      <c r="X196" s="36" t="n">
        <f>18</f>
        <v>18.0</v>
      </c>
    </row>
    <row r="197">
      <c r="A197" s="27" t="s">
        <v>42</v>
      </c>
      <c r="B197" s="27" t="s">
        <v>641</v>
      </c>
      <c r="C197" s="27" t="s">
        <v>642</v>
      </c>
      <c r="D197" s="27" t="s">
        <v>643</v>
      </c>
      <c r="E197" s="28" t="s">
        <v>46</v>
      </c>
      <c r="F197" s="29" t="s">
        <v>46</v>
      </c>
      <c r="G197" s="30" t="s">
        <v>46</v>
      </c>
      <c r="H197" s="31"/>
      <c r="I197" s="31" t="s">
        <v>601</v>
      </c>
      <c r="J197" s="32" t="n">
        <v>1.0</v>
      </c>
      <c r="K197" s="33" t="n">
        <f>20835</f>
        <v>20835.0</v>
      </c>
      <c r="L197" s="34" t="s">
        <v>48</v>
      </c>
      <c r="M197" s="33" t="n">
        <f>21680</f>
        <v>21680.0</v>
      </c>
      <c r="N197" s="34" t="s">
        <v>70</v>
      </c>
      <c r="O197" s="33" t="n">
        <f>20280</f>
        <v>20280.0</v>
      </c>
      <c r="P197" s="34" t="s">
        <v>49</v>
      </c>
      <c r="Q197" s="33" t="n">
        <f>20985</f>
        <v>20985.0</v>
      </c>
      <c r="R197" s="34" t="s">
        <v>51</v>
      </c>
      <c r="S197" s="35" t="n">
        <f>20841</f>
        <v>20841.0</v>
      </c>
      <c r="T197" s="32" t="n">
        <f>29572</f>
        <v>29572.0</v>
      </c>
      <c r="U197" s="32" t="str">
        <f>"－"</f>
        <v>－</v>
      </c>
      <c r="V197" s="32" t="n">
        <f>619001615</f>
        <v>6.19001615E8</v>
      </c>
      <c r="W197" s="32" t="str">
        <f>"－"</f>
        <v>－</v>
      </c>
      <c r="X197" s="36" t="n">
        <f>20</f>
        <v>20.0</v>
      </c>
    </row>
    <row r="198">
      <c r="A198" s="27" t="s">
        <v>42</v>
      </c>
      <c r="B198" s="27" t="s">
        <v>644</v>
      </c>
      <c r="C198" s="27" t="s">
        <v>645</v>
      </c>
      <c r="D198" s="27" t="s">
        <v>646</v>
      </c>
      <c r="E198" s="28" t="s">
        <v>46</v>
      </c>
      <c r="F198" s="29" t="s">
        <v>46</v>
      </c>
      <c r="G198" s="30" t="s">
        <v>46</v>
      </c>
      <c r="H198" s="31"/>
      <c r="I198" s="31" t="s">
        <v>601</v>
      </c>
      <c r="J198" s="32" t="n">
        <v>1.0</v>
      </c>
      <c r="K198" s="33" t="n">
        <f>4540</f>
        <v>4540.0</v>
      </c>
      <c r="L198" s="34" t="s">
        <v>48</v>
      </c>
      <c r="M198" s="33" t="n">
        <f>4575</f>
        <v>4575.0</v>
      </c>
      <c r="N198" s="34" t="s">
        <v>90</v>
      </c>
      <c r="O198" s="33" t="n">
        <f>4090</f>
        <v>4090.0</v>
      </c>
      <c r="P198" s="34" t="s">
        <v>51</v>
      </c>
      <c r="Q198" s="33" t="n">
        <f>4160</f>
        <v>4160.0</v>
      </c>
      <c r="R198" s="34" t="s">
        <v>51</v>
      </c>
      <c r="S198" s="35" t="n">
        <f>4332.75</f>
        <v>4332.75</v>
      </c>
      <c r="T198" s="32" t="n">
        <f>13568</f>
        <v>13568.0</v>
      </c>
      <c r="U198" s="32" t="str">
        <f>"－"</f>
        <v>－</v>
      </c>
      <c r="V198" s="32" t="n">
        <f>58814915</f>
        <v>5.8814915E7</v>
      </c>
      <c r="W198" s="32" t="str">
        <f>"－"</f>
        <v>－</v>
      </c>
      <c r="X198" s="36" t="n">
        <f>20</f>
        <v>20.0</v>
      </c>
    </row>
    <row r="199">
      <c r="A199" s="27" t="s">
        <v>42</v>
      </c>
      <c r="B199" s="27" t="s">
        <v>647</v>
      </c>
      <c r="C199" s="27" t="s">
        <v>648</v>
      </c>
      <c r="D199" s="27" t="s">
        <v>649</v>
      </c>
      <c r="E199" s="28" t="s">
        <v>46</v>
      </c>
      <c r="F199" s="29" t="s">
        <v>46</v>
      </c>
      <c r="G199" s="30" t="s">
        <v>46</v>
      </c>
      <c r="H199" s="31"/>
      <c r="I199" s="31" t="s">
        <v>601</v>
      </c>
      <c r="J199" s="32" t="n">
        <v>1.0</v>
      </c>
      <c r="K199" s="33" t="n">
        <f>16500</f>
        <v>16500.0</v>
      </c>
      <c r="L199" s="34" t="s">
        <v>62</v>
      </c>
      <c r="M199" s="33" t="n">
        <f>16795</f>
        <v>16795.0</v>
      </c>
      <c r="N199" s="34" t="s">
        <v>170</v>
      </c>
      <c r="O199" s="33" t="n">
        <f>15475</f>
        <v>15475.0</v>
      </c>
      <c r="P199" s="34" t="s">
        <v>61</v>
      </c>
      <c r="Q199" s="33" t="n">
        <f>16040</f>
        <v>16040.0</v>
      </c>
      <c r="R199" s="34" t="s">
        <v>91</v>
      </c>
      <c r="S199" s="35" t="n">
        <f>16269.06</f>
        <v>16269.06</v>
      </c>
      <c r="T199" s="32" t="n">
        <f>1521</f>
        <v>1521.0</v>
      </c>
      <c r="U199" s="32" t="str">
        <f>"－"</f>
        <v>－</v>
      </c>
      <c r="V199" s="32" t="n">
        <f>24651155</f>
        <v>2.4651155E7</v>
      </c>
      <c r="W199" s="32" t="str">
        <f>"－"</f>
        <v>－</v>
      </c>
      <c r="X199" s="36" t="n">
        <f>16</f>
        <v>16.0</v>
      </c>
    </row>
    <row r="200">
      <c r="A200" s="27" t="s">
        <v>42</v>
      </c>
      <c r="B200" s="27" t="s">
        <v>650</v>
      </c>
      <c r="C200" s="27" t="s">
        <v>651</v>
      </c>
      <c r="D200" s="27" t="s">
        <v>652</v>
      </c>
      <c r="E200" s="28" t="s">
        <v>46</v>
      </c>
      <c r="F200" s="29" t="s">
        <v>46</v>
      </c>
      <c r="G200" s="30" t="s">
        <v>46</v>
      </c>
      <c r="H200" s="31"/>
      <c r="I200" s="31" t="s">
        <v>601</v>
      </c>
      <c r="J200" s="32" t="n">
        <v>1.0</v>
      </c>
      <c r="K200" s="33" t="n">
        <f>12765</f>
        <v>12765.0</v>
      </c>
      <c r="L200" s="34" t="s">
        <v>50</v>
      </c>
      <c r="M200" s="33" t="n">
        <f>13185</f>
        <v>13185.0</v>
      </c>
      <c r="N200" s="34" t="s">
        <v>80</v>
      </c>
      <c r="O200" s="33" t="n">
        <f>12605</f>
        <v>12605.0</v>
      </c>
      <c r="P200" s="34" t="s">
        <v>50</v>
      </c>
      <c r="Q200" s="33" t="n">
        <f>13185</f>
        <v>13185.0</v>
      </c>
      <c r="R200" s="34" t="s">
        <v>80</v>
      </c>
      <c r="S200" s="35" t="n">
        <f>12895</f>
        <v>12895.0</v>
      </c>
      <c r="T200" s="32" t="n">
        <f>3</f>
        <v>3.0</v>
      </c>
      <c r="U200" s="32" t="str">
        <f>"－"</f>
        <v>－</v>
      </c>
      <c r="V200" s="32" t="n">
        <f>38555</f>
        <v>38555.0</v>
      </c>
      <c r="W200" s="32" t="str">
        <f>"－"</f>
        <v>－</v>
      </c>
      <c r="X200" s="36" t="n">
        <f>2</f>
        <v>2.0</v>
      </c>
    </row>
    <row r="201">
      <c r="A201" s="27" t="s">
        <v>42</v>
      </c>
      <c r="B201" s="27" t="s">
        <v>653</v>
      </c>
      <c r="C201" s="27" t="s">
        <v>654</v>
      </c>
      <c r="D201" s="27" t="s">
        <v>655</v>
      </c>
      <c r="E201" s="28" t="s">
        <v>46</v>
      </c>
      <c r="F201" s="29" t="s">
        <v>46</v>
      </c>
      <c r="G201" s="30" t="s">
        <v>46</v>
      </c>
      <c r="H201" s="31"/>
      <c r="I201" s="31" t="s">
        <v>601</v>
      </c>
      <c r="J201" s="32" t="n">
        <v>1.0</v>
      </c>
      <c r="K201" s="33" t="n">
        <f>19250</f>
        <v>19250.0</v>
      </c>
      <c r="L201" s="34" t="s">
        <v>48</v>
      </c>
      <c r="M201" s="33" t="n">
        <f>19365</f>
        <v>19365.0</v>
      </c>
      <c r="N201" s="34" t="s">
        <v>48</v>
      </c>
      <c r="O201" s="33" t="n">
        <f>18100</f>
        <v>18100.0</v>
      </c>
      <c r="P201" s="34" t="s">
        <v>71</v>
      </c>
      <c r="Q201" s="33" t="n">
        <f>18960</f>
        <v>18960.0</v>
      </c>
      <c r="R201" s="34" t="s">
        <v>51</v>
      </c>
      <c r="S201" s="35" t="n">
        <f>18881.07</f>
        <v>18881.07</v>
      </c>
      <c r="T201" s="32" t="n">
        <f>392</f>
        <v>392.0</v>
      </c>
      <c r="U201" s="32" t="str">
        <f>"－"</f>
        <v>－</v>
      </c>
      <c r="V201" s="32" t="n">
        <f>7429785</f>
        <v>7429785.0</v>
      </c>
      <c r="W201" s="32" t="str">
        <f>"－"</f>
        <v>－</v>
      </c>
      <c r="X201" s="36" t="n">
        <f>14</f>
        <v>14.0</v>
      </c>
    </row>
    <row r="202">
      <c r="A202" s="27" t="s">
        <v>42</v>
      </c>
      <c r="B202" s="27" t="s">
        <v>656</v>
      </c>
      <c r="C202" s="27" t="s">
        <v>657</v>
      </c>
      <c r="D202" s="27" t="s">
        <v>658</v>
      </c>
      <c r="E202" s="28" t="s">
        <v>46</v>
      </c>
      <c r="F202" s="29" t="s">
        <v>46</v>
      </c>
      <c r="G202" s="30" t="s">
        <v>46</v>
      </c>
      <c r="H202" s="31"/>
      <c r="I202" s="31" t="s">
        <v>601</v>
      </c>
      <c r="J202" s="32" t="n">
        <v>1.0</v>
      </c>
      <c r="K202" s="33" t="n">
        <f>18655</f>
        <v>18655.0</v>
      </c>
      <c r="L202" s="34" t="s">
        <v>62</v>
      </c>
      <c r="M202" s="33" t="n">
        <f>18655</f>
        <v>18655.0</v>
      </c>
      <c r="N202" s="34" t="s">
        <v>62</v>
      </c>
      <c r="O202" s="33" t="n">
        <f>17260</f>
        <v>17260.0</v>
      </c>
      <c r="P202" s="34" t="s">
        <v>91</v>
      </c>
      <c r="Q202" s="33" t="n">
        <f>17260</f>
        <v>17260.0</v>
      </c>
      <c r="R202" s="34" t="s">
        <v>91</v>
      </c>
      <c r="S202" s="35" t="n">
        <f>17751.67</f>
        <v>17751.67</v>
      </c>
      <c r="T202" s="32" t="n">
        <f>245</f>
        <v>245.0</v>
      </c>
      <c r="U202" s="32" t="str">
        <f>"－"</f>
        <v>－</v>
      </c>
      <c r="V202" s="32" t="n">
        <f>4321390</f>
        <v>4321390.0</v>
      </c>
      <c r="W202" s="32" t="str">
        <f>"－"</f>
        <v>－</v>
      </c>
      <c r="X202" s="36" t="n">
        <f>6</f>
        <v>6.0</v>
      </c>
    </row>
    <row r="203">
      <c r="A203" s="27" t="s">
        <v>42</v>
      </c>
      <c r="B203" s="27" t="s">
        <v>659</v>
      </c>
      <c r="C203" s="27" t="s">
        <v>660</v>
      </c>
      <c r="D203" s="27" t="s">
        <v>661</v>
      </c>
      <c r="E203" s="28" t="s">
        <v>46</v>
      </c>
      <c r="F203" s="29" t="s">
        <v>46</v>
      </c>
      <c r="G203" s="30" t="s">
        <v>46</v>
      </c>
      <c r="H203" s="31"/>
      <c r="I203" s="31" t="s">
        <v>601</v>
      </c>
      <c r="J203" s="32" t="n">
        <v>1.0</v>
      </c>
      <c r="K203" s="33" t="n">
        <f>13010</f>
        <v>13010.0</v>
      </c>
      <c r="L203" s="34" t="s">
        <v>48</v>
      </c>
      <c r="M203" s="33" t="n">
        <f>13640</f>
        <v>13640.0</v>
      </c>
      <c r="N203" s="34" t="s">
        <v>49</v>
      </c>
      <c r="O203" s="33" t="n">
        <f>13010</f>
        <v>13010.0</v>
      </c>
      <c r="P203" s="34" t="s">
        <v>48</v>
      </c>
      <c r="Q203" s="33" t="n">
        <f>13425</f>
        <v>13425.0</v>
      </c>
      <c r="R203" s="34" t="s">
        <v>51</v>
      </c>
      <c r="S203" s="35" t="n">
        <f>13336.88</f>
        <v>13336.88</v>
      </c>
      <c r="T203" s="32" t="n">
        <f>1371</f>
        <v>1371.0</v>
      </c>
      <c r="U203" s="32" t="str">
        <f>"－"</f>
        <v>－</v>
      </c>
      <c r="V203" s="32" t="n">
        <f>18263710</f>
        <v>1.826371E7</v>
      </c>
      <c r="W203" s="32" t="str">
        <f>"－"</f>
        <v>－</v>
      </c>
      <c r="X203" s="36" t="n">
        <f>16</f>
        <v>16.0</v>
      </c>
    </row>
    <row r="204">
      <c r="A204" s="27" t="s">
        <v>42</v>
      </c>
      <c r="B204" s="27" t="s">
        <v>662</v>
      </c>
      <c r="C204" s="27" t="s">
        <v>663</v>
      </c>
      <c r="D204" s="27" t="s">
        <v>664</v>
      </c>
      <c r="E204" s="28" t="s">
        <v>46</v>
      </c>
      <c r="F204" s="29" t="s">
        <v>46</v>
      </c>
      <c r="G204" s="30" t="s">
        <v>46</v>
      </c>
      <c r="H204" s="31"/>
      <c r="I204" s="31" t="s">
        <v>601</v>
      </c>
      <c r="J204" s="32" t="n">
        <v>1.0</v>
      </c>
      <c r="K204" s="33" t="str">
        <f>"－"</f>
        <v>－</v>
      </c>
      <c r="L204" s="34"/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5" t="str">
        <f>"－"</f>
        <v>－</v>
      </c>
      <c r="T204" s="32" t="str">
        <f>"－"</f>
        <v>－</v>
      </c>
      <c r="U204" s="32" t="str">
        <f>"－"</f>
        <v>－</v>
      </c>
      <c r="V204" s="32" t="str">
        <f>"－"</f>
        <v>－</v>
      </c>
      <c r="W204" s="32" t="str">
        <f>"－"</f>
        <v>－</v>
      </c>
      <c r="X204" s="36" t="str">
        <f>"－"</f>
        <v>－</v>
      </c>
    </row>
    <row r="205">
      <c r="A205" s="27" t="s">
        <v>42</v>
      </c>
      <c r="B205" s="27" t="s">
        <v>665</v>
      </c>
      <c r="C205" s="27" t="s">
        <v>666</v>
      </c>
      <c r="D205" s="27" t="s">
        <v>667</v>
      </c>
      <c r="E205" s="28" t="s">
        <v>46</v>
      </c>
      <c r="F205" s="29" t="s">
        <v>46</v>
      </c>
      <c r="G205" s="30" t="s">
        <v>46</v>
      </c>
      <c r="H205" s="31"/>
      <c r="I205" s="31" t="s">
        <v>601</v>
      </c>
      <c r="J205" s="32" t="n">
        <v>1.0</v>
      </c>
      <c r="K205" s="33" t="n">
        <f>13445</f>
        <v>13445.0</v>
      </c>
      <c r="L205" s="34" t="s">
        <v>245</v>
      </c>
      <c r="M205" s="33" t="n">
        <f>13445</f>
        <v>13445.0</v>
      </c>
      <c r="N205" s="34" t="s">
        <v>245</v>
      </c>
      <c r="O205" s="33" t="n">
        <f>13445</f>
        <v>13445.0</v>
      </c>
      <c r="P205" s="34" t="s">
        <v>245</v>
      </c>
      <c r="Q205" s="33" t="n">
        <f>13445</f>
        <v>13445.0</v>
      </c>
      <c r="R205" s="34" t="s">
        <v>245</v>
      </c>
      <c r="S205" s="35" t="n">
        <f>13445</f>
        <v>13445.0</v>
      </c>
      <c r="T205" s="32" t="n">
        <f>1</f>
        <v>1.0</v>
      </c>
      <c r="U205" s="32" t="str">
        <f>"－"</f>
        <v>－</v>
      </c>
      <c r="V205" s="32" t="n">
        <f>13445</f>
        <v>13445.0</v>
      </c>
      <c r="W205" s="32" t="str">
        <f>"－"</f>
        <v>－</v>
      </c>
      <c r="X205" s="36" t="n">
        <f>1</f>
        <v>1.0</v>
      </c>
    </row>
    <row r="206">
      <c r="A206" s="27" t="s">
        <v>42</v>
      </c>
      <c r="B206" s="27" t="s">
        <v>668</v>
      </c>
      <c r="C206" s="27" t="s">
        <v>669</v>
      </c>
      <c r="D206" s="27" t="s">
        <v>670</v>
      </c>
      <c r="E206" s="28" t="s">
        <v>46</v>
      </c>
      <c r="F206" s="29" t="s">
        <v>46</v>
      </c>
      <c r="G206" s="30" t="s">
        <v>46</v>
      </c>
      <c r="H206" s="31"/>
      <c r="I206" s="31" t="s">
        <v>601</v>
      </c>
      <c r="J206" s="32" t="n">
        <v>1.0</v>
      </c>
      <c r="K206" s="33" t="n">
        <f>9510</f>
        <v>9510.0</v>
      </c>
      <c r="L206" s="34" t="s">
        <v>48</v>
      </c>
      <c r="M206" s="33" t="n">
        <f>9773</f>
        <v>9773.0</v>
      </c>
      <c r="N206" s="34" t="s">
        <v>80</v>
      </c>
      <c r="O206" s="33" t="n">
        <f>9478</f>
        <v>9478.0</v>
      </c>
      <c r="P206" s="34" t="s">
        <v>245</v>
      </c>
      <c r="Q206" s="33" t="n">
        <f>9773</f>
        <v>9773.0</v>
      </c>
      <c r="R206" s="34" t="s">
        <v>80</v>
      </c>
      <c r="S206" s="35" t="n">
        <f>9622.88</f>
        <v>9622.88</v>
      </c>
      <c r="T206" s="32" t="n">
        <f>2708</f>
        <v>2708.0</v>
      </c>
      <c r="U206" s="32" t="str">
        <f>"－"</f>
        <v>－</v>
      </c>
      <c r="V206" s="32" t="n">
        <f>25952709</f>
        <v>2.5952709E7</v>
      </c>
      <c r="W206" s="32" t="str">
        <f>"－"</f>
        <v>－</v>
      </c>
      <c r="X206" s="36" t="n">
        <f>8</f>
        <v>8.0</v>
      </c>
    </row>
    <row r="207">
      <c r="A207" s="27" t="s">
        <v>42</v>
      </c>
      <c r="B207" s="27" t="s">
        <v>671</v>
      </c>
      <c r="C207" s="27" t="s">
        <v>672</v>
      </c>
      <c r="D207" s="27" t="s">
        <v>673</v>
      </c>
      <c r="E207" s="28" t="s">
        <v>46</v>
      </c>
      <c r="F207" s="29" t="s">
        <v>46</v>
      </c>
      <c r="G207" s="30" t="s">
        <v>46</v>
      </c>
      <c r="H207" s="31"/>
      <c r="I207" s="31" t="s">
        <v>601</v>
      </c>
      <c r="J207" s="32" t="n">
        <v>1.0</v>
      </c>
      <c r="K207" s="33" t="n">
        <f>10115</f>
        <v>10115.0</v>
      </c>
      <c r="L207" s="34" t="s">
        <v>48</v>
      </c>
      <c r="M207" s="33" t="n">
        <f>10550</f>
        <v>10550.0</v>
      </c>
      <c r="N207" s="34" t="s">
        <v>49</v>
      </c>
      <c r="O207" s="33" t="n">
        <f>9989</f>
        <v>9989.0</v>
      </c>
      <c r="P207" s="34" t="s">
        <v>101</v>
      </c>
      <c r="Q207" s="33" t="n">
        <f>10305</f>
        <v>10305.0</v>
      </c>
      <c r="R207" s="34" t="s">
        <v>51</v>
      </c>
      <c r="S207" s="35" t="n">
        <f>10293.83</f>
        <v>10293.83</v>
      </c>
      <c r="T207" s="32" t="n">
        <f>20519</f>
        <v>20519.0</v>
      </c>
      <c r="U207" s="32" t="str">
        <f>"－"</f>
        <v>－</v>
      </c>
      <c r="V207" s="32" t="n">
        <f>211942566</f>
        <v>2.11942566E8</v>
      </c>
      <c r="W207" s="32" t="str">
        <f>"－"</f>
        <v>－</v>
      </c>
      <c r="X207" s="36" t="n">
        <f>18</f>
        <v>18.0</v>
      </c>
    </row>
    <row r="208">
      <c r="A208" s="27" t="s">
        <v>42</v>
      </c>
      <c r="B208" s="27" t="s">
        <v>674</v>
      </c>
      <c r="C208" s="27" t="s">
        <v>675</v>
      </c>
      <c r="D208" s="27" t="s">
        <v>676</v>
      </c>
      <c r="E208" s="28" t="s">
        <v>46</v>
      </c>
      <c r="F208" s="29" t="s">
        <v>46</v>
      </c>
      <c r="G208" s="30" t="s">
        <v>46</v>
      </c>
      <c r="H208" s="31"/>
      <c r="I208" s="31" t="s">
        <v>601</v>
      </c>
      <c r="J208" s="32" t="n">
        <v>1.0</v>
      </c>
      <c r="K208" s="33" t="n">
        <f>9730</f>
        <v>9730.0</v>
      </c>
      <c r="L208" s="34" t="s">
        <v>62</v>
      </c>
      <c r="M208" s="33" t="n">
        <f>10350</f>
        <v>10350.0</v>
      </c>
      <c r="N208" s="34" t="s">
        <v>79</v>
      </c>
      <c r="O208" s="33" t="n">
        <f>9600</f>
        <v>9600.0</v>
      </c>
      <c r="P208" s="34" t="s">
        <v>50</v>
      </c>
      <c r="Q208" s="33" t="n">
        <f>10255</f>
        <v>10255.0</v>
      </c>
      <c r="R208" s="34" t="s">
        <v>51</v>
      </c>
      <c r="S208" s="35" t="n">
        <f>10027.8</f>
        <v>10027.8</v>
      </c>
      <c r="T208" s="32" t="n">
        <f>13011</f>
        <v>13011.0</v>
      </c>
      <c r="U208" s="32" t="str">
        <f>"－"</f>
        <v>－</v>
      </c>
      <c r="V208" s="32" t="n">
        <f>132723427</f>
        <v>1.32723427E8</v>
      </c>
      <c r="W208" s="32" t="str">
        <f>"－"</f>
        <v>－</v>
      </c>
      <c r="X208" s="36" t="n">
        <f>15</f>
        <v>15.0</v>
      </c>
    </row>
    <row r="209">
      <c r="A209" s="27" t="s">
        <v>42</v>
      </c>
      <c r="B209" s="27" t="s">
        <v>677</v>
      </c>
      <c r="C209" s="27" t="s">
        <v>678</v>
      </c>
      <c r="D209" s="27" t="s">
        <v>679</v>
      </c>
      <c r="E209" s="28" t="s">
        <v>46</v>
      </c>
      <c r="F209" s="29" t="s">
        <v>46</v>
      </c>
      <c r="G209" s="30" t="s">
        <v>46</v>
      </c>
      <c r="H209" s="31"/>
      <c r="I209" s="31" t="s">
        <v>601</v>
      </c>
      <c r="J209" s="32" t="n">
        <v>1.0</v>
      </c>
      <c r="K209" s="33" t="n">
        <f>10400</f>
        <v>10400.0</v>
      </c>
      <c r="L209" s="34" t="s">
        <v>70</v>
      </c>
      <c r="M209" s="33" t="n">
        <f>10575</f>
        <v>10575.0</v>
      </c>
      <c r="N209" s="34" t="s">
        <v>91</v>
      </c>
      <c r="O209" s="33" t="n">
        <f>10400</f>
        <v>10400.0</v>
      </c>
      <c r="P209" s="34" t="s">
        <v>70</v>
      </c>
      <c r="Q209" s="33" t="n">
        <f>10575</f>
        <v>10575.0</v>
      </c>
      <c r="R209" s="34" t="s">
        <v>91</v>
      </c>
      <c r="S209" s="35" t="n">
        <f>10492.5</f>
        <v>10492.5</v>
      </c>
      <c r="T209" s="32" t="n">
        <f>502</f>
        <v>502.0</v>
      </c>
      <c r="U209" s="32" t="str">
        <f>"－"</f>
        <v>－</v>
      </c>
      <c r="V209" s="32" t="n">
        <f>5253200</f>
        <v>5253200.0</v>
      </c>
      <c r="W209" s="32" t="str">
        <f>"－"</f>
        <v>－</v>
      </c>
      <c r="X209" s="36" t="n">
        <f>2</f>
        <v>2.0</v>
      </c>
    </row>
    <row r="210">
      <c r="A210" s="27" t="s">
        <v>42</v>
      </c>
      <c r="B210" s="27" t="s">
        <v>680</v>
      </c>
      <c r="C210" s="27" t="s">
        <v>681</v>
      </c>
      <c r="D210" s="27" t="s">
        <v>682</v>
      </c>
      <c r="E210" s="28" t="s">
        <v>46</v>
      </c>
      <c r="F210" s="29" t="s">
        <v>46</v>
      </c>
      <c r="G210" s="30" t="s">
        <v>46</v>
      </c>
      <c r="H210" s="31"/>
      <c r="I210" s="31" t="s">
        <v>47</v>
      </c>
      <c r="J210" s="32" t="n">
        <v>10.0</v>
      </c>
      <c r="K210" s="33" t="n">
        <f>951.4</f>
        <v>951.4</v>
      </c>
      <c r="L210" s="34" t="s">
        <v>48</v>
      </c>
      <c r="M210" s="33" t="n">
        <f>957</f>
        <v>957.0</v>
      </c>
      <c r="N210" s="34" t="s">
        <v>49</v>
      </c>
      <c r="O210" s="33" t="n">
        <f>945.1</f>
        <v>945.1</v>
      </c>
      <c r="P210" s="34" t="s">
        <v>50</v>
      </c>
      <c r="Q210" s="33" t="n">
        <f>948.4</f>
        <v>948.4</v>
      </c>
      <c r="R210" s="34" t="s">
        <v>51</v>
      </c>
      <c r="S210" s="35" t="n">
        <f>950.09</f>
        <v>950.09</v>
      </c>
      <c r="T210" s="32" t="n">
        <f>2751230</f>
        <v>2751230.0</v>
      </c>
      <c r="U210" s="32" t="n">
        <f>1056080</f>
        <v>1056080.0</v>
      </c>
      <c r="V210" s="32" t="n">
        <f>2610955663</f>
        <v>2.610955663E9</v>
      </c>
      <c r="W210" s="32" t="n">
        <f>1001941951</f>
        <v>1.001941951E9</v>
      </c>
      <c r="X210" s="36" t="n">
        <f>20</f>
        <v>20.0</v>
      </c>
    </row>
    <row r="211">
      <c r="A211" s="27" t="s">
        <v>42</v>
      </c>
      <c r="B211" s="27" t="s">
        <v>683</v>
      </c>
      <c r="C211" s="27" t="s">
        <v>684</v>
      </c>
      <c r="D211" s="27" t="s">
        <v>685</v>
      </c>
      <c r="E211" s="28" t="s">
        <v>46</v>
      </c>
      <c r="F211" s="29" t="s">
        <v>46</v>
      </c>
      <c r="G211" s="30" t="s">
        <v>46</v>
      </c>
      <c r="H211" s="31"/>
      <c r="I211" s="31" t="s">
        <v>47</v>
      </c>
      <c r="J211" s="32" t="n">
        <v>10.0</v>
      </c>
      <c r="K211" s="33" t="n">
        <f>1024</f>
        <v>1024.0</v>
      </c>
      <c r="L211" s="34" t="s">
        <v>48</v>
      </c>
      <c r="M211" s="33" t="n">
        <f>1025</f>
        <v>1025.0</v>
      </c>
      <c r="N211" s="34" t="s">
        <v>48</v>
      </c>
      <c r="O211" s="33" t="n">
        <f>987</f>
        <v>987.0</v>
      </c>
      <c r="P211" s="34" t="s">
        <v>71</v>
      </c>
      <c r="Q211" s="33" t="n">
        <f>1001</f>
        <v>1001.0</v>
      </c>
      <c r="R211" s="34" t="s">
        <v>51</v>
      </c>
      <c r="S211" s="35" t="n">
        <f>1006.66</f>
        <v>1006.66</v>
      </c>
      <c r="T211" s="32" t="n">
        <f>1411910</f>
        <v>1411910.0</v>
      </c>
      <c r="U211" s="32" t="n">
        <f>308560</f>
        <v>308560.0</v>
      </c>
      <c r="V211" s="32" t="n">
        <f>1417323289</f>
        <v>1.417323289E9</v>
      </c>
      <c r="W211" s="32" t="n">
        <f>309990380</f>
        <v>3.0999038E8</v>
      </c>
      <c r="X211" s="36" t="n">
        <f>20</f>
        <v>20.0</v>
      </c>
    </row>
    <row r="212">
      <c r="A212" s="27" t="s">
        <v>42</v>
      </c>
      <c r="B212" s="27" t="s">
        <v>686</v>
      </c>
      <c r="C212" s="27" t="s">
        <v>687</v>
      </c>
      <c r="D212" s="27" t="s">
        <v>688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10.0</v>
      </c>
      <c r="K212" s="33" t="n">
        <f>838.6</f>
        <v>838.6</v>
      </c>
      <c r="L212" s="34" t="s">
        <v>48</v>
      </c>
      <c r="M212" s="33" t="n">
        <f>854.2</f>
        <v>854.2</v>
      </c>
      <c r="N212" s="34" t="s">
        <v>79</v>
      </c>
      <c r="O212" s="33" t="n">
        <f>825</f>
        <v>825.0</v>
      </c>
      <c r="P212" s="34" t="s">
        <v>245</v>
      </c>
      <c r="Q212" s="33" t="n">
        <f>850</f>
        <v>850.0</v>
      </c>
      <c r="R212" s="34" t="s">
        <v>51</v>
      </c>
      <c r="S212" s="35" t="n">
        <f>841.4</f>
        <v>841.4</v>
      </c>
      <c r="T212" s="32" t="n">
        <f>3366460</f>
        <v>3366460.0</v>
      </c>
      <c r="U212" s="32" t="n">
        <f>2629510</f>
        <v>2629510.0</v>
      </c>
      <c r="V212" s="32" t="n">
        <f>2834689110</f>
        <v>2.83468911E9</v>
      </c>
      <c r="W212" s="32" t="n">
        <f>2215807546</f>
        <v>2.215807546E9</v>
      </c>
      <c r="X212" s="36" t="n">
        <f>20</f>
        <v>20.0</v>
      </c>
    </row>
    <row r="213">
      <c r="A213" s="27" t="s">
        <v>42</v>
      </c>
      <c r="B213" s="27" t="s">
        <v>689</v>
      </c>
      <c r="C213" s="27" t="s">
        <v>690</v>
      </c>
      <c r="D213" s="27" t="s">
        <v>691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10.0</v>
      </c>
      <c r="K213" s="33" t="n">
        <f>1727.5</f>
        <v>1727.5</v>
      </c>
      <c r="L213" s="34" t="s">
        <v>48</v>
      </c>
      <c r="M213" s="33" t="n">
        <f>1735.5</f>
        <v>1735.5</v>
      </c>
      <c r="N213" s="34" t="s">
        <v>48</v>
      </c>
      <c r="O213" s="33" t="n">
        <f>1660.5</f>
        <v>1660.5</v>
      </c>
      <c r="P213" s="34" t="s">
        <v>50</v>
      </c>
      <c r="Q213" s="33" t="n">
        <f>1684</f>
        <v>1684.0</v>
      </c>
      <c r="R213" s="34" t="s">
        <v>51</v>
      </c>
      <c r="S213" s="35" t="n">
        <f>1698.55</f>
        <v>1698.55</v>
      </c>
      <c r="T213" s="32" t="n">
        <f>1557070</f>
        <v>1557070.0</v>
      </c>
      <c r="U213" s="32" t="n">
        <f>719670</f>
        <v>719670.0</v>
      </c>
      <c r="V213" s="32" t="n">
        <f>2632359822</f>
        <v>2.632359822E9</v>
      </c>
      <c r="W213" s="32" t="n">
        <f>1215987492</f>
        <v>1.215987492E9</v>
      </c>
      <c r="X213" s="36" t="n">
        <f>20</f>
        <v>20.0</v>
      </c>
    </row>
    <row r="214">
      <c r="A214" s="27" t="s">
        <v>42</v>
      </c>
      <c r="B214" s="27" t="s">
        <v>692</v>
      </c>
      <c r="C214" s="27" t="s">
        <v>693</v>
      </c>
      <c r="D214" s="27" t="s">
        <v>694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10.0</v>
      </c>
      <c r="K214" s="33" t="n">
        <f>1281</f>
        <v>1281.0</v>
      </c>
      <c r="L214" s="34" t="s">
        <v>48</v>
      </c>
      <c r="M214" s="33" t="n">
        <f>1360.5</f>
        <v>1360.5</v>
      </c>
      <c r="N214" s="34" t="s">
        <v>91</v>
      </c>
      <c r="O214" s="33" t="n">
        <f>1236.5</f>
        <v>1236.5</v>
      </c>
      <c r="P214" s="34" t="s">
        <v>50</v>
      </c>
      <c r="Q214" s="33" t="n">
        <f>1318</f>
        <v>1318.0</v>
      </c>
      <c r="R214" s="34" t="s">
        <v>51</v>
      </c>
      <c r="S214" s="35" t="n">
        <f>1301.33</f>
        <v>1301.33</v>
      </c>
      <c r="T214" s="32" t="n">
        <f>144000</f>
        <v>144000.0</v>
      </c>
      <c r="U214" s="32" t="n">
        <f>12360</f>
        <v>12360.0</v>
      </c>
      <c r="V214" s="32" t="n">
        <f>188561087</f>
        <v>1.88561087E8</v>
      </c>
      <c r="W214" s="32" t="n">
        <f>16253202</f>
        <v>1.6253202E7</v>
      </c>
      <c r="X214" s="36" t="n">
        <f>20</f>
        <v>20.0</v>
      </c>
    </row>
    <row r="215">
      <c r="A215" s="27" t="s">
        <v>42</v>
      </c>
      <c r="B215" s="27" t="s">
        <v>695</v>
      </c>
      <c r="C215" s="27" t="s">
        <v>696</v>
      </c>
      <c r="D215" s="27" t="s">
        <v>697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10.0</v>
      </c>
      <c r="K215" s="33" t="n">
        <f>1234</f>
        <v>1234.0</v>
      </c>
      <c r="L215" s="34" t="s">
        <v>48</v>
      </c>
      <c r="M215" s="33" t="n">
        <f>1247</f>
        <v>1247.0</v>
      </c>
      <c r="N215" s="34" t="s">
        <v>70</v>
      </c>
      <c r="O215" s="33" t="n">
        <f>1187.5</f>
        <v>1187.5</v>
      </c>
      <c r="P215" s="34" t="s">
        <v>80</v>
      </c>
      <c r="Q215" s="33" t="n">
        <f>1209</f>
        <v>1209.0</v>
      </c>
      <c r="R215" s="34" t="s">
        <v>51</v>
      </c>
      <c r="S215" s="35" t="n">
        <f>1213.3</f>
        <v>1213.3</v>
      </c>
      <c r="T215" s="32" t="n">
        <f>427170</f>
        <v>427170.0</v>
      </c>
      <c r="U215" s="32" t="n">
        <f>147110</f>
        <v>147110.0</v>
      </c>
      <c r="V215" s="32" t="n">
        <f>516947981</f>
        <v>5.16947981E8</v>
      </c>
      <c r="W215" s="32" t="n">
        <f>177652526</f>
        <v>1.77652526E8</v>
      </c>
      <c r="X215" s="36" t="n">
        <f>20</f>
        <v>20.0</v>
      </c>
    </row>
    <row r="216">
      <c r="A216" s="27" t="s">
        <v>42</v>
      </c>
      <c r="B216" s="27" t="s">
        <v>698</v>
      </c>
      <c r="C216" s="27" t="s">
        <v>699</v>
      </c>
      <c r="D216" s="27" t="s">
        <v>700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10.0</v>
      </c>
      <c r="K216" s="33" t="n">
        <f>576.6</f>
        <v>576.6</v>
      </c>
      <c r="L216" s="34" t="s">
        <v>48</v>
      </c>
      <c r="M216" s="33" t="n">
        <f>622.8</f>
        <v>622.8</v>
      </c>
      <c r="N216" s="34" t="s">
        <v>80</v>
      </c>
      <c r="O216" s="33" t="n">
        <f>559.4</f>
        <v>559.4</v>
      </c>
      <c r="P216" s="34" t="s">
        <v>50</v>
      </c>
      <c r="Q216" s="33" t="n">
        <f>613.4</f>
        <v>613.4</v>
      </c>
      <c r="R216" s="34" t="s">
        <v>51</v>
      </c>
      <c r="S216" s="35" t="n">
        <f>595.12</f>
        <v>595.12</v>
      </c>
      <c r="T216" s="32" t="n">
        <f>29749150</f>
        <v>2.974915E7</v>
      </c>
      <c r="U216" s="32" t="n">
        <f>2692740</f>
        <v>2692740.0</v>
      </c>
      <c r="V216" s="32" t="n">
        <f>17801846556</f>
        <v>1.7801846556E10</v>
      </c>
      <c r="W216" s="32" t="n">
        <f>1640862778</f>
        <v>1.640862778E9</v>
      </c>
      <c r="X216" s="36" t="n">
        <f>20</f>
        <v>20.0</v>
      </c>
    </row>
    <row r="217">
      <c r="A217" s="27" t="s">
        <v>42</v>
      </c>
      <c r="B217" s="27" t="s">
        <v>701</v>
      </c>
      <c r="C217" s="27" t="s">
        <v>702</v>
      </c>
      <c r="D217" s="27" t="s">
        <v>703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1182</f>
        <v>1182.0</v>
      </c>
      <c r="L217" s="34" t="s">
        <v>48</v>
      </c>
      <c r="M217" s="33" t="n">
        <f>1195.5</f>
        <v>1195.5</v>
      </c>
      <c r="N217" s="34" t="s">
        <v>62</v>
      </c>
      <c r="O217" s="33" t="n">
        <f>1146.5</f>
        <v>1146.5</v>
      </c>
      <c r="P217" s="34" t="s">
        <v>114</v>
      </c>
      <c r="Q217" s="33" t="n">
        <f>1165.5</f>
        <v>1165.5</v>
      </c>
      <c r="R217" s="34" t="s">
        <v>51</v>
      </c>
      <c r="S217" s="35" t="n">
        <f>1162.05</f>
        <v>1162.05</v>
      </c>
      <c r="T217" s="32" t="n">
        <f>111970</f>
        <v>111970.0</v>
      </c>
      <c r="U217" s="32" t="n">
        <f>40</f>
        <v>40.0</v>
      </c>
      <c r="V217" s="32" t="n">
        <f>130234165</f>
        <v>1.30234165E8</v>
      </c>
      <c r="W217" s="32" t="n">
        <f>46360</f>
        <v>46360.0</v>
      </c>
      <c r="X217" s="36" t="n">
        <f>20</f>
        <v>20.0</v>
      </c>
    </row>
    <row r="218">
      <c r="A218" s="27" t="s">
        <v>42</v>
      </c>
      <c r="B218" s="27" t="s">
        <v>704</v>
      </c>
      <c r="C218" s="27" t="s">
        <v>705</v>
      </c>
      <c r="D218" s="27" t="s">
        <v>706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1.0</v>
      </c>
      <c r="K218" s="33" t="n">
        <f>1070</f>
        <v>1070.0</v>
      </c>
      <c r="L218" s="34" t="s">
        <v>48</v>
      </c>
      <c r="M218" s="33" t="n">
        <f>1116</f>
        <v>1116.0</v>
      </c>
      <c r="N218" s="34" t="s">
        <v>49</v>
      </c>
      <c r="O218" s="33" t="n">
        <f>1047</f>
        <v>1047.0</v>
      </c>
      <c r="P218" s="34" t="s">
        <v>50</v>
      </c>
      <c r="Q218" s="33" t="n">
        <f>1091</f>
        <v>1091.0</v>
      </c>
      <c r="R218" s="34" t="s">
        <v>51</v>
      </c>
      <c r="S218" s="35" t="n">
        <f>1085.35</f>
        <v>1085.35</v>
      </c>
      <c r="T218" s="32" t="n">
        <f>11691</f>
        <v>11691.0</v>
      </c>
      <c r="U218" s="32" t="str">
        <f>"－"</f>
        <v>－</v>
      </c>
      <c r="V218" s="32" t="n">
        <f>12735663</f>
        <v>1.2735663E7</v>
      </c>
      <c r="W218" s="32" t="str">
        <f>"－"</f>
        <v>－</v>
      </c>
      <c r="X218" s="36" t="n">
        <f>20</f>
        <v>20.0</v>
      </c>
    </row>
    <row r="219">
      <c r="A219" s="27" t="s">
        <v>42</v>
      </c>
      <c r="B219" s="27" t="s">
        <v>707</v>
      </c>
      <c r="C219" s="27" t="s">
        <v>708</v>
      </c>
      <c r="D219" s="27" t="s">
        <v>709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915</f>
        <v>915.0</v>
      </c>
      <c r="L219" s="34" t="s">
        <v>48</v>
      </c>
      <c r="M219" s="33" t="n">
        <f>935.2</f>
        <v>935.2</v>
      </c>
      <c r="N219" s="34" t="s">
        <v>91</v>
      </c>
      <c r="O219" s="33" t="n">
        <f>890.9</f>
        <v>890.9</v>
      </c>
      <c r="P219" s="34" t="s">
        <v>71</v>
      </c>
      <c r="Q219" s="33" t="n">
        <f>925</f>
        <v>925.0</v>
      </c>
      <c r="R219" s="34" t="s">
        <v>51</v>
      </c>
      <c r="S219" s="35" t="n">
        <f>915.04</f>
        <v>915.04</v>
      </c>
      <c r="T219" s="32" t="n">
        <f>45120</f>
        <v>45120.0</v>
      </c>
      <c r="U219" s="32" t="str">
        <f>"－"</f>
        <v>－</v>
      </c>
      <c r="V219" s="32" t="n">
        <f>41072562</f>
        <v>4.1072562E7</v>
      </c>
      <c r="W219" s="32" t="str">
        <f>"－"</f>
        <v>－</v>
      </c>
      <c r="X219" s="36" t="n">
        <f>20</f>
        <v>20.0</v>
      </c>
    </row>
    <row r="220">
      <c r="A220" s="27" t="s">
        <v>42</v>
      </c>
      <c r="B220" s="27" t="s">
        <v>710</v>
      </c>
      <c r="C220" s="27" t="s">
        <v>711</v>
      </c>
      <c r="D220" s="27" t="s">
        <v>712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1095</f>
        <v>1095.0</v>
      </c>
      <c r="L220" s="34" t="s">
        <v>48</v>
      </c>
      <c r="M220" s="33" t="n">
        <f>1176</f>
        <v>1176.0</v>
      </c>
      <c r="N220" s="34" t="s">
        <v>114</v>
      </c>
      <c r="O220" s="33" t="n">
        <f>1095</f>
        <v>1095.0</v>
      </c>
      <c r="P220" s="34" t="s">
        <v>48</v>
      </c>
      <c r="Q220" s="33" t="n">
        <f>1161.5</f>
        <v>1161.5</v>
      </c>
      <c r="R220" s="34" t="s">
        <v>51</v>
      </c>
      <c r="S220" s="35" t="n">
        <f>1143.55</f>
        <v>1143.55</v>
      </c>
      <c r="T220" s="32" t="n">
        <f>79780</f>
        <v>79780.0</v>
      </c>
      <c r="U220" s="32" t="str">
        <f>"－"</f>
        <v>－</v>
      </c>
      <c r="V220" s="32" t="n">
        <f>90872555</f>
        <v>9.0872555E7</v>
      </c>
      <c r="W220" s="32" t="str">
        <f>"－"</f>
        <v>－</v>
      </c>
      <c r="X220" s="36" t="n">
        <f>20</f>
        <v>20.0</v>
      </c>
    </row>
    <row r="221">
      <c r="A221" s="27" t="s">
        <v>42</v>
      </c>
      <c r="B221" s="27" t="s">
        <v>713</v>
      </c>
      <c r="C221" s="27" t="s">
        <v>714</v>
      </c>
      <c r="D221" s="27" t="s">
        <v>715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1325</f>
        <v>1325.0</v>
      </c>
      <c r="L221" s="34" t="s">
        <v>48</v>
      </c>
      <c r="M221" s="33" t="n">
        <f>1374</f>
        <v>1374.0</v>
      </c>
      <c r="N221" s="34" t="s">
        <v>79</v>
      </c>
      <c r="O221" s="33" t="n">
        <f>1268.5</f>
        <v>1268.5</v>
      </c>
      <c r="P221" s="34" t="s">
        <v>50</v>
      </c>
      <c r="Q221" s="33" t="n">
        <f>1349</f>
        <v>1349.0</v>
      </c>
      <c r="R221" s="34" t="s">
        <v>51</v>
      </c>
      <c r="S221" s="35" t="n">
        <f>1336.33</f>
        <v>1336.33</v>
      </c>
      <c r="T221" s="32" t="n">
        <f>15283360</f>
        <v>1.528336E7</v>
      </c>
      <c r="U221" s="32" t="n">
        <f>7850100</f>
        <v>7850100.0</v>
      </c>
      <c r="V221" s="32" t="n">
        <f>20617192707</f>
        <v>2.0617192707E10</v>
      </c>
      <c r="W221" s="32" t="n">
        <f>10680341907</f>
        <v>1.0680341907E10</v>
      </c>
      <c r="X221" s="36" t="n">
        <f>20</f>
        <v>20.0</v>
      </c>
    </row>
    <row r="222">
      <c r="A222" s="27" t="s">
        <v>42</v>
      </c>
      <c r="B222" s="27" t="s">
        <v>716</v>
      </c>
      <c r="C222" s="27" t="s">
        <v>717</v>
      </c>
      <c r="D222" s="27" t="s">
        <v>718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3535</f>
        <v>3535.0</v>
      </c>
      <c r="L222" s="34" t="s">
        <v>48</v>
      </c>
      <c r="M222" s="33" t="n">
        <f>3695</f>
        <v>3695.0</v>
      </c>
      <c r="N222" s="34" t="s">
        <v>61</v>
      </c>
      <c r="O222" s="33" t="n">
        <f>3390</f>
        <v>3390.0</v>
      </c>
      <c r="P222" s="34" t="s">
        <v>90</v>
      </c>
      <c r="Q222" s="33" t="n">
        <f>3525</f>
        <v>3525.0</v>
      </c>
      <c r="R222" s="34" t="s">
        <v>51</v>
      </c>
      <c r="S222" s="35" t="n">
        <f>3555.5</f>
        <v>3555.5</v>
      </c>
      <c r="T222" s="32" t="n">
        <f>36987</f>
        <v>36987.0</v>
      </c>
      <c r="U222" s="32" t="str">
        <f>"－"</f>
        <v>－</v>
      </c>
      <c r="V222" s="32" t="n">
        <f>130158520</f>
        <v>1.3015852E8</v>
      </c>
      <c r="W222" s="32" t="str">
        <f>"－"</f>
        <v>－</v>
      </c>
      <c r="X222" s="36" t="n">
        <f>20</f>
        <v>20.0</v>
      </c>
    </row>
    <row r="223">
      <c r="A223" s="27" t="s">
        <v>42</v>
      </c>
      <c r="B223" s="27" t="s">
        <v>719</v>
      </c>
      <c r="C223" s="27" t="s">
        <v>720</v>
      </c>
      <c r="D223" s="27" t="s">
        <v>721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1627</f>
        <v>1627.0</v>
      </c>
      <c r="L223" s="34" t="s">
        <v>62</v>
      </c>
      <c r="M223" s="33" t="n">
        <f>1743.5</f>
        <v>1743.5</v>
      </c>
      <c r="N223" s="34" t="s">
        <v>49</v>
      </c>
      <c r="O223" s="33" t="n">
        <f>1591</f>
        <v>1591.0</v>
      </c>
      <c r="P223" s="34" t="s">
        <v>90</v>
      </c>
      <c r="Q223" s="33" t="n">
        <f>1689.5</f>
        <v>1689.5</v>
      </c>
      <c r="R223" s="34" t="s">
        <v>51</v>
      </c>
      <c r="S223" s="35" t="n">
        <f>1659.32</f>
        <v>1659.32</v>
      </c>
      <c r="T223" s="32" t="n">
        <f>8670</f>
        <v>8670.0</v>
      </c>
      <c r="U223" s="32" t="str">
        <f>"－"</f>
        <v>－</v>
      </c>
      <c r="V223" s="32" t="n">
        <f>14589430</f>
        <v>1.458943E7</v>
      </c>
      <c r="W223" s="32" t="str">
        <f>"－"</f>
        <v>－</v>
      </c>
      <c r="X223" s="36" t="n">
        <f>11</f>
        <v>11.0</v>
      </c>
    </row>
    <row r="224">
      <c r="A224" s="27" t="s">
        <v>42</v>
      </c>
      <c r="B224" s="27" t="s">
        <v>722</v>
      </c>
      <c r="C224" s="27" t="s">
        <v>723</v>
      </c>
      <c r="D224" s="27" t="s">
        <v>724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1958.5</f>
        <v>1958.5</v>
      </c>
      <c r="L224" s="34" t="s">
        <v>50</v>
      </c>
      <c r="M224" s="33" t="n">
        <f>2070</f>
        <v>2070.0</v>
      </c>
      <c r="N224" s="34" t="s">
        <v>49</v>
      </c>
      <c r="O224" s="33" t="n">
        <f>1958.5</f>
        <v>1958.5</v>
      </c>
      <c r="P224" s="34" t="s">
        <v>50</v>
      </c>
      <c r="Q224" s="33" t="n">
        <f>2035.5</f>
        <v>2035.5</v>
      </c>
      <c r="R224" s="34" t="s">
        <v>51</v>
      </c>
      <c r="S224" s="35" t="n">
        <f>2024.05</f>
        <v>2024.05</v>
      </c>
      <c r="T224" s="32" t="n">
        <f>111150</f>
        <v>111150.0</v>
      </c>
      <c r="U224" s="32" t="n">
        <f>67000</f>
        <v>67000.0</v>
      </c>
      <c r="V224" s="32" t="n">
        <f>224034563</f>
        <v>2.24034563E8</v>
      </c>
      <c r="W224" s="32" t="n">
        <f>134773568</f>
        <v>1.34773568E8</v>
      </c>
      <c r="X224" s="36" t="n">
        <f>11</f>
        <v>11.0</v>
      </c>
    </row>
    <row r="225">
      <c r="A225" s="27" t="s">
        <v>42</v>
      </c>
      <c r="B225" s="27" t="s">
        <v>725</v>
      </c>
      <c r="C225" s="27" t="s">
        <v>726</v>
      </c>
      <c r="D225" s="27" t="s">
        <v>727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28080</f>
        <v>28080.0</v>
      </c>
      <c r="L225" s="34" t="s">
        <v>62</v>
      </c>
      <c r="M225" s="33" t="n">
        <f>28915</f>
        <v>28915.0</v>
      </c>
      <c r="N225" s="34" t="s">
        <v>49</v>
      </c>
      <c r="O225" s="33" t="n">
        <f>27540</f>
        <v>27540.0</v>
      </c>
      <c r="P225" s="34" t="s">
        <v>50</v>
      </c>
      <c r="Q225" s="33" t="n">
        <f>28495</f>
        <v>28495.0</v>
      </c>
      <c r="R225" s="34" t="s">
        <v>80</v>
      </c>
      <c r="S225" s="35" t="n">
        <f>28362</f>
        <v>28362.0</v>
      </c>
      <c r="T225" s="32" t="n">
        <f>83634</f>
        <v>83634.0</v>
      </c>
      <c r="U225" s="32" t="n">
        <f>77200</f>
        <v>77200.0</v>
      </c>
      <c r="V225" s="32" t="n">
        <f>2347810471</f>
        <v>2.347810471E9</v>
      </c>
      <c r="W225" s="32" t="n">
        <f>2166254761</f>
        <v>2.166254761E9</v>
      </c>
      <c r="X225" s="36" t="n">
        <f>15</f>
        <v>15.0</v>
      </c>
    </row>
    <row r="226">
      <c r="A226" s="27" t="s">
        <v>42</v>
      </c>
      <c r="B226" s="27" t="s">
        <v>728</v>
      </c>
      <c r="C226" s="27" t="s">
        <v>729</v>
      </c>
      <c r="D226" s="27" t="s">
        <v>730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17710</f>
        <v>17710.0</v>
      </c>
      <c r="L226" s="34" t="s">
        <v>48</v>
      </c>
      <c r="M226" s="33" t="n">
        <f>18595</f>
        <v>18595.0</v>
      </c>
      <c r="N226" s="34" t="s">
        <v>49</v>
      </c>
      <c r="O226" s="33" t="n">
        <f>17710</f>
        <v>17710.0</v>
      </c>
      <c r="P226" s="34" t="s">
        <v>48</v>
      </c>
      <c r="Q226" s="33" t="n">
        <f>18245</f>
        <v>18245.0</v>
      </c>
      <c r="R226" s="34" t="s">
        <v>51</v>
      </c>
      <c r="S226" s="35" t="n">
        <f>18126.67</f>
        <v>18126.67</v>
      </c>
      <c r="T226" s="32" t="n">
        <f>4064</f>
        <v>4064.0</v>
      </c>
      <c r="U226" s="32" t="str">
        <f>"－"</f>
        <v>－</v>
      </c>
      <c r="V226" s="32" t="n">
        <f>73129475</f>
        <v>7.3129475E7</v>
      </c>
      <c r="W226" s="32" t="str">
        <f>"－"</f>
        <v>－</v>
      </c>
      <c r="X226" s="36" t="n">
        <f>9</f>
        <v>9.0</v>
      </c>
    </row>
    <row r="227">
      <c r="A227" s="27" t="s">
        <v>42</v>
      </c>
      <c r="B227" s="27" t="s">
        <v>731</v>
      </c>
      <c r="C227" s="27" t="s">
        <v>732</v>
      </c>
      <c r="D227" s="27" t="s">
        <v>733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1183.5</f>
        <v>1183.5</v>
      </c>
      <c r="L227" s="34" t="s">
        <v>48</v>
      </c>
      <c r="M227" s="33" t="n">
        <f>1191</f>
        <v>1191.0</v>
      </c>
      <c r="N227" s="34" t="s">
        <v>62</v>
      </c>
      <c r="O227" s="33" t="n">
        <f>1164.5</f>
        <v>1164.5</v>
      </c>
      <c r="P227" s="34" t="s">
        <v>172</v>
      </c>
      <c r="Q227" s="33" t="n">
        <f>1182.5</f>
        <v>1182.5</v>
      </c>
      <c r="R227" s="34" t="s">
        <v>51</v>
      </c>
      <c r="S227" s="35" t="n">
        <f>1179.67</f>
        <v>1179.67</v>
      </c>
      <c r="T227" s="32" t="n">
        <f>20330</f>
        <v>20330.0</v>
      </c>
      <c r="U227" s="32" t="str">
        <f>"－"</f>
        <v>－</v>
      </c>
      <c r="V227" s="32" t="n">
        <f>24057590</f>
        <v>2.405759E7</v>
      </c>
      <c r="W227" s="32" t="str">
        <f>"－"</f>
        <v>－</v>
      </c>
      <c r="X227" s="36" t="n">
        <f>6</f>
        <v>6.0</v>
      </c>
    </row>
    <row r="228">
      <c r="A228" s="27" t="s">
        <v>42</v>
      </c>
      <c r="B228" s="27" t="s">
        <v>734</v>
      </c>
      <c r="C228" s="27" t="s">
        <v>735</v>
      </c>
      <c r="D228" s="27" t="s">
        <v>736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10.0</v>
      </c>
      <c r="K228" s="33" t="n">
        <f>1170</f>
        <v>1170.0</v>
      </c>
      <c r="L228" s="34" t="s">
        <v>48</v>
      </c>
      <c r="M228" s="33" t="n">
        <f>1185</f>
        <v>1185.0</v>
      </c>
      <c r="N228" s="34" t="s">
        <v>48</v>
      </c>
      <c r="O228" s="33" t="n">
        <f>1150</f>
        <v>1150.0</v>
      </c>
      <c r="P228" s="34" t="s">
        <v>114</v>
      </c>
      <c r="Q228" s="33" t="n">
        <f>1169.5</f>
        <v>1169.5</v>
      </c>
      <c r="R228" s="34" t="s">
        <v>51</v>
      </c>
      <c r="S228" s="35" t="n">
        <f>1163.08</f>
        <v>1163.08</v>
      </c>
      <c r="T228" s="32" t="n">
        <f>209220</f>
        <v>209220.0</v>
      </c>
      <c r="U228" s="32" t="n">
        <f>106000</f>
        <v>106000.0</v>
      </c>
      <c r="V228" s="32" t="n">
        <f>243923065</f>
        <v>2.43923065E8</v>
      </c>
      <c r="W228" s="32" t="n">
        <f>123605000</f>
        <v>1.23605E8</v>
      </c>
      <c r="X228" s="36" t="n">
        <f>19</f>
        <v>19.0</v>
      </c>
    </row>
    <row r="229">
      <c r="A229" s="27" t="s">
        <v>42</v>
      </c>
      <c r="B229" s="27" t="s">
        <v>737</v>
      </c>
      <c r="C229" s="27" t="s">
        <v>738</v>
      </c>
      <c r="D229" s="27" t="s">
        <v>739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1222</f>
        <v>1222.0</v>
      </c>
      <c r="L229" s="34" t="s">
        <v>48</v>
      </c>
      <c r="M229" s="33" t="n">
        <f>1260</f>
        <v>1260.0</v>
      </c>
      <c r="N229" s="34" t="s">
        <v>91</v>
      </c>
      <c r="O229" s="33" t="n">
        <f>1210</f>
        <v>1210.0</v>
      </c>
      <c r="P229" s="34" t="s">
        <v>61</v>
      </c>
      <c r="Q229" s="33" t="n">
        <f>1246</f>
        <v>1246.0</v>
      </c>
      <c r="R229" s="34" t="s">
        <v>51</v>
      </c>
      <c r="S229" s="35" t="n">
        <f>1233.2</f>
        <v>1233.2</v>
      </c>
      <c r="T229" s="32" t="n">
        <f>111319</f>
        <v>111319.0</v>
      </c>
      <c r="U229" s="32" t="n">
        <f>596</f>
        <v>596.0</v>
      </c>
      <c r="V229" s="32" t="n">
        <f>137144130</f>
        <v>1.3714413E8</v>
      </c>
      <c r="W229" s="32" t="n">
        <f>691961</f>
        <v>691961.0</v>
      </c>
      <c r="X229" s="36" t="n">
        <f>20</f>
        <v>20.0</v>
      </c>
    </row>
    <row r="230">
      <c r="A230" s="27" t="s">
        <v>42</v>
      </c>
      <c r="B230" s="27" t="s">
        <v>740</v>
      </c>
      <c r="C230" s="27" t="s">
        <v>741</v>
      </c>
      <c r="D230" s="27" t="s">
        <v>742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12455</f>
        <v>12455.0</v>
      </c>
      <c r="L230" s="34" t="s">
        <v>48</v>
      </c>
      <c r="M230" s="33" t="n">
        <f>13230</f>
        <v>13230.0</v>
      </c>
      <c r="N230" s="34" t="s">
        <v>90</v>
      </c>
      <c r="O230" s="33" t="n">
        <f>12140</f>
        <v>12140.0</v>
      </c>
      <c r="P230" s="34" t="s">
        <v>91</v>
      </c>
      <c r="Q230" s="33" t="n">
        <f>12900</f>
        <v>12900.0</v>
      </c>
      <c r="R230" s="34" t="s">
        <v>51</v>
      </c>
      <c r="S230" s="35" t="n">
        <f>12705</f>
        <v>12705.0</v>
      </c>
      <c r="T230" s="32" t="n">
        <f>3954</f>
        <v>3954.0</v>
      </c>
      <c r="U230" s="32" t="str">
        <f>"－"</f>
        <v>－</v>
      </c>
      <c r="V230" s="32" t="n">
        <f>50098620</f>
        <v>5.009862E7</v>
      </c>
      <c r="W230" s="32" t="str">
        <f>"－"</f>
        <v>－</v>
      </c>
      <c r="X230" s="36" t="n">
        <f>20</f>
        <v>20.0</v>
      </c>
    </row>
    <row r="231">
      <c r="A231" s="27" t="s">
        <v>42</v>
      </c>
      <c r="B231" s="27" t="s">
        <v>743</v>
      </c>
      <c r="C231" s="27" t="s">
        <v>744</v>
      </c>
      <c r="D231" s="27" t="s">
        <v>745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2116</f>
        <v>2116.0</v>
      </c>
      <c r="L231" s="34" t="s">
        <v>48</v>
      </c>
      <c r="M231" s="33" t="n">
        <f>2142</f>
        <v>2142.0</v>
      </c>
      <c r="N231" s="34" t="s">
        <v>48</v>
      </c>
      <c r="O231" s="33" t="n">
        <f>2031</f>
        <v>2031.0</v>
      </c>
      <c r="P231" s="34" t="s">
        <v>245</v>
      </c>
      <c r="Q231" s="33" t="n">
        <f>2106</f>
        <v>2106.0</v>
      </c>
      <c r="R231" s="34" t="s">
        <v>51</v>
      </c>
      <c r="S231" s="35" t="n">
        <f>2096.1</f>
        <v>2096.1</v>
      </c>
      <c r="T231" s="32" t="n">
        <f>448632</f>
        <v>448632.0</v>
      </c>
      <c r="U231" s="32" t="n">
        <f>440000</f>
        <v>440000.0</v>
      </c>
      <c r="V231" s="32" t="n">
        <f>947695526</f>
        <v>9.47695526E8</v>
      </c>
      <c r="W231" s="32" t="n">
        <f>929588000</f>
        <v>9.29588E8</v>
      </c>
      <c r="X231" s="36" t="n">
        <f>20</f>
        <v>20.0</v>
      </c>
    </row>
    <row r="232">
      <c r="A232" s="27" t="s">
        <v>42</v>
      </c>
      <c r="B232" s="27" t="s">
        <v>746</v>
      </c>
      <c r="C232" s="27" t="s">
        <v>747</v>
      </c>
      <c r="D232" s="27" t="s">
        <v>748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1584.5</f>
        <v>1584.5</v>
      </c>
      <c r="L232" s="34" t="s">
        <v>48</v>
      </c>
      <c r="M232" s="33" t="n">
        <f>1729.5</f>
        <v>1729.5</v>
      </c>
      <c r="N232" s="34" t="s">
        <v>245</v>
      </c>
      <c r="O232" s="33" t="n">
        <f>1538</f>
        <v>1538.0</v>
      </c>
      <c r="P232" s="34" t="s">
        <v>91</v>
      </c>
      <c r="Q232" s="33" t="n">
        <f>1614</f>
        <v>1614.0</v>
      </c>
      <c r="R232" s="34" t="s">
        <v>51</v>
      </c>
      <c r="S232" s="35" t="n">
        <f>1634.18</f>
        <v>1634.18</v>
      </c>
      <c r="T232" s="32" t="n">
        <f>1750</f>
        <v>1750.0</v>
      </c>
      <c r="U232" s="32" t="str">
        <f>"－"</f>
        <v>－</v>
      </c>
      <c r="V232" s="32" t="n">
        <f>2872445</f>
        <v>2872445.0</v>
      </c>
      <c r="W232" s="32" t="str">
        <f>"－"</f>
        <v>－</v>
      </c>
      <c r="X232" s="36" t="n">
        <f>17</f>
        <v>17.0</v>
      </c>
    </row>
    <row r="233">
      <c r="A233" s="27" t="s">
        <v>42</v>
      </c>
      <c r="B233" s="27" t="s">
        <v>749</v>
      </c>
      <c r="C233" s="27" t="s">
        <v>750</v>
      </c>
      <c r="D233" s="27" t="s">
        <v>751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836.6</f>
        <v>836.6</v>
      </c>
      <c r="L233" s="34" t="s">
        <v>48</v>
      </c>
      <c r="M233" s="33" t="n">
        <f>869.9</f>
        <v>869.9</v>
      </c>
      <c r="N233" s="34" t="s">
        <v>91</v>
      </c>
      <c r="O233" s="33" t="n">
        <f>830</f>
        <v>830.0</v>
      </c>
      <c r="P233" s="34" t="s">
        <v>50</v>
      </c>
      <c r="Q233" s="33" t="n">
        <f>854.2</f>
        <v>854.2</v>
      </c>
      <c r="R233" s="34" t="s">
        <v>51</v>
      </c>
      <c r="S233" s="35" t="n">
        <f>845.68</f>
        <v>845.68</v>
      </c>
      <c r="T233" s="32" t="n">
        <f>506410</f>
        <v>506410.0</v>
      </c>
      <c r="U233" s="32" t="n">
        <f>263500</f>
        <v>263500.0</v>
      </c>
      <c r="V233" s="32" t="n">
        <f>428277893</f>
        <v>4.28277893E8</v>
      </c>
      <c r="W233" s="32" t="n">
        <f>222949942</f>
        <v>2.22949942E8</v>
      </c>
      <c r="X233" s="36" t="n">
        <f>20</f>
        <v>20.0</v>
      </c>
    </row>
    <row r="234">
      <c r="A234" s="27" t="s">
        <v>42</v>
      </c>
      <c r="B234" s="27" t="s">
        <v>752</v>
      </c>
      <c r="C234" s="27" t="s">
        <v>753</v>
      </c>
      <c r="D234" s="27" t="s">
        <v>754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2026</f>
        <v>2026.0</v>
      </c>
      <c r="L234" s="34" t="s">
        <v>48</v>
      </c>
      <c r="M234" s="33" t="n">
        <f>2036</f>
        <v>2036.0</v>
      </c>
      <c r="N234" s="34" t="s">
        <v>48</v>
      </c>
      <c r="O234" s="33" t="n">
        <f>1980</f>
        <v>1980.0</v>
      </c>
      <c r="P234" s="34" t="s">
        <v>90</v>
      </c>
      <c r="Q234" s="33" t="n">
        <f>2012.5</f>
        <v>2012.5</v>
      </c>
      <c r="R234" s="34" t="s">
        <v>51</v>
      </c>
      <c r="S234" s="35" t="n">
        <f>2004.03</f>
        <v>2004.03</v>
      </c>
      <c r="T234" s="32" t="n">
        <f>7050</f>
        <v>7050.0</v>
      </c>
      <c r="U234" s="32" t="n">
        <f>10</f>
        <v>10.0</v>
      </c>
      <c r="V234" s="32" t="n">
        <f>14131515</f>
        <v>1.4131515E7</v>
      </c>
      <c r="W234" s="32" t="n">
        <f>20115</f>
        <v>20115.0</v>
      </c>
      <c r="X234" s="36" t="n">
        <f>19</f>
        <v>19.0</v>
      </c>
    </row>
    <row r="235">
      <c r="A235" s="27" t="s">
        <v>42</v>
      </c>
      <c r="B235" s="27" t="s">
        <v>755</v>
      </c>
      <c r="C235" s="27" t="s">
        <v>756</v>
      </c>
      <c r="D235" s="27" t="s">
        <v>757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2018</f>
        <v>2018.0</v>
      </c>
      <c r="L235" s="34" t="s">
        <v>48</v>
      </c>
      <c r="M235" s="33" t="n">
        <f>2037</f>
        <v>2037.0</v>
      </c>
      <c r="N235" s="34" t="s">
        <v>62</v>
      </c>
      <c r="O235" s="33" t="n">
        <f>1968</f>
        <v>1968.0</v>
      </c>
      <c r="P235" s="34" t="s">
        <v>90</v>
      </c>
      <c r="Q235" s="33" t="n">
        <f>2009.5</f>
        <v>2009.5</v>
      </c>
      <c r="R235" s="34" t="s">
        <v>51</v>
      </c>
      <c r="S235" s="35" t="n">
        <f>1997.38</f>
        <v>1997.38</v>
      </c>
      <c r="T235" s="32" t="n">
        <f>323310</f>
        <v>323310.0</v>
      </c>
      <c r="U235" s="32" t="n">
        <f>261000</f>
        <v>261000.0</v>
      </c>
      <c r="V235" s="32" t="n">
        <f>642756505</f>
        <v>6.42756505E8</v>
      </c>
      <c r="W235" s="32" t="n">
        <f>518258040</f>
        <v>5.1825804E8</v>
      </c>
      <c r="X235" s="36" t="n">
        <f>20</f>
        <v>20.0</v>
      </c>
    </row>
    <row r="236">
      <c r="A236" s="27" t="s">
        <v>42</v>
      </c>
      <c r="B236" s="27" t="s">
        <v>758</v>
      </c>
      <c r="C236" s="27" t="s">
        <v>759</v>
      </c>
      <c r="D236" s="27" t="s">
        <v>760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10.0</v>
      </c>
      <c r="K236" s="33" t="n">
        <f>1927</f>
        <v>1927.0</v>
      </c>
      <c r="L236" s="34" t="s">
        <v>50</v>
      </c>
      <c r="M236" s="33" t="n">
        <f>2035.5</f>
        <v>2035.5</v>
      </c>
      <c r="N236" s="34" t="s">
        <v>49</v>
      </c>
      <c r="O236" s="33" t="n">
        <f>1927</f>
        <v>1927.0</v>
      </c>
      <c r="P236" s="34" t="s">
        <v>50</v>
      </c>
      <c r="Q236" s="33" t="n">
        <f>2035</f>
        <v>2035.0</v>
      </c>
      <c r="R236" s="34" t="s">
        <v>49</v>
      </c>
      <c r="S236" s="35" t="n">
        <f>1974.36</f>
        <v>1974.36</v>
      </c>
      <c r="T236" s="32" t="n">
        <f>255710</f>
        <v>255710.0</v>
      </c>
      <c r="U236" s="32" t="n">
        <f>255150</f>
        <v>255150.0</v>
      </c>
      <c r="V236" s="32" t="n">
        <f>506825632</f>
        <v>5.06825632E8</v>
      </c>
      <c r="W236" s="32" t="n">
        <f>505717897</f>
        <v>5.05717897E8</v>
      </c>
      <c r="X236" s="36" t="n">
        <f>7</f>
        <v>7.0</v>
      </c>
    </row>
    <row r="237">
      <c r="A237" s="27" t="s">
        <v>42</v>
      </c>
      <c r="B237" s="27" t="s">
        <v>761</v>
      </c>
      <c r="C237" s="27" t="s">
        <v>762</v>
      </c>
      <c r="D237" s="27" t="s">
        <v>763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16630</f>
        <v>16630.0</v>
      </c>
      <c r="L237" s="34" t="s">
        <v>48</v>
      </c>
      <c r="M237" s="33" t="n">
        <f>16650</f>
        <v>16650.0</v>
      </c>
      <c r="N237" s="34" t="s">
        <v>48</v>
      </c>
      <c r="O237" s="33" t="n">
        <f>15805</f>
        <v>15805.0</v>
      </c>
      <c r="P237" s="34" t="s">
        <v>101</v>
      </c>
      <c r="Q237" s="33" t="n">
        <f>15835</f>
        <v>15835.0</v>
      </c>
      <c r="R237" s="34" t="s">
        <v>51</v>
      </c>
      <c r="S237" s="35" t="n">
        <f>16075.5</f>
        <v>16075.5</v>
      </c>
      <c r="T237" s="32" t="n">
        <f>1233806</f>
        <v>1233806.0</v>
      </c>
      <c r="U237" s="32" t="n">
        <f>220041</f>
        <v>220041.0</v>
      </c>
      <c r="V237" s="32" t="n">
        <f>19863454939</f>
        <v>1.9863454939E10</v>
      </c>
      <c r="W237" s="32" t="n">
        <f>3550068534</f>
        <v>3.550068534E9</v>
      </c>
      <c r="X237" s="36" t="n">
        <f>20</f>
        <v>20.0</v>
      </c>
    </row>
    <row r="238">
      <c r="A238" s="27" t="s">
        <v>42</v>
      </c>
      <c r="B238" s="27" t="s">
        <v>764</v>
      </c>
      <c r="C238" s="27" t="s">
        <v>765</v>
      </c>
      <c r="D238" s="27" t="s">
        <v>766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14365</f>
        <v>14365.0</v>
      </c>
      <c r="L238" s="34" t="s">
        <v>48</v>
      </c>
      <c r="M238" s="33" t="n">
        <f>15000</f>
        <v>15000.0</v>
      </c>
      <c r="N238" s="34" t="s">
        <v>49</v>
      </c>
      <c r="O238" s="33" t="n">
        <f>14025</f>
        <v>14025.0</v>
      </c>
      <c r="P238" s="34" t="s">
        <v>50</v>
      </c>
      <c r="Q238" s="33" t="n">
        <f>14265</f>
        <v>14265.0</v>
      </c>
      <c r="R238" s="34" t="s">
        <v>51</v>
      </c>
      <c r="S238" s="35" t="n">
        <f>14332.75</f>
        <v>14332.75</v>
      </c>
      <c r="T238" s="32" t="n">
        <f>183548</f>
        <v>183548.0</v>
      </c>
      <c r="U238" s="32" t="n">
        <f>35000</f>
        <v>35000.0</v>
      </c>
      <c r="V238" s="32" t="n">
        <f>2625275845</f>
        <v>2.625275845E9</v>
      </c>
      <c r="W238" s="32" t="n">
        <f>496618225</f>
        <v>4.96618225E8</v>
      </c>
      <c r="X238" s="36" t="n">
        <f>20</f>
        <v>20.0</v>
      </c>
    </row>
    <row r="239">
      <c r="A239" s="27" t="s">
        <v>42</v>
      </c>
      <c r="B239" s="27" t="s">
        <v>767</v>
      </c>
      <c r="C239" s="27" t="s">
        <v>768</v>
      </c>
      <c r="D239" s="27" t="s">
        <v>769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26120</f>
        <v>26120.0</v>
      </c>
      <c r="L239" s="34" t="s">
        <v>48</v>
      </c>
      <c r="M239" s="33" t="n">
        <f>26870</f>
        <v>26870.0</v>
      </c>
      <c r="N239" s="34" t="s">
        <v>49</v>
      </c>
      <c r="O239" s="33" t="n">
        <f>25775</f>
        <v>25775.0</v>
      </c>
      <c r="P239" s="34" t="s">
        <v>50</v>
      </c>
      <c r="Q239" s="33" t="n">
        <f>26870</f>
        <v>26870.0</v>
      </c>
      <c r="R239" s="34" t="s">
        <v>49</v>
      </c>
      <c r="S239" s="35" t="n">
        <f>26204.38</f>
        <v>26204.38</v>
      </c>
      <c r="T239" s="32" t="n">
        <f>21</f>
        <v>21.0</v>
      </c>
      <c r="U239" s="32" t="str">
        <f>"－"</f>
        <v>－</v>
      </c>
      <c r="V239" s="32" t="n">
        <f>555390</f>
        <v>555390.0</v>
      </c>
      <c r="W239" s="32" t="str">
        <f>"－"</f>
        <v>－</v>
      </c>
      <c r="X239" s="36" t="n">
        <f>8</f>
        <v>8.0</v>
      </c>
    </row>
    <row r="240">
      <c r="A240" s="27" t="s">
        <v>42</v>
      </c>
      <c r="B240" s="27" t="s">
        <v>770</v>
      </c>
      <c r="C240" s="27" t="s">
        <v>771</v>
      </c>
      <c r="D240" s="27" t="s">
        <v>772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2524</f>
        <v>2524.0</v>
      </c>
      <c r="L240" s="34" t="s">
        <v>48</v>
      </c>
      <c r="M240" s="33" t="n">
        <f>2549</f>
        <v>2549.0</v>
      </c>
      <c r="N240" s="34" t="s">
        <v>114</v>
      </c>
      <c r="O240" s="33" t="n">
        <f>2505</f>
        <v>2505.0</v>
      </c>
      <c r="P240" s="34" t="s">
        <v>50</v>
      </c>
      <c r="Q240" s="33" t="n">
        <f>2515</f>
        <v>2515.0</v>
      </c>
      <c r="R240" s="34" t="s">
        <v>51</v>
      </c>
      <c r="S240" s="35" t="n">
        <f>2524.2</f>
        <v>2524.2</v>
      </c>
      <c r="T240" s="32" t="n">
        <f>92871</f>
        <v>92871.0</v>
      </c>
      <c r="U240" s="32" t="n">
        <f>11357</f>
        <v>11357.0</v>
      </c>
      <c r="V240" s="32" t="n">
        <f>234833543</f>
        <v>2.34833543E8</v>
      </c>
      <c r="W240" s="32" t="n">
        <f>28654960</f>
        <v>2.865496E7</v>
      </c>
      <c r="X240" s="36" t="n">
        <f>20</f>
        <v>20.0</v>
      </c>
    </row>
    <row r="241">
      <c r="A241" s="27" t="s">
        <v>42</v>
      </c>
      <c r="B241" s="27" t="s">
        <v>773</v>
      </c>
      <c r="C241" s="27" t="s">
        <v>774</v>
      </c>
      <c r="D241" s="27" t="s">
        <v>775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2775</f>
        <v>2775.0</v>
      </c>
      <c r="L241" s="34" t="s">
        <v>48</v>
      </c>
      <c r="M241" s="33" t="n">
        <f>2893.5</f>
        <v>2893.5</v>
      </c>
      <c r="N241" s="34" t="s">
        <v>49</v>
      </c>
      <c r="O241" s="33" t="n">
        <f>2703.5</f>
        <v>2703.5</v>
      </c>
      <c r="P241" s="34" t="s">
        <v>50</v>
      </c>
      <c r="Q241" s="33" t="n">
        <f>2856.5</f>
        <v>2856.5</v>
      </c>
      <c r="R241" s="34" t="s">
        <v>51</v>
      </c>
      <c r="S241" s="35" t="n">
        <f>2823.78</f>
        <v>2823.78</v>
      </c>
      <c r="T241" s="32" t="n">
        <f>1805600</f>
        <v>1805600.0</v>
      </c>
      <c r="U241" s="32" t="n">
        <f>1089800</f>
        <v>1089800.0</v>
      </c>
      <c r="V241" s="32" t="n">
        <f>5098794481</f>
        <v>5.098794481E9</v>
      </c>
      <c r="W241" s="32" t="n">
        <f>3085493281</f>
        <v>3.085493281E9</v>
      </c>
      <c r="X241" s="36" t="n">
        <f>20</f>
        <v>20.0</v>
      </c>
    </row>
    <row r="242">
      <c r="A242" s="27" t="s">
        <v>42</v>
      </c>
      <c r="B242" s="27" t="s">
        <v>776</v>
      </c>
      <c r="C242" s="27" t="s">
        <v>777</v>
      </c>
      <c r="D242" s="27" t="s">
        <v>778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245.5</f>
        <v>245.5</v>
      </c>
      <c r="L242" s="34" t="s">
        <v>48</v>
      </c>
      <c r="M242" s="33" t="n">
        <f>254.8</f>
        <v>254.8</v>
      </c>
      <c r="N242" s="34" t="s">
        <v>49</v>
      </c>
      <c r="O242" s="33" t="n">
        <f>235.1</f>
        <v>235.1</v>
      </c>
      <c r="P242" s="34" t="s">
        <v>50</v>
      </c>
      <c r="Q242" s="33" t="n">
        <f>250.1</f>
        <v>250.1</v>
      </c>
      <c r="R242" s="34" t="s">
        <v>51</v>
      </c>
      <c r="S242" s="35" t="n">
        <f>247.83</f>
        <v>247.83</v>
      </c>
      <c r="T242" s="32" t="n">
        <f>106338480</f>
        <v>1.0633848E8</v>
      </c>
      <c r="U242" s="32" t="n">
        <f>37423620</f>
        <v>3.742362E7</v>
      </c>
      <c r="V242" s="32" t="n">
        <f>26387987879</f>
        <v>2.6387987879E10</v>
      </c>
      <c r="W242" s="32" t="n">
        <f>9341844737</f>
        <v>9.341844737E9</v>
      </c>
      <c r="X242" s="36" t="n">
        <f>20</f>
        <v>20.0</v>
      </c>
    </row>
    <row r="243">
      <c r="A243" s="27" t="s">
        <v>42</v>
      </c>
      <c r="B243" s="27" t="s">
        <v>779</v>
      </c>
      <c r="C243" s="27" t="s">
        <v>780</v>
      </c>
      <c r="D243" s="27" t="s">
        <v>781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1950</f>
        <v>1950.0</v>
      </c>
      <c r="L243" s="34" t="s">
        <v>48</v>
      </c>
      <c r="M243" s="33" t="n">
        <f>2050</f>
        <v>2050.0</v>
      </c>
      <c r="N243" s="34" t="s">
        <v>91</v>
      </c>
      <c r="O243" s="33" t="n">
        <f>1930</f>
        <v>1930.0</v>
      </c>
      <c r="P243" s="34" t="s">
        <v>48</v>
      </c>
      <c r="Q243" s="33" t="n">
        <f>2012</f>
        <v>2012.0</v>
      </c>
      <c r="R243" s="34" t="s">
        <v>51</v>
      </c>
      <c r="S243" s="35" t="n">
        <f>1992.6</f>
        <v>1992.6</v>
      </c>
      <c r="T243" s="32" t="n">
        <f>93730</f>
        <v>93730.0</v>
      </c>
      <c r="U243" s="32" t="n">
        <f>4000</f>
        <v>4000.0</v>
      </c>
      <c r="V243" s="32" t="n">
        <f>186109410</f>
        <v>1.8610941E8</v>
      </c>
      <c r="W243" s="32" t="n">
        <f>7936800</f>
        <v>7936800.0</v>
      </c>
      <c r="X243" s="36" t="n">
        <f>20</f>
        <v>20.0</v>
      </c>
    </row>
    <row r="244">
      <c r="A244" s="27" t="s">
        <v>42</v>
      </c>
      <c r="B244" s="27" t="s">
        <v>782</v>
      </c>
      <c r="C244" s="27" t="s">
        <v>783</v>
      </c>
      <c r="D244" s="27" t="s">
        <v>784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1037</f>
        <v>1037.0</v>
      </c>
      <c r="L244" s="34" t="s">
        <v>48</v>
      </c>
      <c r="M244" s="33" t="n">
        <f>1081</f>
        <v>1081.0</v>
      </c>
      <c r="N244" s="34" t="s">
        <v>80</v>
      </c>
      <c r="O244" s="33" t="n">
        <f>1025</f>
        <v>1025.0</v>
      </c>
      <c r="P244" s="34" t="s">
        <v>90</v>
      </c>
      <c r="Q244" s="33" t="n">
        <f>1063</f>
        <v>1063.0</v>
      </c>
      <c r="R244" s="34" t="s">
        <v>51</v>
      </c>
      <c r="S244" s="35" t="n">
        <f>1055.55</f>
        <v>1055.55</v>
      </c>
      <c r="T244" s="32" t="n">
        <f>44965</f>
        <v>44965.0</v>
      </c>
      <c r="U244" s="32" t="n">
        <f>4</f>
        <v>4.0</v>
      </c>
      <c r="V244" s="32" t="n">
        <f>47335716</f>
        <v>4.7335716E7</v>
      </c>
      <c r="W244" s="32" t="n">
        <f>4223</f>
        <v>4223.0</v>
      </c>
      <c r="X244" s="36" t="n">
        <f>20</f>
        <v>20.0</v>
      </c>
    </row>
    <row r="245">
      <c r="A245" s="27" t="s">
        <v>42</v>
      </c>
      <c r="B245" s="27" t="s">
        <v>785</v>
      </c>
      <c r="C245" s="27" t="s">
        <v>786</v>
      </c>
      <c r="D245" s="27" t="s">
        <v>787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1113.5</f>
        <v>1113.5</v>
      </c>
      <c r="L245" s="34" t="s">
        <v>48</v>
      </c>
      <c r="M245" s="33" t="n">
        <f>1138</f>
        <v>1138.0</v>
      </c>
      <c r="N245" s="34" t="s">
        <v>71</v>
      </c>
      <c r="O245" s="33" t="n">
        <f>1081</f>
        <v>1081.0</v>
      </c>
      <c r="P245" s="34" t="s">
        <v>172</v>
      </c>
      <c r="Q245" s="33" t="n">
        <f>1107.5</f>
        <v>1107.5</v>
      </c>
      <c r="R245" s="34" t="s">
        <v>51</v>
      </c>
      <c r="S245" s="35" t="n">
        <f>1102.4</f>
        <v>1102.4</v>
      </c>
      <c r="T245" s="32" t="n">
        <f>185910</f>
        <v>185910.0</v>
      </c>
      <c r="U245" s="32" t="n">
        <f>180200</f>
        <v>180200.0</v>
      </c>
      <c r="V245" s="32" t="n">
        <f>205959792</f>
        <v>2.05959792E8</v>
      </c>
      <c r="W245" s="32" t="n">
        <f>199659417</f>
        <v>1.99659417E8</v>
      </c>
      <c r="X245" s="36" t="n">
        <f>20</f>
        <v>20.0</v>
      </c>
    </row>
    <row r="246">
      <c r="A246" s="27" t="s">
        <v>42</v>
      </c>
      <c r="B246" s="27" t="s">
        <v>788</v>
      </c>
      <c r="C246" s="27" t="s">
        <v>789</v>
      </c>
      <c r="D246" s="27" t="s">
        <v>790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243.8</f>
        <v>243.8</v>
      </c>
      <c r="L246" s="34" t="s">
        <v>48</v>
      </c>
      <c r="M246" s="33" t="n">
        <f>254.5</f>
        <v>254.5</v>
      </c>
      <c r="N246" s="34" t="s">
        <v>114</v>
      </c>
      <c r="O246" s="33" t="n">
        <f>241.6</f>
        <v>241.6</v>
      </c>
      <c r="P246" s="34" t="s">
        <v>114</v>
      </c>
      <c r="Q246" s="33" t="n">
        <f>253.9</f>
        <v>253.9</v>
      </c>
      <c r="R246" s="34" t="s">
        <v>51</v>
      </c>
      <c r="S246" s="35" t="n">
        <f>249.57</f>
        <v>249.57</v>
      </c>
      <c r="T246" s="32" t="n">
        <f>6070</f>
        <v>6070.0</v>
      </c>
      <c r="U246" s="32" t="str">
        <f>"－"</f>
        <v>－</v>
      </c>
      <c r="V246" s="32" t="n">
        <f>1507269</f>
        <v>1507269.0</v>
      </c>
      <c r="W246" s="32" t="str">
        <f>"－"</f>
        <v>－</v>
      </c>
      <c r="X246" s="36" t="n">
        <f>18</f>
        <v>18.0</v>
      </c>
    </row>
    <row r="247">
      <c r="A247" s="27" t="s">
        <v>42</v>
      </c>
      <c r="B247" s="27" t="s">
        <v>791</v>
      </c>
      <c r="C247" s="27" t="s">
        <v>792</v>
      </c>
      <c r="D247" s="27" t="s">
        <v>793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2928</f>
        <v>2928.0</v>
      </c>
      <c r="L247" s="34" t="s">
        <v>48</v>
      </c>
      <c r="M247" s="33" t="n">
        <f>2935</f>
        <v>2935.0</v>
      </c>
      <c r="N247" s="34" t="s">
        <v>48</v>
      </c>
      <c r="O247" s="33" t="n">
        <f>2722</f>
        <v>2722.0</v>
      </c>
      <c r="P247" s="34" t="s">
        <v>90</v>
      </c>
      <c r="Q247" s="33" t="n">
        <f>2750</f>
        <v>2750.0</v>
      </c>
      <c r="R247" s="34" t="s">
        <v>51</v>
      </c>
      <c r="S247" s="35" t="n">
        <f>2812.63</f>
        <v>2812.63</v>
      </c>
      <c r="T247" s="32" t="n">
        <f>903020</f>
        <v>903020.0</v>
      </c>
      <c r="U247" s="32" t="str">
        <f>"－"</f>
        <v>－</v>
      </c>
      <c r="V247" s="32" t="n">
        <f>2517419505</f>
        <v>2.517419505E9</v>
      </c>
      <c r="W247" s="32" t="str">
        <f>"－"</f>
        <v>－</v>
      </c>
      <c r="X247" s="36" t="n">
        <f>20</f>
        <v>20.0</v>
      </c>
    </row>
    <row r="248">
      <c r="A248" s="27" t="s">
        <v>42</v>
      </c>
      <c r="B248" s="27" t="s">
        <v>794</v>
      </c>
      <c r="C248" s="27" t="s">
        <v>795</v>
      </c>
      <c r="D248" s="27" t="s">
        <v>796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1993</f>
        <v>1993.0</v>
      </c>
      <c r="L248" s="34" t="s">
        <v>48</v>
      </c>
      <c r="M248" s="33" t="n">
        <f>2066.5</f>
        <v>2066.5</v>
      </c>
      <c r="N248" s="34" t="s">
        <v>61</v>
      </c>
      <c r="O248" s="33" t="n">
        <f>1863</f>
        <v>1863.0</v>
      </c>
      <c r="P248" s="34" t="s">
        <v>50</v>
      </c>
      <c r="Q248" s="33" t="n">
        <f>2000</f>
        <v>2000.0</v>
      </c>
      <c r="R248" s="34" t="s">
        <v>51</v>
      </c>
      <c r="S248" s="35" t="n">
        <f>1996.68</f>
        <v>1996.68</v>
      </c>
      <c r="T248" s="32" t="n">
        <f>8219240</f>
        <v>8219240.0</v>
      </c>
      <c r="U248" s="32" t="n">
        <f>3187800</f>
        <v>3187800.0</v>
      </c>
      <c r="V248" s="32" t="n">
        <f>16472348580</f>
        <v>1.647234858E10</v>
      </c>
      <c r="W248" s="32" t="n">
        <f>6472118080</f>
        <v>6.47211808E9</v>
      </c>
      <c r="X248" s="36" t="n">
        <f>20</f>
        <v>20.0</v>
      </c>
    </row>
    <row r="249">
      <c r="A249" s="27" t="s">
        <v>42</v>
      </c>
      <c r="B249" s="27" t="s">
        <v>797</v>
      </c>
      <c r="C249" s="27" t="s">
        <v>798</v>
      </c>
      <c r="D249" s="27" t="s">
        <v>799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10.0</v>
      </c>
      <c r="K249" s="33" t="n">
        <f>327.1</f>
        <v>327.1</v>
      </c>
      <c r="L249" s="34" t="s">
        <v>48</v>
      </c>
      <c r="M249" s="33" t="n">
        <f>327.7</f>
        <v>327.7</v>
      </c>
      <c r="N249" s="34" t="s">
        <v>48</v>
      </c>
      <c r="O249" s="33" t="n">
        <f>306</f>
        <v>306.0</v>
      </c>
      <c r="P249" s="34" t="s">
        <v>91</v>
      </c>
      <c r="Q249" s="33" t="n">
        <f>306</f>
        <v>306.0</v>
      </c>
      <c r="R249" s="34" t="s">
        <v>51</v>
      </c>
      <c r="S249" s="35" t="n">
        <f>313.92</f>
        <v>313.92</v>
      </c>
      <c r="T249" s="32" t="n">
        <f>66723280</f>
        <v>6.672328E7</v>
      </c>
      <c r="U249" s="32" t="n">
        <f>63908000</f>
        <v>6.3908E7</v>
      </c>
      <c r="V249" s="32" t="n">
        <f>20866817056</f>
        <v>2.0866817056E10</v>
      </c>
      <c r="W249" s="32" t="n">
        <f>19979192680</f>
        <v>1.997919268E10</v>
      </c>
      <c r="X249" s="36" t="n">
        <f>20</f>
        <v>20.0</v>
      </c>
    </row>
    <row r="250">
      <c r="A250" s="27" t="s">
        <v>42</v>
      </c>
      <c r="B250" s="27" t="s">
        <v>800</v>
      </c>
      <c r="C250" s="27" t="s">
        <v>801</v>
      </c>
      <c r="D250" s="27" t="s">
        <v>802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1405</f>
        <v>1405.0</v>
      </c>
      <c r="L250" s="34" t="s">
        <v>48</v>
      </c>
      <c r="M250" s="33" t="n">
        <f>1529</f>
        <v>1529.0</v>
      </c>
      <c r="N250" s="34" t="s">
        <v>91</v>
      </c>
      <c r="O250" s="33" t="n">
        <f>1362</f>
        <v>1362.0</v>
      </c>
      <c r="P250" s="34" t="s">
        <v>245</v>
      </c>
      <c r="Q250" s="33" t="n">
        <f>1485</f>
        <v>1485.0</v>
      </c>
      <c r="R250" s="34" t="s">
        <v>51</v>
      </c>
      <c r="S250" s="35" t="n">
        <f>1441.3</f>
        <v>1441.3</v>
      </c>
      <c r="T250" s="32" t="n">
        <f>4776028</f>
        <v>4776028.0</v>
      </c>
      <c r="U250" s="32" t="n">
        <f>489</f>
        <v>489.0</v>
      </c>
      <c r="V250" s="32" t="n">
        <f>6949705576</f>
        <v>6.949705576E9</v>
      </c>
      <c r="W250" s="32" t="n">
        <f>713374</f>
        <v>713374.0</v>
      </c>
      <c r="X250" s="36" t="n">
        <f>20</f>
        <v>20.0</v>
      </c>
    </row>
    <row r="251">
      <c r="A251" s="27" t="s">
        <v>42</v>
      </c>
      <c r="B251" s="27" t="s">
        <v>803</v>
      </c>
      <c r="C251" s="27" t="s">
        <v>804</v>
      </c>
      <c r="D251" s="27" t="s">
        <v>805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1740</f>
        <v>1740.0</v>
      </c>
      <c r="L251" s="34" t="s">
        <v>48</v>
      </c>
      <c r="M251" s="33" t="n">
        <f>2093</f>
        <v>2093.0</v>
      </c>
      <c r="N251" s="34" t="s">
        <v>91</v>
      </c>
      <c r="O251" s="33" t="n">
        <f>1707</f>
        <v>1707.0</v>
      </c>
      <c r="P251" s="34" t="s">
        <v>48</v>
      </c>
      <c r="Q251" s="33" t="n">
        <f>1852</f>
        <v>1852.0</v>
      </c>
      <c r="R251" s="34" t="s">
        <v>51</v>
      </c>
      <c r="S251" s="35" t="n">
        <f>1801.65</f>
        <v>1801.65</v>
      </c>
      <c r="T251" s="32" t="n">
        <f>34335</f>
        <v>34335.0</v>
      </c>
      <c r="U251" s="32" t="n">
        <f>379</f>
        <v>379.0</v>
      </c>
      <c r="V251" s="32" t="n">
        <f>63766511</f>
        <v>6.3766511E7</v>
      </c>
      <c r="W251" s="32" t="n">
        <f>700368</f>
        <v>700368.0</v>
      </c>
      <c r="X251" s="36" t="n">
        <f>20</f>
        <v>20.0</v>
      </c>
    </row>
    <row r="252">
      <c r="A252" s="27" t="s">
        <v>42</v>
      </c>
      <c r="B252" s="27" t="s">
        <v>806</v>
      </c>
      <c r="C252" s="27" t="s">
        <v>807</v>
      </c>
      <c r="D252" s="27" t="s">
        <v>808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2103</f>
        <v>2103.0</v>
      </c>
      <c r="L252" s="34" t="s">
        <v>62</v>
      </c>
      <c r="M252" s="33" t="n">
        <f>2190</f>
        <v>2190.0</v>
      </c>
      <c r="N252" s="34" t="s">
        <v>79</v>
      </c>
      <c r="O252" s="33" t="n">
        <f>2093</f>
        <v>2093.0</v>
      </c>
      <c r="P252" s="34" t="s">
        <v>170</v>
      </c>
      <c r="Q252" s="33" t="n">
        <f>2165</f>
        <v>2165.0</v>
      </c>
      <c r="R252" s="34" t="s">
        <v>51</v>
      </c>
      <c r="S252" s="35" t="n">
        <f>2132.76</f>
        <v>2132.76</v>
      </c>
      <c r="T252" s="32" t="n">
        <f>4744</f>
        <v>4744.0</v>
      </c>
      <c r="U252" s="32" t="str">
        <f>"－"</f>
        <v>－</v>
      </c>
      <c r="V252" s="32" t="n">
        <f>9969018</f>
        <v>9969018.0</v>
      </c>
      <c r="W252" s="32" t="str">
        <f>"－"</f>
        <v>－</v>
      </c>
      <c r="X252" s="36" t="n">
        <f>17</f>
        <v>17.0</v>
      </c>
    </row>
    <row r="253">
      <c r="A253" s="27" t="s">
        <v>42</v>
      </c>
      <c r="B253" s="27" t="s">
        <v>809</v>
      </c>
      <c r="C253" s="27" t="s">
        <v>810</v>
      </c>
      <c r="D253" s="27" t="s">
        <v>811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2772</f>
        <v>2772.0</v>
      </c>
      <c r="L253" s="34" t="s">
        <v>48</v>
      </c>
      <c r="M253" s="33" t="n">
        <f>2860</f>
        <v>2860.0</v>
      </c>
      <c r="N253" s="34" t="s">
        <v>49</v>
      </c>
      <c r="O253" s="33" t="n">
        <f>2713</f>
        <v>2713.0</v>
      </c>
      <c r="P253" s="34" t="s">
        <v>50</v>
      </c>
      <c r="Q253" s="33" t="n">
        <f>2806</f>
        <v>2806.0</v>
      </c>
      <c r="R253" s="34" t="s">
        <v>51</v>
      </c>
      <c r="S253" s="35" t="n">
        <f>2801</f>
        <v>2801.0</v>
      </c>
      <c r="T253" s="32" t="n">
        <f>313375</f>
        <v>313375.0</v>
      </c>
      <c r="U253" s="32" t="n">
        <f>220000</f>
        <v>220000.0</v>
      </c>
      <c r="V253" s="32" t="n">
        <f>879227151</f>
        <v>8.79227151E8</v>
      </c>
      <c r="W253" s="32" t="n">
        <f>617333000</f>
        <v>6.17333E8</v>
      </c>
      <c r="X253" s="36" t="n">
        <f>20</f>
        <v>20.0</v>
      </c>
    </row>
    <row r="254">
      <c r="A254" s="27" t="s">
        <v>42</v>
      </c>
      <c r="B254" s="27" t="s">
        <v>812</v>
      </c>
      <c r="C254" s="27" t="s">
        <v>813</v>
      </c>
      <c r="D254" s="27" t="s">
        <v>814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1937</f>
        <v>1937.0</v>
      </c>
      <c r="L254" s="34" t="s">
        <v>48</v>
      </c>
      <c r="M254" s="33" t="n">
        <f>2028</f>
        <v>2028.0</v>
      </c>
      <c r="N254" s="34" t="s">
        <v>49</v>
      </c>
      <c r="O254" s="33" t="n">
        <f>1911</f>
        <v>1911.0</v>
      </c>
      <c r="P254" s="34" t="s">
        <v>50</v>
      </c>
      <c r="Q254" s="33" t="n">
        <f>1989</f>
        <v>1989.0</v>
      </c>
      <c r="R254" s="34" t="s">
        <v>51</v>
      </c>
      <c r="S254" s="35" t="n">
        <f>1971.7</f>
        <v>1971.7</v>
      </c>
      <c r="T254" s="32" t="n">
        <f>199358</f>
        <v>199358.0</v>
      </c>
      <c r="U254" s="32" t="str">
        <f>"－"</f>
        <v>－</v>
      </c>
      <c r="V254" s="32" t="n">
        <f>391655785</f>
        <v>3.91655785E8</v>
      </c>
      <c r="W254" s="32" t="str">
        <f>"－"</f>
        <v>－</v>
      </c>
      <c r="X254" s="36" t="n">
        <f>20</f>
        <v>20.0</v>
      </c>
    </row>
    <row r="255">
      <c r="A255" s="27" t="s">
        <v>42</v>
      </c>
      <c r="B255" s="27" t="s">
        <v>815</v>
      </c>
      <c r="C255" s="27" t="s">
        <v>816</v>
      </c>
      <c r="D255" s="27" t="s">
        <v>817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1899</f>
        <v>1899.0</v>
      </c>
      <c r="L255" s="34" t="s">
        <v>48</v>
      </c>
      <c r="M255" s="33" t="n">
        <f>1946</f>
        <v>1946.0</v>
      </c>
      <c r="N255" s="34" t="s">
        <v>49</v>
      </c>
      <c r="O255" s="33" t="n">
        <f>1841</f>
        <v>1841.0</v>
      </c>
      <c r="P255" s="34" t="s">
        <v>50</v>
      </c>
      <c r="Q255" s="33" t="n">
        <f>1898</f>
        <v>1898.0</v>
      </c>
      <c r="R255" s="34" t="s">
        <v>51</v>
      </c>
      <c r="S255" s="35" t="n">
        <f>1902.6</f>
        <v>1902.6</v>
      </c>
      <c r="T255" s="32" t="n">
        <f>19434</f>
        <v>19434.0</v>
      </c>
      <c r="U255" s="32" t="str">
        <f>"－"</f>
        <v>－</v>
      </c>
      <c r="V255" s="32" t="n">
        <f>36790953</f>
        <v>3.6790953E7</v>
      </c>
      <c r="W255" s="32" t="str">
        <f>"－"</f>
        <v>－</v>
      </c>
      <c r="X255" s="36" t="n">
        <f>20</f>
        <v>20.0</v>
      </c>
    </row>
    <row r="256">
      <c r="A256" s="27" t="s">
        <v>42</v>
      </c>
      <c r="B256" s="27" t="s">
        <v>818</v>
      </c>
      <c r="C256" s="27" t="s">
        <v>819</v>
      </c>
      <c r="D256" s="27" t="s">
        <v>820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1506</f>
        <v>1506.0</v>
      </c>
      <c r="L256" s="34" t="s">
        <v>48</v>
      </c>
      <c r="M256" s="33" t="n">
        <f>1585</f>
        <v>1585.0</v>
      </c>
      <c r="N256" s="34" t="s">
        <v>61</v>
      </c>
      <c r="O256" s="33" t="n">
        <f>1435</f>
        <v>1435.0</v>
      </c>
      <c r="P256" s="34" t="s">
        <v>90</v>
      </c>
      <c r="Q256" s="33" t="n">
        <f>1531</f>
        <v>1531.0</v>
      </c>
      <c r="R256" s="34" t="s">
        <v>51</v>
      </c>
      <c r="S256" s="35" t="n">
        <f>1522.95</f>
        <v>1522.95</v>
      </c>
      <c r="T256" s="32" t="n">
        <f>12837</f>
        <v>12837.0</v>
      </c>
      <c r="U256" s="32" t="str">
        <f>"－"</f>
        <v>－</v>
      </c>
      <c r="V256" s="32" t="n">
        <f>19981867</f>
        <v>1.9981867E7</v>
      </c>
      <c r="W256" s="32" t="str">
        <f>"－"</f>
        <v>－</v>
      </c>
      <c r="X256" s="36" t="n">
        <f>20</f>
        <v>20.0</v>
      </c>
    </row>
    <row r="257">
      <c r="A257" s="27" t="s">
        <v>42</v>
      </c>
      <c r="B257" s="27" t="s">
        <v>821</v>
      </c>
      <c r="C257" s="27" t="s">
        <v>822</v>
      </c>
      <c r="D257" s="27" t="s">
        <v>823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2101</f>
        <v>2101.0</v>
      </c>
      <c r="L257" s="34" t="s">
        <v>48</v>
      </c>
      <c r="M257" s="33" t="n">
        <f>2278</f>
        <v>2278.0</v>
      </c>
      <c r="N257" s="34" t="s">
        <v>90</v>
      </c>
      <c r="O257" s="33" t="n">
        <f>1895</f>
        <v>1895.0</v>
      </c>
      <c r="P257" s="34" t="s">
        <v>91</v>
      </c>
      <c r="Q257" s="33" t="n">
        <f>1975</f>
        <v>1975.0</v>
      </c>
      <c r="R257" s="34" t="s">
        <v>51</v>
      </c>
      <c r="S257" s="35" t="n">
        <f>2082.15</f>
        <v>2082.15</v>
      </c>
      <c r="T257" s="32" t="n">
        <f>29401</f>
        <v>29401.0</v>
      </c>
      <c r="U257" s="32" t="str">
        <f>"－"</f>
        <v>－</v>
      </c>
      <c r="V257" s="32" t="n">
        <f>61230019</f>
        <v>6.1230019E7</v>
      </c>
      <c r="W257" s="32" t="str">
        <f>"－"</f>
        <v>－</v>
      </c>
      <c r="X257" s="36" t="n">
        <f>20</f>
        <v>20.0</v>
      </c>
    </row>
    <row r="258">
      <c r="A258" s="27" t="s">
        <v>42</v>
      </c>
      <c r="B258" s="27" t="s">
        <v>824</v>
      </c>
      <c r="C258" s="27" t="s">
        <v>825</v>
      </c>
      <c r="D258" s="27" t="s">
        <v>826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1.0</v>
      </c>
      <c r="K258" s="33" t="n">
        <f>2163</f>
        <v>2163.0</v>
      </c>
      <c r="L258" s="34" t="s">
        <v>48</v>
      </c>
      <c r="M258" s="33" t="n">
        <f>2450</f>
        <v>2450.0</v>
      </c>
      <c r="N258" s="34" t="s">
        <v>61</v>
      </c>
      <c r="O258" s="33" t="n">
        <f>2120</f>
        <v>2120.0</v>
      </c>
      <c r="P258" s="34" t="s">
        <v>48</v>
      </c>
      <c r="Q258" s="33" t="n">
        <f>2340</f>
        <v>2340.0</v>
      </c>
      <c r="R258" s="34" t="s">
        <v>51</v>
      </c>
      <c r="S258" s="35" t="n">
        <f>2311</f>
        <v>2311.0</v>
      </c>
      <c r="T258" s="32" t="n">
        <f>4612</f>
        <v>4612.0</v>
      </c>
      <c r="U258" s="32" t="str">
        <f>"－"</f>
        <v>－</v>
      </c>
      <c r="V258" s="32" t="n">
        <f>10635075</f>
        <v>1.0635075E7</v>
      </c>
      <c r="W258" s="32" t="str">
        <f>"－"</f>
        <v>－</v>
      </c>
      <c r="X258" s="36" t="n">
        <f>20</f>
        <v>20.0</v>
      </c>
    </row>
    <row r="259">
      <c r="A259" s="27" t="s">
        <v>42</v>
      </c>
      <c r="B259" s="27" t="s">
        <v>827</v>
      </c>
      <c r="C259" s="27" t="s">
        <v>828</v>
      </c>
      <c r="D259" s="27" t="s">
        <v>829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9776</f>
        <v>9776.0</v>
      </c>
      <c r="L259" s="34" t="s">
        <v>48</v>
      </c>
      <c r="M259" s="33" t="n">
        <f>10140</f>
        <v>10140.0</v>
      </c>
      <c r="N259" s="34" t="s">
        <v>49</v>
      </c>
      <c r="O259" s="33" t="n">
        <f>9357</f>
        <v>9357.0</v>
      </c>
      <c r="P259" s="34" t="s">
        <v>50</v>
      </c>
      <c r="Q259" s="33" t="n">
        <f>9946</f>
        <v>9946.0</v>
      </c>
      <c r="R259" s="34" t="s">
        <v>51</v>
      </c>
      <c r="S259" s="35" t="n">
        <f>9859.6</f>
        <v>9859.6</v>
      </c>
      <c r="T259" s="32" t="n">
        <f>907818</f>
        <v>907818.0</v>
      </c>
      <c r="U259" s="32" t="n">
        <f>410005</f>
        <v>410005.0</v>
      </c>
      <c r="V259" s="32" t="n">
        <f>8937534430</f>
        <v>8.93753443E9</v>
      </c>
      <c r="W259" s="32" t="n">
        <f>4033674746</f>
        <v>4.033674746E9</v>
      </c>
      <c r="X259" s="36" t="n">
        <f>20</f>
        <v>20.0</v>
      </c>
    </row>
    <row r="260">
      <c r="A260" s="27" t="s">
        <v>42</v>
      </c>
      <c r="B260" s="27" t="s">
        <v>830</v>
      </c>
      <c r="C260" s="27" t="s">
        <v>831</v>
      </c>
      <c r="D260" s="27" t="s">
        <v>832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12225</f>
        <v>12225.0</v>
      </c>
      <c r="L260" s="34" t="s">
        <v>48</v>
      </c>
      <c r="M260" s="33" t="n">
        <f>12255</f>
        <v>12255.0</v>
      </c>
      <c r="N260" s="34" t="s">
        <v>48</v>
      </c>
      <c r="O260" s="33" t="n">
        <f>11370</f>
        <v>11370.0</v>
      </c>
      <c r="P260" s="34" t="s">
        <v>90</v>
      </c>
      <c r="Q260" s="33" t="n">
        <f>11485</f>
        <v>11485.0</v>
      </c>
      <c r="R260" s="34" t="s">
        <v>51</v>
      </c>
      <c r="S260" s="35" t="n">
        <f>11743.25</f>
        <v>11743.25</v>
      </c>
      <c r="T260" s="32" t="n">
        <f>609409</f>
        <v>609409.0</v>
      </c>
      <c r="U260" s="32" t="str">
        <f>"－"</f>
        <v>－</v>
      </c>
      <c r="V260" s="32" t="n">
        <f>7145115565</f>
        <v>7.145115565E9</v>
      </c>
      <c r="W260" s="32" t="str">
        <f>"－"</f>
        <v>－</v>
      </c>
      <c r="X260" s="36" t="n">
        <f>20</f>
        <v>20.0</v>
      </c>
    </row>
    <row r="261">
      <c r="A261" s="27" t="s">
        <v>42</v>
      </c>
      <c r="B261" s="27" t="s">
        <v>833</v>
      </c>
      <c r="C261" s="27" t="s">
        <v>834</v>
      </c>
      <c r="D261" s="27" t="s">
        <v>835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8347</f>
        <v>8347.0</v>
      </c>
      <c r="L261" s="34" t="s">
        <v>48</v>
      </c>
      <c r="M261" s="33" t="n">
        <f>8659</f>
        <v>8659.0</v>
      </c>
      <c r="N261" s="34" t="s">
        <v>61</v>
      </c>
      <c r="O261" s="33" t="n">
        <f>7799</f>
        <v>7799.0</v>
      </c>
      <c r="P261" s="34" t="s">
        <v>50</v>
      </c>
      <c r="Q261" s="33" t="n">
        <f>8386</f>
        <v>8386.0</v>
      </c>
      <c r="R261" s="34" t="s">
        <v>51</v>
      </c>
      <c r="S261" s="35" t="n">
        <f>8365.05</f>
        <v>8365.05</v>
      </c>
      <c r="T261" s="32" t="n">
        <f>808923</f>
        <v>808923.0</v>
      </c>
      <c r="U261" s="32" t="n">
        <f>6</f>
        <v>6.0</v>
      </c>
      <c r="V261" s="32" t="n">
        <f>6708883009</f>
        <v>6.708883009E9</v>
      </c>
      <c r="W261" s="32" t="n">
        <f>48786</f>
        <v>48786.0</v>
      </c>
      <c r="X261" s="36" t="n">
        <f>20</f>
        <v>20.0</v>
      </c>
    </row>
    <row r="262">
      <c r="A262" s="27" t="s">
        <v>42</v>
      </c>
      <c r="B262" s="27" t="s">
        <v>836</v>
      </c>
      <c r="C262" s="27" t="s">
        <v>837</v>
      </c>
      <c r="D262" s="27" t="s">
        <v>838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10.0</v>
      </c>
      <c r="K262" s="33" t="n">
        <f>2663</f>
        <v>2663.0</v>
      </c>
      <c r="L262" s="34" t="s">
        <v>48</v>
      </c>
      <c r="M262" s="33" t="n">
        <f>2666.5</f>
        <v>2666.5</v>
      </c>
      <c r="N262" s="34" t="s">
        <v>48</v>
      </c>
      <c r="O262" s="33" t="n">
        <f>2532.5</f>
        <v>2532.5</v>
      </c>
      <c r="P262" s="34" t="s">
        <v>101</v>
      </c>
      <c r="Q262" s="33" t="n">
        <f>2535</f>
        <v>2535.0</v>
      </c>
      <c r="R262" s="34" t="s">
        <v>51</v>
      </c>
      <c r="S262" s="35" t="n">
        <f>2573.95</f>
        <v>2573.95</v>
      </c>
      <c r="T262" s="32" t="n">
        <f>1165720</f>
        <v>1165720.0</v>
      </c>
      <c r="U262" s="32" t="n">
        <f>179450</f>
        <v>179450.0</v>
      </c>
      <c r="V262" s="32" t="n">
        <f>2993151755</f>
        <v>2.993151755E9</v>
      </c>
      <c r="W262" s="32" t="n">
        <f>464071810</f>
        <v>4.6407181E8</v>
      </c>
      <c r="X262" s="36" t="n">
        <f>20</f>
        <v>20.0</v>
      </c>
    </row>
    <row r="263">
      <c r="A263" s="27" t="s">
        <v>42</v>
      </c>
      <c r="B263" s="27" t="s">
        <v>839</v>
      </c>
      <c r="C263" s="27" t="s">
        <v>840</v>
      </c>
      <c r="D263" s="27" t="s">
        <v>841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10.0</v>
      </c>
      <c r="K263" s="33" t="n">
        <f>1912.5</f>
        <v>1912.5</v>
      </c>
      <c r="L263" s="34" t="s">
        <v>48</v>
      </c>
      <c r="M263" s="33" t="n">
        <f>1984.5</f>
        <v>1984.5</v>
      </c>
      <c r="N263" s="34" t="s">
        <v>79</v>
      </c>
      <c r="O263" s="33" t="n">
        <f>1830.5</f>
        <v>1830.5</v>
      </c>
      <c r="P263" s="34" t="s">
        <v>50</v>
      </c>
      <c r="Q263" s="33" t="n">
        <f>1947</f>
        <v>1947.0</v>
      </c>
      <c r="R263" s="34" t="s">
        <v>51</v>
      </c>
      <c r="S263" s="35" t="n">
        <f>1929.53</f>
        <v>1929.53</v>
      </c>
      <c r="T263" s="32" t="n">
        <f>3384080</f>
        <v>3384080.0</v>
      </c>
      <c r="U263" s="32" t="n">
        <f>1156500</f>
        <v>1156500.0</v>
      </c>
      <c r="V263" s="32" t="n">
        <f>6544089177</f>
        <v>6.544089177E9</v>
      </c>
      <c r="W263" s="32" t="n">
        <f>2245045997</f>
        <v>2.245045997E9</v>
      </c>
      <c r="X263" s="36" t="n">
        <f>20</f>
        <v>20.0</v>
      </c>
    </row>
    <row r="264">
      <c r="A264" s="27" t="s">
        <v>42</v>
      </c>
      <c r="B264" s="27" t="s">
        <v>842</v>
      </c>
      <c r="C264" s="27" t="s">
        <v>843</v>
      </c>
      <c r="D264" s="27" t="s">
        <v>844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2754.5</f>
        <v>2754.5</v>
      </c>
      <c r="L264" s="34" t="s">
        <v>48</v>
      </c>
      <c r="M264" s="33" t="n">
        <f>2754.5</f>
        <v>2754.5</v>
      </c>
      <c r="N264" s="34" t="s">
        <v>48</v>
      </c>
      <c r="O264" s="33" t="n">
        <f>2611.5</f>
        <v>2611.5</v>
      </c>
      <c r="P264" s="34" t="s">
        <v>50</v>
      </c>
      <c r="Q264" s="33" t="n">
        <f>2616.5</f>
        <v>2616.5</v>
      </c>
      <c r="R264" s="34" t="s">
        <v>51</v>
      </c>
      <c r="S264" s="35" t="n">
        <f>2656.25</f>
        <v>2656.25</v>
      </c>
      <c r="T264" s="32" t="n">
        <f>14880</f>
        <v>14880.0</v>
      </c>
      <c r="U264" s="32" t="n">
        <f>20</f>
        <v>20.0</v>
      </c>
      <c r="V264" s="32" t="n">
        <f>39628950</f>
        <v>3.962895E7</v>
      </c>
      <c r="W264" s="32" t="n">
        <f>53010</f>
        <v>53010.0</v>
      </c>
      <c r="X264" s="36" t="n">
        <f>20</f>
        <v>20.0</v>
      </c>
    </row>
    <row r="265">
      <c r="A265" s="27" t="s">
        <v>42</v>
      </c>
      <c r="B265" s="27" t="s">
        <v>845</v>
      </c>
      <c r="C265" s="27" t="s">
        <v>846</v>
      </c>
      <c r="D265" s="27" t="s">
        <v>847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2528</f>
        <v>2528.0</v>
      </c>
      <c r="L265" s="34" t="s">
        <v>48</v>
      </c>
      <c r="M265" s="33" t="n">
        <f>2661</f>
        <v>2661.0</v>
      </c>
      <c r="N265" s="34" t="s">
        <v>49</v>
      </c>
      <c r="O265" s="33" t="n">
        <f>2480</f>
        <v>2480.0</v>
      </c>
      <c r="P265" s="34" t="s">
        <v>50</v>
      </c>
      <c r="Q265" s="33" t="n">
        <f>2590</f>
        <v>2590.0</v>
      </c>
      <c r="R265" s="34" t="s">
        <v>51</v>
      </c>
      <c r="S265" s="35" t="n">
        <f>2586.74</f>
        <v>2586.74</v>
      </c>
      <c r="T265" s="32" t="n">
        <f>1130</f>
        <v>1130.0</v>
      </c>
      <c r="U265" s="32" t="str">
        <f>"－"</f>
        <v>－</v>
      </c>
      <c r="V265" s="32" t="n">
        <f>2922740</f>
        <v>2922740.0</v>
      </c>
      <c r="W265" s="32" t="str">
        <f>"－"</f>
        <v>－</v>
      </c>
      <c r="X265" s="36" t="n">
        <f>19</f>
        <v>19.0</v>
      </c>
    </row>
    <row r="266">
      <c r="A266" s="27" t="s">
        <v>42</v>
      </c>
      <c r="B266" s="27" t="s">
        <v>848</v>
      </c>
      <c r="C266" s="27" t="s">
        <v>849</v>
      </c>
      <c r="D266" s="27" t="s">
        <v>850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1545</f>
        <v>1545.0</v>
      </c>
      <c r="L266" s="34" t="s">
        <v>48</v>
      </c>
      <c r="M266" s="33" t="n">
        <f>1613</f>
        <v>1613.0</v>
      </c>
      <c r="N266" s="34" t="s">
        <v>79</v>
      </c>
      <c r="O266" s="33" t="n">
        <f>1505</f>
        <v>1505.0</v>
      </c>
      <c r="P266" s="34" t="s">
        <v>50</v>
      </c>
      <c r="Q266" s="33" t="n">
        <f>1583</f>
        <v>1583.0</v>
      </c>
      <c r="R266" s="34" t="s">
        <v>51</v>
      </c>
      <c r="S266" s="35" t="n">
        <f>1567.35</f>
        <v>1567.35</v>
      </c>
      <c r="T266" s="32" t="n">
        <f>11227</f>
        <v>11227.0</v>
      </c>
      <c r="U266" s="32" t="str">
        <f>"－"</f>
        <v>－</v>
      </c>
      <c r="V266" s="32" t="n">
        <f>17363190</f>
        <v>1.736319E7</v>
      </c>
      <c r="W266" s="32" t="str">
        <f>"－"</f>
        <v>－</v>
      </c>
      <c r="X266" s="36" t="n">
        <f>20</f>
        <v>20.0</v>
      </c>
    </row>
    <row r="267">
      <c r="A267" s="27" t="s">
        <v>42</v>
      </c>
      <c r="B267" s="27" t="s">
        <v>851</v>
      </c>
      <c r="C267" s="27" t="s">
        <v>852</v>
      </c>
      <c r="D267" s="27" t="s">
        <v>853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1900</f>
        <v>1900.0</v>
      </c>
      <c r="L267" s="34" t="s">
        <v>48</v>
      </c>
      <c r="M267" s="33" t="n">
        <f>2009</f>
        <v>2009.0</v>
      </c>
      <c r="N267" s="34" t="s">
        <v>49</v>
      </c>
      <c r="O267" s="33" t="n">
        <f>1826</f>
        <v>1826.0</v>
      </c>
      <c r="P267" s="34" t="s">
        <v>50</v>
      </c>
      <c r="Q267" s="33" t="n">
        <f>1943</f>
        <v>1943.0</v>
      </c>
      <c r="R267" s="34" t="s">
        <v>51</v>
      </c>
      <c r="S267" s="35" t="n">
        <f>1935.75</f>
        <v>1935.75</v>
      </c>
      <c r="T267" s="32" t="n">
        <f>21474</f>
        <v>21474.0</v>
      </c>
      <c r="U267" s="32" t="str">
        <f>"－"</f>
        <v>－</v>
      </c>
      <c r="V267" s="32" t="n">
        <f>41644375</f>
        <v>4.1644375E7</v>
      </c>
      <c r="W267" s="32" t="str">
        <f>"－"</f>
        <v>－</v>
      </c>
      <c r="X267" s="36" t="n">
        <f>20</f>
        <v>20.0</v>
      </c>
    </row>
    <row r="268">
      <c r="A268" s="27" t="s">
        <v>42</v>
      </c>
      <c r="B268" s="27" t="s">
        <v>854</v>
      </c>
      <c r="C268" s="27" t="s">
        <v>855</v>
      </c>
      <c r="D268" s="27" t="s">
        <v>856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1679</f>
        <v>1679.0</v>
      </c>
      <c r="L268" s="34" t="s">
        <v>48</v>
      </c>
      <c r="M268" s="33" t="n">
        <f>1695</f>
        <v>1695.0</v>
      </c>
      <c r="N268" s="34" t="s">
        <v>49</v>
      </c>
      <c r="O268" s="33" t="n">
        <f>1597</f>
        <v>1597.0</v>
      </c>
      <c r="P268" s="34" t="s">
        <v>50</v>
      </c>
      <c r="Q268" s="33" t="n">
        <f>1631</f>
        <v>1631.0</v>
      </c>
      <c r="R268" s="34" t="s">
        <v>51</v>
      </c>
      <c r="S268" s="35" t="n">
        <f>1649.4</f>
        <v>1649.4</v>
      </c>
      <c r="T268" s="32" t="n">
        <f>46168</f>
        <v>46168.0</v>
      </c>
      <c r="U268" s="32" t="str">
        <f>"－"</f>
        <v>－</v>
      </c>
      <c r="V268" s="32" t="n">
        <f>75481399</f>
        <v>7.5481399E7</v>
      </c>
      <c r="W268" s="32" t="str">
        <f>"－"</f>
        <v>－</v>
      </c>
      <c r="X268" s="36" t="n">
        <f>20</f>
        <v>20.0</v>
      </c>
    </row>
    <row r="269">
      <c r="A269" s="27" t="s">
        <v>42</v>
      </c>
      <c r="B269" s="27" t="s">
        <v>857</v>
      </c>
      <c r="C269" s="27" t="s">
        <v>858</v>
      </c>
      <c r="D269" s="27" t="s">
        <v>859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2607</f>
        <v>2607.0</v>
      </c>
      <c r="L269" s="34" t="s">
        <v>48</v>
      </c>
      <c r="M269" s="33" t="n">
        <f>2678</f>
        <v>2678.0</v>
      </c>
      <c r="N269" s="34" t="s">
        <v>49</v>
      </c>
      <c r="O269" s="33" t="n">
        <f>2533</f>
        <v>2533.0</v>
      </c>
      <c r="P269" s="34" t="s">
        <v>101</v>
      </c>
      <c r="Q269" s="33" t="n">
        <f>2604</f>
        <v>2604.0</v>
      </c>
      <c r="R269" s="34" t="s">
        <v>51</v>
      </c>
      <c r="S269" s="35" t="n">
        <f>2610</f>
        <v>2610.0</v>
      </c>
      <c r="T269" s="32" t="n">
        <f>41272</f>
        <v>41272.0</v>
      </c>
      <c r="U269" s="32" t="n">
        <f>3</f>
        <v>3.0</v>
      </c>
      <c r="V269" s="32" t="n">
        <f>107213842</f>
        <v>1.07213842E8</v>
      </c>
      <c r="W269" s="32" t="n">
        <f>7650</f>
        <v>7650.0</v>
      </c>
      <c r="X269" s="36" t="n">
        <f>20</f>
        <v>20.0</v>
      </c>
    </row>
    <row r="270">
      <c r="A270" s="27" t="s">
        <v>42</v>
      </c>
      <c r="B270" s="27" t="s">
        <v>860</v>
      </c>
      <c r="C270" s="27" t="s">
        <v>861</v>
      </c>
      <c r="D270" s="27" t="s">
        <v>862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2014</f>
        <v>2014.0</v>
      </c>
      <c r="L270" s="34" t="s">
        <v>48</v>
      </c>
      <c r="M270" s="33" t="n">
        <f>2150</f>
        <v>2150.0</v>
      </c>
      <c r="N270" s="34" t="s">
        <v>49</v>
      </c>
      <c r="O270" s="33" t="n">
        <f>2013</f>
        <v>2013.0</v>
      </c>
      <c r="P270" s="34" t="s">
        <v>50</v>
      </c>
      <c r="Q270" s="33" t="n">
        <f>2104</f>
        <v>2104.0</v>
      </c>
      <c r="R270" s="34" t="s">
        <v>51</v>
      </c>
      <c r="S270" s="35" t="n">
        <f>2086.7</f>
        <v>2086.7</v>
      </c>
      <c r="T270" s="32" t="n">
        <f>63184</f>
        <v>63184.0</v>
      </c>
      <c r="U270" s="32" t="n">
        <f>7</f>
        <v>7.0</v>
      </c>
      <c r="V270" s="32" t="n">
        <f>132316949</f>
        <v>1.32316949E8</v>
      </c>
      <c r="W270" s="32" t="n">
        <f>14677</f>
        <v>14677.0</v>
      </c>
      <c r="X270" s="36" t="n">
        <f>20</f>
        <v>20.0</v>
      </c>
    </row>
    <row r="271">
      <c r="A271" s="27" t="s">
        <v>42</v>
      </c>
      <c r="B271" s="27" t="s">
        <v>863</v>
      </c>
      <c r="C271" s="27" t="s">
        <v>864</v>
      </c>
      <c r="D271" s="27" t="s">
        <v>865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25810</f>
        <v>25810.0</v>
      </c>
      <c r="L271" s="34" t="s">
        <v>48</v>
      </c>
      <c r="M271" s="33" t="n">
        <f>26880</f>
        <v>26880.0</v>
      </c>
      <c r="N271" s="34" t="s">
        <v>49</v>
      </c>
      <c r="O271" s="33" t="n">
        <f>25720</f>
        <v>25720.0</v>
      </c>
      <c r="P271" s="34" t="s">
        <v>90</v>
      </c>
      <c r="Q271" s="33" t="n">
        <f>26470</f>
        <v>26470.0</v>
      </c>
      <c r="R271" s="34" t="s">
        <v>51</v>
      </c>
      <c r="S271" s="35" t="n">
        <f>26217.86</f>
        <v>26217.86</v>
      </c>
      <c r="T271" s="32" t="n">
        <f>34</f>
        <v>34.0</v>
      </c>
      <c r="U271" s="32" t="str">
        <f>"－"</f>
        <v>－</v>
      </c>
      <c r="V271" s="32" t="n">
        <f>892625</f>
        <v>892625.0</v>
      </c>
      <c r="W271" s="32" t="str">
        <f>"－"</f>
        <v>－</v>
      </c>
      <c r="X271" s="36" t="n">
        <f>14</f>
        <v>14.0</v>
      </c>
    </row>
    <row r="272">
      <c r="A272" s="27" t="s">
        <v>42</v>
      </c>
      <c r="B272" s="27" t="s">
        <v>866</v>
      </c>
      <c r="C272" s="27" t="s">
        <v>867</v>
      </c>
      <c r="D272" s="27" t="s">
        <v>868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1982</f>
        <v>1982.0</v>
      </c>
      <c r="L272" s="34" t="s">
        <v>48</v>
      </c>
      <c r="M272" s="33" t="n">
        <f>2078</f>
        <v>2078.0</v>
      </c>
      <c r="N272" s="34" t="s">
        <v>49</v>
      </c>
      <c r="O272" s="33" t="n">
        <f>1956</f>
        <v>1956.0</v>
      </c>
      <c r="P272" s="34" t="s">
        <v>50</v>
      </c>
      <c r="Q272" s="33" t="n">
        <f>2042</f>
        <v>2042.0</v>
      </c>
      <c r="R272" s="34" t="s">
        <v>51</v>
      </c>
      <c r="S272" s="35" t="n">
        <f>2020.89</f>
        <v>2020.89</v>
      </c>
      <c r="T272" s="32" t="n">
        <f>12174</f>
        <v>12174.0</v>
      </c>
      <c r="U272" s="32" t="str">
        <f>"－"</f>
        <v>－</v>
      </c>
      <c r="V272" s="32" t="n">
        <f>24978329</f>
        <v>2.4978329E7</v>
      </c>
      <c r="W272" s="32" t="str">
        <f>"－"</f>
        <v>－</v>
      </c>
      <c r="X272" s="36" t="n">
        <f>18</f>
        <v>18.0</v>
      </c>
    </row>
    <row r="273">
      <c r="A273" s="27" t="s">
        <v>42</v>
      </c>
      <c r="B273" s="27" t="s">
        <v>869</v>
      </c>
      <c r="C273" s="27" t="s">
        <v>870</v>
      </c>
      <c r="D273" s="27" t="s">
        <v>871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2045</f>
        <v>2045.0</v>
      </c>
      <c r="L273" s="34" t="s">
        <v>48</v>
      </c>
      <c r="M273" s="33" t="n">
        <f>2368</f>
        <v>2368.0</v>
      </c>
      <c r="N273" s="34" t="s">
        <v>61</v>
      </c>
      <c r="O273" s="33" t="n">
        <f>1992</f>
        <v>1992.0</v>
      </c>
      <c r="P273" s="34" t="s">
        <v>50</v>
      </c>
      <c r="Q273" s="33" t="n">
        <f>2253</f>
        <v>2253.0</v>
      </c>
      <c r="R273" s="34" t="s">
        <v>51</v>
      </c>
      <c r="S273" s="35" t="n">
        <f>2213.95</f>
        <v>2213.95</v>
      </c>
      <c r="T273" s="32" t="n">
        <f>527026</f>
        <v>527026.0</v>
      </c>
      <c r="U273" s="32" t="n">
        <f>94500</f>
        <v>94500.0</v>
      </c>
      <c r="V273" s="32" t="n">
        <f>1171698501</f>
        <v>1.171698501E9</v>
      </c>
      <c r="W273" s="32" t="n">
        <f>200481750</f>
        <v>2.0048175E8</v>
      </c>
      <c r="X273" s="36" t="n">
        <f>20</f>
        <v>20.0</v>
      </c>
    </row>
    <row r="274">
      <c r="A274" s="27" t="s">
        <v>42</v>
      </c>
      <c r="B274" s="27" t="s">
        <v>872</v>
      </c>
      <c r="C274" s="27" t="s">
        <v>873</v>
      </c>
      <c r="D274" s="27" t="s">
        <v>874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1825</f>
        <v>1825.0</v>
      </c>
      <c r="L274" s="34" t="s">
        <v>48</v>
      </c>
      <c r="M274" s="33" t="n">
        <f>1859</f>
        <v>1859.0</v>
      </c>
      <c r="N274" s="34" t="s">
        <v>79</v>
      </c>
      <c r="O274" s="33" t="n">
        <f>1780</f>
        <v>1780.0</v>
      </c>
      <c r="P274" s="34" t="s">
        <v>101</v>
      </c>
      <c r="Q274" s="33" t="n">
        <f>1819</f>
        <v>1819.0</v>
      </c>
      <c r="R274" s="34" t="s">
        <v>51</v>
      </c>
      <c r="S274" s="35" t="n">
        <f>1825.5</f>
        <v>1825.5</v>
      </c>
      <c r="T274" s="32" t="n">
        <f>5254</f>
        <v>5254.0</v>
      </c>
      <c r="U274" s="32" t="str">
        <f>"－"</f>
        <v>－</v>
      </c>
      <c r="V274" s="32" t="n">
        <f>9596140</f>
        <v>9596140.0</v>
      </c>
      <c r="W274" s="32" t="str">
        <f>"－"</f>
        <v>－</v>
      </c>
      <c r="X274" s="36" t="n">
        <f>20</f>
        <v>20.0</v>
      </c>
    </row>
    <row r="275">
      <c r="A275" s="27" t="s">
        <v>42</v>
      </c>
      <c r="B275" s="27" t="s">
        <v>875</v>
      </c>
      <c r="C275" s="27" t="s">
        <v>876</v>
      </c>
      <c r="D275" s="27" t="s">
        <v>877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1316</f>
        <v>1316.0</v>
      </c>
      <c r="L275" s="34" t="s">
        <v>48</v>
      </c>
      <c r="M275" s="33" t="n">
        <f>1417</f>
        <v>1417.0</v>
      </c>
      <c r="N275" s="34" t="s">
        <v>49</v>
      </c>
      <c r="O275" s="33" t="n">
        <f>1316</f>
        <v>1316.0</v>
      </c>
      <c r="P275" s="34" t="s">
        <v>48</v>
      </c>
      <c r="Q275" s="33" t="n">
        <f>1394</f>
        <v>1394.0</v>
      </c>
      <c r="R275" s="34" t="s">
        <v>51</v>
      </c>
      <c r="S275" s="35" t="n">
        <f>1380</f>
        <v>1380.0</v>
      </c>
      <c r="T275" s="32" t="n">
        <f>12101</f>
        <v>12101.0</v>
      </c>
      <c r="U275" s="32" t="str">
        <f>"－"</f>
        <v>－</v>
      </c>
      <c r="V275" s="32" t="n">
        <f>16553305</f>
        <v>1.6553305E7</v>
      </c>
      <c r="W275" s="32" t="str">
        <f>"－"</f>
        <v>－</v>
      </c>
      <c r="X275" s="36" t="n">
        <f>20</f>
        <v>20.0</v>
      </c>
    </row>
    <row r="276">
      <c r="A276" s="27" t="s">
        <v>42</v>
      </c>
      <c r="B276" s="27" t="s">
        <v>878</v>
      </c>
      <c r="C276" s="27" t="s">
        <v>879</v>
      </c>
      <c r="D276" s="27" t="s">
        <v>880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5439</f>
        <v>5439.0</v>
      </c>
      <c r="L276" s="34" t="s">
        <v>48</v>
      </c>
      <c r="M276" s="33" t="n">
        <f>5453</f>
        <v>5453.0</v>
      </c>
      <c r="N276" s="34" t="s">
        <v>48</v>
      </c>
      <c r="O276" s="33" t="n">
        <f>5175</f>
        <v>5175.0</v>
      </c>
      <c r="P276" s="34" t="s">
        <v>71</v>
      </c>
      <c r="Q276" s="33" t="n">
        <f>5214</f>
        <v>5214.0</v>
      </c>
      <c r="R276" s="34" t="s">
        <v>51</v>
      </c>
      <c r="S276" s="35" t="n">
        <f>5291.81</f>
        <v>5291.81</v>
      </c>
      <c r="T276" s="32" t="n">
        <f>323520</f>
        <v>323520.0</v>
      </c>
      <c r="U276" s="32" t="n">
        <f>274600</f>
        <v>274600.0</v>
      </c>
      <c r="V276" s="32" t="n">
        <f>1721760930</f>
        <v>1.72176093E9</v>
      </c>
      <c r="W276" s="32" t="n">
        <f>1455888030</f>
        <v>1.45588803E9</v>
      </c>
      <c r="X276" s="36" t="n">
        <f>16</f>
        <v>16.0</v>
      </c>
    </row>
    <row r="277">
      <c r="A277" s="27" t="s">
        <v>42</v>
      </c>
      <c r="B277" s="27" t="s">
        <v>881</v>
      </c>
      <c r="C277" s="27" t="s">
        <v>882</v>
      </c>
      <c r="D277" s="27" t="s">
        <v>883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10.0</v>
      </c>
      <c r="K277" s="33" t="n">
        <f>4065</f>
        <v>4065.0</v>
      </c>
      <c r="L277" s="34" t="s">
        <v>48</v>
      </c>
      <c r="M277" s="33" t="n">
        <f>4168</f>
        <v>4168.0</v>
      </c>
      <c r="N277" s="34" t="s">
        <v>49</v>
      </c>
      <c r="O277" s="33" t="n">
        <f>3997</f>
        <v>3997.0</v>
      </c>
      <c r="P277" s="34" t="s">
        <v>245</v>
      </c>
      <c r="Q277" s="33" t="n">
        <f>4168</f>
        <v>4168.0</v>
      </c>
      <c r="R277" s="34" t="s">
        <v>79</v>
      </c>
      <c r="S277" s="35" t="n">
        <f>4093.06</f>
        <v>4093.06</v>
      </c>
      <c r="T277" s="32" t="n">
        <f>153160</f>
        <v>153160.0</v>
      </c>
      <c r="U277" s="32" t="n">
        <f>300</f>
        <v>300.0</v>
      </c>
      <c r="V277" s="32" t="n">
        <f>621873670</f>
        <v>6.2187367E8</v>
      </c>
      <c r="W277" s="32" t="n">
        <f>1221350</f>
        <v>1221350.0</v>
      </c>
      <c r="X277" s="36" t="n">
        <f>16</f>
        <v>16.0</v>
      </c>
    </row>
    <row r="278">
      <c r="A278" s="27" t="s">
        <v>42</v>
      </c>
      <c r="B278" s="27" t="s">
        <v>884</v>
      </c>
      <c r="C278" s="27" t="s">
        <v>885</v>
      </c>
      <c r="D278" s="27" t="s">
        <v>886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677</f>
        <v>677.0</v>
      </c>
      <c r="L278" s="34" t="s">
        <v>50</v>
      </c>
      <c r="M278" s="33" t="n">
        <f>701.9</f>
        <v>701.9</v>
      </c>
      <c r="N278" s="34" t="s">
        <v>49</v>
      </c>
      <c r="O278" s="33" t="n">
        <f>674.8</f>
        <v>674.8</v>
      </c>
      <c r="P278" s="34" t="s">
        <v>245</v>
      </c>
      <c r="Q278" s="33" t="n">
        <f>698.1</f>
        <v>698.1</v>
      </c>
      <c r="R278" s="34" t="s">
        <v>51</v>
      </c>
      <c r="S278" s="35" t="n">
        <f>688.99</f>
        <v>688.99</v>
      </c>
      <c r="T278" s="32" t="n">
        <f>2600</f>
        <v>2600.0</v>
      </c>
      <c r="U278" s="32" t="str">
        <f>"－"</f>
        <v>－</v>
      </c>
      <c r="V278" s="32" t="n">
        <f>1794624</f>
        <v>1794624.0</v>
      </c>
      <c r="W278" s="32" t="str">
        <f>"－"</f>
        <v>－</v>
      </c>
      <c r="X278" s="36" t="n">
        <f>12</f>
        <v>12.0</v>
      </c>
    </row>
    <row r="279">
      <c r="A279" s="27" t="s">
        <v>42</v>
      </c>
      <c r="B279" s="27" t="s">
        <v>887</v>
      </c>
      <c r="C279" s="27" t="s">
        <v>888</v>
      </c>
      <c r="D279" s="27" t="s">
        <v>889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2111</f>
        <v>2111.0</v>
      </c>
      <c r="L279" s="34" t="s">
        <v>62</v>
      </c>
      <c r="M279" s="33" t="n">
        <f>2275</f>
        <v>2275.0</v>
      </c>
      <c r="N279" s="34" t="s">
        <v>49</v>
      </c>
      <c r="O279" s="33" t="n">
        <f>2062</f>
        <v>2062.0</v>
      </c>
      <c r="P279" s="34" t="s">
        <v>101</v>
      </c>
      <c r="Q279" s="33" t="n">
        <f>2197</f>
        <v>2197.0</v>
      </c>
      <c r="R279" s="34" t="s">
        <v>51</v>
      </c>
      <c r="S279" s="35" t="n">
        <f>2193.06</f>
        <v>2193.06</v>
      </c>
      <c r="T279" s="32" t="n">
        <f>2587</f>
        <v>2587.0</v>
      </c>
      <c r="U279" s="32" t="str">
        <f>"－"</f>
        <v>－</v>
      </c>
      <c r="V279" s="32" t="n">
        <f>5771451</f>
        <v>5771451.0</v>
      </c>
      <c r="W279" s="32" t="str">
        <f>"－"</f>
        <v>－</v>
      </c>
      <c r="X279" s="36" t="n">
        <f>17</f>
        <v>17.0</v>
      </c>
    </row>
    <row r="280">
      <c r="A280" s="27" t="s">
        <v>42</v>
      </c>
      <c r="B280" s="27" t="s">
        <v>890</v>
      </c>
      <c r="C280" s="27" t="s">
        <v>891</v>
      </c>
      <c r="D280" s="27" t="s">
        <v>892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1860</f>
        <v>1860.0</v>
      </c>
      <c r="L280" s="34" t="s">
        <v>48</v>
      </c>
      <c r="M280" s="33" t="n">
        <f>2011</f>
        <v>2011.0</v>
      </c>
      <c r="N280" s="34" t="s">
        <v>49</v>
      </c>
      <c r="O280" s="33" t="n">
        <f>1790</f>
        <v>1790.0</v>
      </c>
      <c r="P280" s="34" t="s">
        <v>50</v>
      </c>
      <c r="Q280" s="33" t="n">
        <f>1961</f>
        <v>1961.0</v>
      </c>
      <c r="R280" s="34" t="s">
        <v>51</v>
      </c>
      <c r="S280" s="35" t="n">
        <f>1932.39</f>
        <v>1932.39</v>
      </c>
      <c r="T280" s="32" t="n">
        <f>4294</f>
        <v>4294.0</v>
      </c>
      <c r="U280" s="32" t="str">
        <f>"－"</f>
        <v>－</v>
      </c>
      <c r="V280" s="32" t="n">
        <f>7972228</f>
        <v>7972228.0</v>
      </c>
      <c r="W280" s="32" t="str">
        <f>"－"</f>
        <v>－</v>
      </c>
      <c r="X280" s="36" t="n">
        <f>18</f>
        <v>18.0</v>
      </c>
    </row>
    <row r="281">
      <c r="A281" s="27" t="s">
        <v>42</v>
      </c>
      <c r="B281" s="27" t="s">
        <v>893</v>
      </c>
      <c r="C281" s="27" t="s">
        <v>894</v>
      </c>
      <c r="D281" s="27" t="s">
        <v>895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8130</f>
        <v>8130.0</v>
      </c>
      <c r="L281" s="34" t="s">
        <v>48</v>
      </c>
      <c r="M281" s="33" t="n">
        <f>8140</f>
        <v>8140.0</v>
      </c>
      <c r="N281" s="34" t="s">
        <v>48</v>
      </c>
      <c r="O281" s="33" t="n">
        <f>7672</f>
        <v>7672.0</v>
      </c>
      <c r="P281" s="34" t="s">
        <v>71</v>
      </c>
      <c r="Q281" s="33" t="n">
        <f>7766</f>
        <v>7766.0</v>
      </c>
      <c r="R281" s="34" t="s">
        <v>51</v>
      </c>
      <c r="S281" s="35" t="n">
        <f>7866.11</f>
        <v>7866.11</v>
      </c>
      <c r="T281" s="32" t="n">
        <f>73761</f>
        <v>73761.0</v>
      </c>
      <c r="U281" s="32" t="n">
        <f>71900</f>
        <v>71900.0</v>
      </c>
      <c r="V281" s="32" t="n">
        <f>568476170</f>
        <v>5.6847617E8</v>
      </c>
      <c r="W281" s="32" t="n">
        <f>554003080</f>
        <v>5.5400308E8</v>
      </c>
      <c r="X281" s="36" t="n">
        <f>19</f>
        <v>19.0</v>
      </c>
    </row>
    <row r="282">
      <c r="A282" s="27" t="s">
        <v>42</v>
      </c>
      <c r="B282" s="27" t="s">
        <v>896</v>
      </c>
      <c r="C282" s="27" t="s">
        <v>897</v>
      </c>
      <c r="D282" s="27" t="s">
        <v>898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6080</f>
        <v>6080.0</v>
      </c>
      <c r="L282" s="34" t="s">
        <v>48</v>
      </c>
      <c r="M282" s="33" t="n">
        <f>6200</f>
        <v>6200.0</v>
      </c>
      <c r="N282" s="34" t="s">
        <v>79</v>
      </c>
      <c r="O282" s="33" t="n">
        <f>5965</f>
        <v>5965.0</v>
      </c>
      <c r="P282" s="34" t="s">
        <v>245</v>
      </c>
      <c r="Q282" s="33" t="n">
        <f>6167</f>
        <v>6167.0</v>
      </c>
      <c r="R282" s="34" t="s">
        <v>51</v>
      </c>
      <c r="S282" s="35" t="n">
        <f>6100.47</f>
        <v>6100.47</v>
      </c>
      <c r="T282" s="32" t="n">
        <f>98768</f>
        <v>98768.0</v>
      </c>
      <c r="U282" s="32" t="n">
        <f>15000</f>
        <v>15000.0</v>
      </c>
      <c r="V282" s="32" t="n">
        <f>595561557</f>
        <v>5.95561557E8</v>
      </c>
      <c r="W282" s="32" t="n">
        <f>91854928</f>
        <v>9.1854928E7</v>
      </c>
      <c r="X282" s="36" t="n">
        <f>19</f>
        <v>19.0</v>
      </c>
    </row>
    <row r="283">
      <c r="A283" s="27" t="s">
        <v>42</v>
      </c>
      <c r="B283" s="27" t="s">
        <v>899</v>
      </c>
      <c r="C283" s="27" t="s">
        <v>900</v>
      </c>
      <c r="D283" s="27" t="s">
        <v>901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15995</f>
        <v>15995.0</v>
      </c>
      <c r="L283" s="34" t="s">
        <v>48</v>
      </c>
      <c r="M283" s="33" t="n">
        <f>16030</f>
        <v>16030.0</v>
      </c>
      <c r="N283" s="34" t="s">
        <v>48</v>
      </c>
      <c r="O283" s="33" t="n">
        <f>14875</f>
        <v>14875.0</v>
      </c>
      <c r="P283" s="34" t="s">
        <v>90</v>
      </c>
      <c r="Q283" s="33" t="n">
        <f>15020</f>
        <v>15020.0</v>
      </c>
      <c r="R283" s="34" t="s">
        <v>51</v>
      </c>
      <c r="S283" s="35" t="n">
        <f>15360</f>
        <v>15360.0</v>
      </c>
      <c r="T283" s="32" t="n">
        <f>213611</f>
        <v>213611.0</v>
      </c>
      <c r="U283" s="32" t="str">
        <f>"－"</f>
        <v>－</v>
      </c>
      <c r="V283" s="32" t="n">
        <f>3268114755</f>
        <v>3.268114755E9</v>
      </c>
      <c r="W283" s="32" t="str">
        <f>"－"</f>
        <v>－</v>
      </c>
      <c r="X283" s="36" t="n">
        <f>20</f>
        <v>20.0</v>
      </c>
    </row>
    <row r="284">
      <c r="A284" s="27" t="s">
        <v>42</v>
      </c>
      <c r="B284" s="27" t="s">
        <v>902</v>
      </c>
      <c r="C284" s="27" t="s">
        <v>903</v>
      </c>
      <c r="D284" s="27" t="s">
        <v>904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7840</f>
        <v>7840.0</v>
      </c>
      <c r="L284" s="34" t="s">
        <v>48</v>
      </c>
      <c r="M284" s="33" t="n">
        <f>8137</f>
        <v>8137.0</v>
      </c>
      <c r="N284" s="34" t="s">
        <v>61</v>
      </c>
      <c r="O284" s="33" t="n">
        <f>7331</f>
        <v>7331.0</v>
      </c>
      <c r="P284" s="34" t="s">
        <v>50</v>
      </c>
      <c r="Q284" s="33" t="n">
        <f>7888</f>
        <v>7888.0</v>
      </c>
      <c r="R284" s="34" t="s">
        <v>51</v>
      </c>
      <c r="S284" s="35" t="n">
        <f>7864.25</f>
        <v>7864.25</v>
      </c>
      <c r="T284" s="32" t="n">
        <f>660846</f>
        <v>660846.0</v>
      </c>
      <c r="U284" s="32" t="n">
        <f>5000</f>
        <v>5000.0</v>
      </c>
      <c r="V284" s="32" t="n">
        <f>5131606953</f>
        <v>5.131606953E9</v>
      </c>
      <c r="W284" s="32" t="n">
        <f>39785000</f>
        <v>3.9785E7</v>
      </c>
      <c r="X284" s="36" t="n">
        <f>20</f>
        <v>20.0</v>
      </c>
    </row>
    <row r="285">
      <c r="A285" s="27" t="s">
        <v>42</v>
      </c>
      <c r="B285" s="27" t="s">
        <v>905</v>
      </c>
      <c r="C285" s="27" t="s">
        <v>906</v>
      </c>
      <c r="D285" s="27" t="s">
        <v>907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32180</f>
        <v>32180.0</v>
      </c>
      <c r="L285" s="34" t="s">
        <v>48</v>
      </c>
      <c r="M285" s="33" t="n">
        <f>34350</f>
        <v>34350.0</v>
      </c>
      <c r="N285" s="34" t="s">
        <v>50</v>
      </c>
      <c r="O285" s="33" t="n">
        <f>30760</f>
        <v>30760.0</v>
      </c>
      <c r="P285" s="34" t="s">
        <v>61</v>
      </c>
      <c r="Q285" s="33" t="n">
        <f>31770</f>
        <v>31770.0</v>
      </c>
      <c r="R285" s="34" t="s">
        <v>51</v>
      </c>
      <c r="S285" s="35" t="n">
        <f>31955.5</f>
        <v>31955.5</v>
      </c>
      <c r="T285" s="32" t="n">
        <f>620067</f>
        <v>620067.0</v>
      </c>
      <c r="U285" s="32" t="n">
        <f>117730</f>
        <v>117730.0</v>
      </c>
      <c r="V285" s="32" t="n">
        <f>19986561029</f>
        <v>1.9986561029E10</v>
      </c>
      <c r="W285" s="32" t="n">
        <f>3810457169</f>
        <v>3.810457169E9</v>
      </c>
      <c r="X285" s="36" t="n">
        <f>20</f>
        <v>20.0</v>
      </c>
    </row>
    <row r="286">
      <c r="A286" s="27" t="s">
        <v>42</v>
      </c>
      <c r="B286" s="27" t="s">
        <v>908</v>
      </c>
      <c r="C286" s="27" t="s">
        <v>909</v>
      </c>
      <c r="D286" s="27" t="s">
        <v>910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10.0</v>
      </c>
      <c r="K286" s="33" t="n">
        <f>4403</f>
        <v>4403.0</v>
      </c>
      <c r="L286" s="34" t="s">
        <v>48</v>
      </c>
      <c r="M286" s="33" t="n">
        <f>4424</f>
        <v>4424.0</v>
      </c>
      <c r="N286" s="34" t="s">
        <v>61</v>
      </c>
      <c r="O286" s="33" t="n">
        <f>4333</f>
        <v>4333.0</v>
      </c>
      <c r="P286" s="34" t="s">
        <v>245</v>
      </c>
      <c r="Q286" s="33" t="n">
        <f>4424</f>
        <v>4424.0</v>
      </c>
      <c r="R286" s="34" t="s">
        <v>61</v>
      </c>
      <c r="S286" s="35" t="n">
        <f>4382.75</f>
        <v>4382.75</v>
      </c>
      <c r="T286" s="32" t="n">
        <f>23030</f>
        <v>23030.0</v>
      </c>
      <c r="U286" s="32" t="n">
        <f>22800</f>
        <v>22800.0</v>
      </c>
      <c r="V286" s="32" t="n">
        <f>101475846</f>
        <v>1.01475846E8</v>
      </c>
      <c r="W286" s="32" t="n">
        <f>100472696</f>
        <v>1.00472696E8</v>
      </c>
      <c r="X286" s="36" t="n">
        <f>4</f>
        <v>4.0</v>
      </c>
    </row>
    <row r="287">
      <c r="A287" s="27" t="s">
        <v>42</v>
      </c>
      <c r="B287" s="27" t="s">
        <v>911</v>
      </c>
      <c r="C287" s="27" t="s">
        <v>912</v>
      </c>
      <c r="D287" s="27" t="s">
        <v>913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10.0</v>
      </c>
      <c r="K287" s="33" t="n">
        <f>5128</f>
        <v>5128.0</v>
      </c>
      <c r="L287" s="34" t="s">
        <v>48</v>
      </c>
      <c r="M287" s="33" t="n">
        <f>5227</f>
        <v>5227.0</v>
      </c>
      <c r="N287" s="34" t="s">
        <v>61</v>
      </c>
      <c r="O287" s="33" t="n">
        <f>4995</f>
        <v>4995.0</v>
      </c>
      <c r="P287" s="34" t="s">
        <v>50</v>
      </c>
      <c r="Q287" s="33" t="n">
        <f>5066</f>
        <v>5066.0</v>
      </c>
      <c r="R287" s="34" t="s">
        <v>51</v>
      </c>
      <c r="S287" s="35" t="n">
        <f>5066</f>
        <v>5066.0</v>
      </c>
      <c r="T287" s="32" t="n">
        <f>368080</f>
        <v>368080.0</v>
      </c>
      <c r="U287" s="32" t="n">
        <f>366000</f>
        <v>366000.0</v>
      </c>
      <c r="V287" s="32" t="n">
        <f>1853518250</f>
        <v>1.85351825E9</v>
      </c>
      <c r="W287" s="32" t="n">
        <f>1842949100</f>
        <v>1.8429491E9</v>
      </c>
      <c r="X287" s="36" t="n">
        <f>13</f>
        <v>13.0</v>
      </c>
    </row>
    <row r="288">
      <c r="A288" s="27" t="s">
        <v>42</v>
      </c>
      <c r="B288" s="27" t="s">
        <v>914</v>
      </c>
      <c r="C288" s="27" t="s">
        <v>915</v>
      </c>
      <c r="D288" s="27" t="s">
        <v>916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10.0</v>
      </c>
      <c r="K288" s="33" t="n">
        <f>1635</f>
        <v>1635.0</v>
      </c>
      <c r="L288" s="34" t="s">
        <v>48</v>
      </c>
      <c r="M288" s="33" t="n">
        <f>1698.5</f>
        <v>1698.5</v>
      </c>
      <c r="N288" s="34" t="s">
        <v>61</v>
      </c>
      <c r="O288" s="33" t="n">
        <f>1528.5</f>
        <v>1528.5</v>
      </c>
      <c r="P288" s="34" t="s">
        <v>50</v>
      </c>
      <c r="Q288" s="33" t="n">
        <f>1644</f>
        <v>1644.0</v>
      </c>
      <c r="R288" s="34" t="s">
        <v>51</v>
      </c>
      <c r="S288" s="35" t="n">
        <f>1639.85</f>
        <v>1639.85</v>
      </c>
      <c r="T288" s="32" t="n">
        <f>3738100</f>
        <v>3738100.0</v>
      </c>
      <c r="U288" s="32" t="str">
        <f>"－"</f>
        <v>－</v>
      </c>
      <c r="V288" s="32" t="n">
        <f>6128552300</f>
        <v>6.1285523E9</v>
      </c>
      <c r="W288" s="32" t="str">
        <f>"－"</f>
        <v>－</v>
      </c>
      <c r="X288" s="36" t="n">
        <f>20</f>
        <v>20.0</v>
      </c>
    </row>
    <row r="289">
      <c r="A289" s="27" t="s">
        <v>42</v>
      </c>
      <c r="B289" s="27" t="s">
        <v>917</v>
      </c>
      <c r="C289" s="27" t="s">
        <v>918</v>
      </c>
      <c r="D289" s="27" t="s">
        <v>919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1905</f>
        <v>1905.0</v>
      </c>
      <c r="L289" s="34" t="s">
        <v>48</v>
      </c>
      <c r="M289" s="33" t="n">
        <f>1994</f>
        <v>1994.0</v>
      </c>
      <c r="N289" s="34" t="s">
        <v>91</v>
      </c>
      <c r="O289" s="33" t="n">
        <f>1857</f>
        <v>1857.0</v>
      </c>
      <c r="P289" s="34" t="s">
        <v>50</v>
      </c>
      <c r="Q289" s="33" t="n">
        <f>1961</f>
        <v>1961.0</v>
      </c>
      <c r="R289" s="34" t="s">
        <v>51</v>
      </c>
      <c r="S289" s="35" t="n">
        <f>1938.88</f>
        <v>1938.88</v>
      </c>
      <c r="T289" s="32" t="n">
        <f>3062440</f>
        <v>3062440.0</v>
      </c>
      <c r="U289" s="32" t="n">
        <f>1573550</f>
        <v>1573550.0</v>
      </c>
      <c r="V289" s="32" t="n">
        <f>5999158610</f>
        <v>5.99915861E9</v>
      </c>
      <c r="W289" s="32" t="n">
        <f>3062071190</f>
        <v>3.06207119E9</v>
      </c>
      <c r="X289" s="36" t="n">
        <f>20</f>
        <v>20.0</v>
      </c>
    </row>
    <row r="290">
      <c r="A290" s="27" t="s">
        <v>42</v>
      </c>
      <c r="B290" s="27" t="s">
        <v>920</v>
      </c>
      <c r="C290" s="27" t="s">
        <v>921</v>
      </c>
      <c r="D290" s="27" t="s">
        <v>922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1586</f>
        <v>1586.0</v>
      </c>
      <c r="L290" s="34" t="s">
        <v>48</v>
      </c>
      <c r="M290" s="33" t="n">
        <f>1618</f>
        <v>1618.0</v>
      </c>
      <c r="N290" s="34" t="s">
        <v>79</v>
      </c>
      <c r="O290" s="33" t="n">
        <f>1559</f>
        <v>1559.0</v>
      </c>
      <c r="P290" s="34" t="s">
        <v>50</v>
      </c>
      <c r="Q290" s="33" t="n">
        <f>1594</f>
        <v>1594.0</v>
      </c>
      <c r="R290" s="34" t="s">
        <v>80</v>
      </c>
      <c r="S290" s="35" t="n">
        <f>1586.44</f>
        <v>1586.44</v>
      </c>
      <c r="T290" s="32" t="n">
        <f>535</f>
        <v>535.0</v>
      </c>
      <c r="U290" s="32" t="str">
        <f>"－"</f>
        <v>－</v>
      </c>
      <c r="V290" s="32" t="n">
        <f>849406</f>
        <v>849406.0</v>
      </c>
      <c r="W290" s="32" t="str">
        <f>"－"</f>
        <v>－</v>
      </c>
      <c r="X290" s="36" t="n">
        <f>16</f>
        <v>16.0</v>
      </c>
    </row>
    <row r="291">
      <c r="A291" s="27" t="s">
        <v>42</v>
      </c>
      <c r="B291" s="27" t="s">
        <v>923</v>
      </c>
      <c r="C291" s="27" t="s">
        <v>924</v>
      </c>
      <c r="D291" s="27" t="s">
        <v>925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1537</f>
        <v>1537.0</v>
      </c>
      <c r="L291" s="34" t="s">
        <v>48</v>
      </c>
      <c r="M291" s="33" t="n">
        <f>1602</f>
        <v>1602.0</v>
      </c>
      <c r="N291" s="34" t="s">
        <v>49</v>
      </c>
      <c r="O291" s="33" t="n">
        <f>1514</f>
        <v>1514.0</v>
      </c>
      <c r="P291" s="34" t="s">
        <v>50</v>
      </c>
      <c r="Q291" s="33" t="n">
        <f>1578</f>
        <v>1578.0</v>
      </c>
      <c r="R291" s="34" t="s">
        <v>80</v>
      </c>
      <c r="S291" s="35" t="n">
        <f>1561.47</f>
        <v>1561.47</v>
      </c>
      <c r="T291" s="32" t="n">
        <f>1903</f>
        <v>1903.0</v>
      </c>
      <c r="U291" s="32" t="str">
        <f>"－"</f>
        <v>－</v>
      </c>
      <c r="V291" s="32" t="n">
        <f>2967661</f>
        <v>2967661.0</v>
      </c>
      <c r="W291" s="32" t="str">
        <f>"－"</f>
        <v>－</v>
      </c>
      <c r="X291" s="36" t="n">
        <f>19</f>
        <v>19.0</v>
      </c>
    </row>
    <row r="292">
      <c r="A292" s="27" t="s">
        <v>42</v>
      </c>
      <c r="B292" s="27" t="s">
        <v>926</v>
      </c>
      <c r="C292" s="27" t="s">
        <v>927</v>
      </c>
      <c r="D292" s="27" t="s">
        <v>928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3160</f>
        <v>3160.0</v>
      </c>
      <c r="L292" s="34" t="s">
        <v>48</v>
      </c>
      <c r="M292" s="33" t="n">
        <f>3260</f>
        <v>3260.0</v>
      </c>
      <c r="N292" s="34" t="s">
        <v>91</v>
      </c>
      <c r="O292" s="33" t="n">
        <f>3110</f>
        <v>3110.0</v>
      </c>
      <c r="P292" s="34" t="s">
        <v>61</v>
      </c>
      <c r="Q292" s="33" t="n">
        <f>3210</f>
        <v>3210.0</v>
      </c>
      <c r="R292" s="34" t="s">
        <v>51</v>
      </c>
      <c r="S292" s="35" t="n">
        <f>3180</f>
        <v>3180.0</v>
      </c>
      <c r="T292" s="32" t="n">
        <f>2573</f>
        <v>2573.0</v>
      </c>
      <c r="U292" s="32" t="str">
        <f>"－"</f>
        <v>－</v>
      </c>
      <c r="V292" s="32" t="n">
        <f>8159765</f>
        <v>8159765.0</v>
      </c>
      <c r="W292" s="32" t="str">
        <f>"－"</f>
        <v>－</v>
      </c>
      <c r="X292" s="36" t="n">
        <f>20</f>
        <v>20.0</v>
      </c>
    </row>
    <row r="293">
      <c r="A293" s="27" t="s">
        <v>42</v>
      </c>
      <c r="B293" s="27" t="s">
        <v>929</v>
      </c>
      <c r="C293" s="27" t="s">
        <v>930</v>
      </c>
      <c r="D293" s="27" t="s">
        <v>931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1983</f>
        <v>1983.0</v>
      </c>
      <c r="L293" s="34" t="s">
        <v>50</v>
      </c>
      <c r="M293" s="33" t="n">
        <f>2044.5</f>
        <v>2044.5</v>
      </c>
      <c r="N293" s="34" t="s">
        <v>61</v>
      </c>
      <c r="O293" s="33" t="n">
        <f>1983</f>
        <v>1983.0</v>
      </c>
      <c r="P293" s="34" t="s">
        <v>50</v>
      </c>
      <c r="Q293" s="33" t="n">
        <f>2040</f>
        <v>2040.0</v>
      </c>
      <c r="R293" s="34" t="s">
        <v>172</v>
      </c>
      <c r="S293" s="35" t="n">
        <f>2016.13</f>
        <v>2016.13</v>
      </c>
      <c r="T293" s="32" t="n">
        <f>4950</f>
        <v>4950.0</v>
      </c>
      <c r="U293" s="32" t="str">
        <f>"－"</f>
        <v>－</v>
      </c>
      <c r="V293" s="32" t="n">
        <f>9891935</f>
        <v>9891935.0</v>
      </c>
      <c r="W293" s="32" t="str">
        <f>"－"</f>
        <v>－</v>
      </c>
      <c r="X293" s="36" t="n">
        <f>4</f>
        <v>4.0</v>
      </c>
    </row>
    <row r="294">
      <c r="A294" s="27" t="s">
        <v>42</v>
      </c>
      <c r="B294" s="27" t="s">
        <v>932</v>
      </c>
      <c r="C294" s="27" t="s">
        <v>933</v>
      </c>
      <c r="D294" s="27" t="s">
        <v>934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206.3</f>
        <v>206.3</v>
      </c>
      <c r="L294" s="34" t="s">
        <v>48</v>
      </c>
      <c r="M294" s="33" t="n">
        <f>214.2</f>
        <v>214.2</v>
      </c>
      <c r="N294" s="34" t="s">
        <v>70</v>
      </c>
      <c r="O294" s="33" t="n">
        <f>191.1</f>
        <v>191.1</v>
      </c>
      <c r="P294" s="34" t="s">
        <v>50</v>
      </c>
      <c r="Q294" s="33" t="n">
        <f>204</f>
        <v>204.0</v>
      </c>
      <c r="R294" s="34" t="s">
        <v>51</v>
      </c>
      <c r="S294" s="35" t="n">
        <f>202.53</f>
        <v>202.53</v>
      </c>
      <c r="T294" s="32" t="n">
        <f>13600</f>
        <v>13600.0</v>
      </c>
      <c r="U294" s="32" t="str">
        <f>"－"</f>
        <v>－</v>
      </c>
      <c r="V294" s="32" t="n">
        <f>2757502</f>
        <v>2757502.0</v>
      </c>
      <c r="W294" s="32" t="str">
        <f>"－"</f>
        <v>－</v>
      </c>
      <c r="X294" s="36" t="n">
        <f>19</f>
        <v>19.0</v>
      </c>
    </row>
    <row r="295">
      <c r="A295" s="27" t="s">
        <v>42</v>
      </c>
      <c r="B295" s="27" t="s">
        <v>935</v>
      </c>
      <c r="C295" s="27" t="s">
        <v>936</v>
      </c>
      <c r="D295" s="27" t="s">
        <v>937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10.0</v>
      </c>
      <c r="K295" s="33" t="n">
        <f>202.5</f>
        <v>202.5</v>
      </c>
      <c r="L295" s="34" t="s">
        <v>48</v>
      </c>
      <c r="M295" s="33" t="n">
        <f>202.5</f>
        <v>202.5</v>
      </c>
      <c r="N295" s="34" t="s">
        <v>48</v>
      </c>
      <c r="O295" s="33" t="n">
        <f>193</f>
        <v>193.0</v>
      </c>
      <c r="P295" s="34" t="s">
        <v>61</v>
      </c>
      <c r="Q295" s="33" t="n">
        <f>198.5</f>
        <v>198.5</v>
      </c>
      <c r="R295" s="34" t="s">
        <v>51</v>
      </c>
      <c r="S295" s="35" t="n">
        <f>198.64</f>
        <v>198.64</v>
      </c>
      <c r="T295" s="32" t="n">
        <f>12210</f>
        <v>12210.0</v>
      </c>
      <c r="U295" s="32" t="str">
        <f>"－"</f>
        <v>－</v>
      </c>
      <c r="V295" s="32" t="n">
        <f>2408200</f>
        <v>2408200.0</v>
      </c>
      <c r="W295" s="32" t="str">
        <f>"－"</f>
        <v>－</v>
      </c>
      <c r="X295" s="36" t="n">
        <f>20</f>
        <v>20.0</v>
      </c>
    </row>
    <row r="296">
      <c r="A296" s="27" t="s">
        <v>42</v>
      </c>
      <c r="B296" s="27" t="s">
        <v>938</v>
      </c>
      <c r="C296" s="27" t="s">
        <v>939</v>
      </c>
      <c r="D296" s="27" t="s">
        <v>940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10.0</v>
      </c>
      <c r="K296" s="33" t="n">
        <f>727.4</f>
        <v>727.4</v>
      </c>
      <c r="L296" s="34" t="s">
        <v>48</v>
      </c>
      <c r="M296" s="33" t="n">
        <f>744</f>
        <v>744.0</v>
      </c>
      <c r="N296" s="34" t="s">
        <v>91</v>
      </c>
      <c r="O296" s="33" t="n">
        <f>717.1</f>
        <v>717.1</v>
      </c>
      <c r="P296" s="34" t="s">
        <v>71</v>
      </c>
      <c r="Q296" s="33" t="n">
        <f>741.4</f>
        <v>741.4</v>
      </c>
      <c r="R296" s="34" t="s">
        <v>51</v>
      </c>
      <c r="S296" s="35" t="n">
        <f>731.38</f>
        <v>731.38</v>
      </c>
      <c r="T296" s="32" t="n">
        <f>29160</f>
        <v>29160.0</v>
      </c>
      <c r="U296" s="32" t="n">
        <f>19610</f>
        <v>19610.0</v>
      </c>
      <c r="V296" s="32" t="n">
        <f>21449385</f>
        <v>2.1449385E7</v>
      </c>
      <c r="W296" s="32" t="n">
        <f>14417830</f>
        <v>1.441783E7</v>
      </c>
      <c r="X296" s="36" t="n">
        <f>17</f>
        <v>17.0</v>
      </c>
    </row>
    <row r="297">
      <c r="A297" s="27" t="s">
        <v>42</v>
      </c>
      <c r="B297" s="27" t="s">
        <v>941</v>
      </c>
      <c r="C297" s="27" t="s">
        <v>942</v>
      </c>
      <c r="D297" s="27" t="s">
        <v>943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1037</f>
        <v>1037.0</v>
      </c>
      <c r="L297" s="34" t="s">
        <v>48</v>
      </c>
      <c r="M297" s="33" t="n">
        <f>1128</f>
        <v>1128.0</v>
      </c>
      <c r="N297" s="34" t="s">
        <v>70</v>
      </c>
      <c r="O297" s="33" t="n">
        <f>1020</f>
        <v>1020.0</v>
      </c>
      <c r="P297" s="34" t="s">
        <v>50</v>
      </c>
      <c r="Q297" s="33" t="n">
        <f>1073</f>
        <v>1073.0</v>
      </c>
      <c r="R297" s="34" t="s">
        <v>51</v>
      </c>
      <c r="S297" s="35" t="n">
        <f>1074.2</f>
        <v>1074.2</v>
      </c>
      <c r="T297" s="32" t="n">
        <f>440502</f>
        <v>440502.0</v>
      </c>
      <c r="U297" s="32" t="n">
        <f>300000</f>
        <v>300000.0</v>
      </c>
      <c r="V297" s="32" t="n">
        <f>485423624</f>
        <v>4.85423624E8</v>
      </c>
      <c r="W297" s="32" t="n">
        <f>330720000</f>
        <v>3.3072E8</v>
      </c>
      <c r="X297" s="36" t="n">
        <f>20</f>
        <v>20.0</v>
      </c>
    </row>
    <row r="298">
      <c r="A298" s="27" t="s">
        <v>42</v>
      </c>
      <c r="B298" s="27" t="s">
        <v>944</v>
      </c>
      <c r="C298" s="27" t="s">
        <v>945</v>
      </c>
      <c r="D298" s="27" t="s">
        <v>946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1033</f>
        <v>1033.0</v>
      </c>
      <c r="L298" s="34" t="s">
        <v>48</v>
      </c>
      <c r="M298" s="33" t="n">
        <f>1050</f>
        <v>1050.0</v>
      </c>
      <c r="N298" s="34" t="s">
        <v>70</v>
      </c>
      <c r="O298" s="33" t="n">
        <f>1014</f>
        <v>1014.0</v>
      </c>
      <c r="P298" s="34" t="s">
        <v>90</v>
      </c>
      <c r="Q298" s="33" t="n">
        <f>1038</f>
        <v>1038.0</v>
      </c>
      <c r="R298" s="34" t="s">
        <v>51</v>
      </c>
      <c r="S298" s="35" t="n">
        <f>1027.4</f>
        <v>1027.4</v>
      </c>
      <c r="T298" s="32" t="n">
        <f>1912</f>
        <v>1912.0</v>
      </c>
      <c r="U298" s="32" t="str">
        <f>"－"</f>
        <v>－</v>
      </c>
      <c r="V298" s="32" t="n">
        <f>1968793</f>
        <v>1968793.0</v>
      </c>
      <c r="W298" s="32" t="str">
        <f>"－"</f>
        <v>－</v>
      </c>
      <c r="X298" s="36" t="n">
        <f>20</f>
        <v>20.0</v>
      </c>
    </row>
    <row r="299">
      <c r="A299" s="27" t="s">
        <v>42</v>
      </c>
      <c r="B299" s="27" t="s">
        <v>947</v>
      </c>
      <c r="C299" s="27" t="s">
        <v>948</v>
      </c>
      <c r="D299" s="27" t="s">
        <v>949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750</f>
        <v>750.0</v>
      </c>
      <c r="L299" s="34" t="s">
        <v>48</v>
      </c>
      <c r="M299" s="33" t="n">
        <f>768.6</f>
        <v>768.6</v>
      </c>
      <c r="N299" s="34" t="s">
        <v>91</v>
      </c>
      <c r="O299" s="33" t="n">
        <f>743</f>
        <v>743.0</v>
      </c>
      <c r="P299" s="34" t="s">
        <v>245</v>
      </c>
      <c r="Q299" s="33" t="n">
        <f>759</f>
        <v>759.0</v>
      </c>
      <c r="R299" s="34" t="s">
        <v>51</v>
      </c>
      <c r="S299" s="35" t="n">
        <f>754.59</f>
        <v>754.59</v>
      </c>
      <c r="T299" s="32" t="n">
        <f>2129010</f>
        <v>2129010.0</v>
      </c>
      <c r="U299" s="32" t="n">
        <f>1992380</f>
        <v>1992380.0</v>
      </c>
      <c r="V299" s="32" t="n">
        <f>1613919976</f>
        <v>1.613919976E9</v>
      </c>
      <c r="W299" s="32" t="n">
        <f>1510423278</f>
        <v>1.510423278E9</v>
      </c>
      <c r="X299" s="36" t="n">
        <f>20</f>
        <v>20.0</v>
      </c>
    </row>
    <row r="300">
      <c r="A300" s="27" t="s">
        <v>42</v>
      </c>
      <c r="B300" s="27" t="s">
        <v>950</v>
      </c>
      <c r="C300" s="27" t="s">
        <v>951</v>
      </c>
      <c r="D300" s="27" t="s">
        <v>952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10.0</v>
      </c>
      <c r="K300" s="33" t="n">
        <f>738.5</f>
        <v>738.5</v>
      </c>
      <c r="L300" s="34" t="s">
        <v>48</v>
      </c>
      <c r="M300" s="33" t="n">
        <f>751.1</f>
        <v>751.1</v>
      </c>
      <c r="N300" s="34" t="s">
        <v>51</v>
      </c>
      <c r="O300" s="33" t="n">
        <f>729.3</f>
        <v>729.3</v>
      </c>
      <c r="P300" s="34" t="s">
        <v>245</v>
      </c>
      <c r="Q300" s="33" t="n">
        <f>751.1</f>
        <v>751.1</v>
      </c>
      <c r="R300" s="34" t="s">
        <v>51</v>
      </c>
      <c r="S300" s="35" t="n">
        <f>739.98</f>
        <v>739.98</v>
      </c>
      <c r="T300" s="32" t="n">
        <f>1500000</f>
        <v>1500000.0</v>
      </c>
      <c r="U300" s="32" t="n">
        <f>1498280</f>
        <v>1498280.0</v>
      </c>
      <c r="V300" s="32" t="n">
        <f>1112780873</f>
        <v>1.112780873E9</v>
      </c>
      <c r="W300" s="32" t="n">
        <f>1111512683</f>
        <v>1.111512683E9</v>
      </c>
      <c r="X300" s="36" t="n">
        <f>11</f>
        <v>11.0</v>
      </c>
    </row>
    <row r="301">
      <c r="A301" s="27" t="s">
        <v>42</v>
      </c>
      <c r="B301" s="27" t="s">
        <v>953</v>
      </c>
      <c r="C301" s="27" t="s">
        <v>954</v>
      </c>
      <c r="D301" s="27" t="s">
        <v>955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1008</f>
        <v>1008.0</v>
      </c>
      <c r="L301" s="34" t="s">
        <v>48</v>
      </c>
      <c r="M301" s="33" t="n">
        <f>1022</f>
        <v>1022.0</v>
      </c>
      <c r="N301" s="34" t="s">
        <v>49</v>
      </c>
      <c r="O301" s="33" t="n">
        <f>1002</f>
        <v>1002.0</v>
      </c>
      <c r="P301" s="34" t="s">
        <v>50</v>
      </c>
      <c r="Q301" s="33" t="n">
        <f>1019</f>
        <v>1019.0</v>
      </c>
      <c r="R301" s="34" t="s">
        <v>51</v>
      </c>
      <c r="S301" s="35" t="n">
        <f>1014.4</f>
        <v>1014.4</v>
      </c>
      <c r="T301" s="32" t="n">
        <f>62256</f>
        <v>62256.0</v>
      </c>
      <c r="U301" s="32" t="str">
        <f>"－"</f>
        <v>－</v>
      </c>
      <c r="V301" s="32" t="n">
        <f>62930005</f>
        <v>6.2930005E7</v>
      </c>
      <c r="W301" s="32" t="str">
        <f>"－"</f>
        <v>－</v>
      </c>
      <c r="X301" s="36" t="n">
        <f>20</f>
        <v>20.0</v>
      </c>
    </row>
    <row r="302">
      <c r="A302" s="27" t="s">
        <v>42</v>
      </c>
      <c r="B302" s="27" t="s">
        <v>956</v>
      </c>
      <c r="C302" s="27" t="s">
        <v>957</v>
      </c>
      <c r="D302" s="27" t="s">
        <v>958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10.0</v>
      </c>
      <c r="K302" s="33" t="n">
        <f>2031</f>
        <v>2031.0</v>
      </c>
      <c r="L302" s="34" t="s">
        <v>48</v>
      </c>
      <c r="M302" s="33" t="n">
        <f>2268</f>
        <v>2268.0</v>
      </c>
      <c r="N302" s="34" t="s">
        <v>114</v>
      </c>
      <c r="O302" s="33" t="n">
        <f>2005</f>
        <v>2005.0</v>
      </c>
      <c r="P302" s="34" t="s">
        <v>50</v>
      </c>
      <c r="Q302" s="33" t="n">
        <f>2199</f>
        <v>2199.0</v>
      </c>
      <c r="R302" s="34" t="s">
        <v>51</v>
      </c>
      <c r="S302" s="35" t="n">
        <f>2149.71</f>
        <v>2149.71</v>
      </c>
      <c r="T302" s="32" t="n">
        <f>9850</f>
        <v>9850.0</v>
      </c>
      <c r="U302" s="32" t="str">
        <f>"－"</f>
        <v>－</v>
      </c>
      <c r="V302" s="32" t="n">
        <f>21490840</f>
        <v>2.149084E7</v>
      </c>
      <c r="W302" s="32" t="str">
        <f>"－"</f>
        <v>－</v>
      </c>
      <c r="X302" s="36" t="n">
        <f>17</f>
        <v>17.0</v>
      </c>
    </row>
    <row r="303">
      <c r="A303" s="27" t="s">
        <v>42</v>
      </c>
      <c r="B303" s="27" t="s">
        <v>959</v>
      </c>
      <c r="C303" s="27" t="s">
        <v>960</v>
      </c>
      <c r="D303" s="27" t="s">
        <v>961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2036</f>
        <v>2036.0</v>
      </c>
      <c r="L303" s="34" t="s">
        <v>48</v>
      </c>
      <c r="M303" s="33" t="n">
        <f>2280</f>
        <v>2280.0</v>
      </c>
      <c r="N303" s="34" t="s">
        <v>61</v>
      </c>
      <c r="O303" s="33" t="n">
        <f>2036</f>
        <v>2036.0</v>
      </c>
      <c r="P303" s="34" t="s">
        <v>48</v>
      </c>
      <c r="Q303" s="33" t="n">
        <f>2205.5</f>
        <v>2205.5</v>
      </c>
      <c r="R303" s="34" t="s">
        <v>51</v>
      </c>
      <c r="S303" s="35" t="n">
        <f>2161.88</f>
        <v>2161.88</v>
      </c>
      <c r="T303" s="32" t="n">
        <f>8930</f>
        <v>8930.0</v>
      </c>
      <c r="U303" s="32" t="str">
        <f>"－"</f>
        <v>－</v>
      </c>
      <c r="V303" s="32" t="n">
        <f>19488155</f>
        <v>1.9488155E7</v>
      </c>
      <c r="W303" s="32" t="str">
        <f>"－"</f>
        <v>－</v>
      </c>
      <c r="X303" s="36" t="n">
        <f>17</f>
        <v>17.0</v>
      </c>
    </row>
    <row r="304">
      <c r="A304" s="27" t="s">
        <v>42</v>
      </c>
      <c r="B304" s="27" t="s">
        <v>962</v>
      </c>
      <c r="C304" s="27" t="s">
        <v>963</v>
      </c>
      <c r="D304" s="27" t="s">
        <v>964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10.0</v>
      </c>
      <c r="K304" s="33" t="n">
        <f>4938</f>
        <v>4938.0</v>
      </c>
      <c r="L304" s="34" t="s">
        <v>62</v>
      </c>
      <c r="M304" s="33" t="n">
        <f>4985</f>
        <v>4985.0</v>
      </c>
      <c r="N304" s="34" t="s">
        <v>79</v>
      </c>
      <c r="O304" s="33" t="n">
        <f>4852</f>
        <v>4852.0</v>
      </c>
      <c r="P304" s="34" t="s">
        <v>50</v>
      </c>
      <c r="Q304" s="33" t="n">
        <f>4907</f>
        <v>4907.0</v>
      </c>
      <c r="R304" s="34" t="s">
        <v>80</v>
      </c>
      <c r="S304" s="35" t="n">
        <f>4929.29</f>
        <v>4929.29</v>
      </c>
      <c r="T304" s="32" t="n">
        <f>1570</f>
        <v>1570.0</v>
      </c>
      <c r="U304" s="32" t="str">
        <f>"－"</f>
        <v>－</v>
      </c>
      <c r="V304" s="32" t="n">
        <f>7750130</f>
        <v>7750130.0</v>
      </c>
      <c r="W304" s="32" t="str">
        <f>"－"</f>
        <v>－</v>
      </c>
      <c r="X304" s="36" t="n">
        <f>7</f>
        <v>7.0</v>
      </c>
    </row>
    <row r="305">
      <c r="A305" s="27" t="s">
        <v>42</v>
      </c>
      <c r="B305" s="27" t="s">
        <v>965</v>
      </c>
      <c r="C305" s="27" t="s">
        <v>966</v>
      </c>
      <c r="D305" s="27" t="s">
        <v>967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4489</f>
        <v>4489.0</v>
      </c>
      <c r="L305" s="34" t="s">
        <v>245</v>
      </c>
      <c r="M305" s="33" t="n">
        <f>4580</f>
        <v>4580.0</v>
      </c>
      <c r="N305" s="34" t="s">
        <v>61</v>
      </c>
      <c r="O305" s="33" t="n">
        <f>4489</f>
        <v>4489.0</v>
      </c>
      <c r="P305" s="34" t="s">
        <v>245</v>
      </c>
      <c r="Q305" s="33" t="n">
        <f>4580</f>
        <v>4580.0</v>
      </c>
      <c r="R305" s="34" t="s">
        <v>61</v>
      </c>
      <c r="S305" s="35" t="n">
        <f>4528.33</f>
        <v>4528.33</v>
      </c>
      <c r="T305" s="32" t="n">
        <f>420030</f>
        <v>420030.0</v>
      </c>
      <c r="U305" s="32" t="n">
        <f>420000</f>
        <v>420000.0</v>
      </c>
      <c r="V305" s="32" t="n">
        <f>1936556905</f>
        <v>1.936556905E9</v>
      </c>
      <c r="W305" s="32" t="n">
        <f>1936421055</f>
        <v>1.936421055E9</v>
      </c>
      <c r="X305" s="36" t="n">
        <f>3</f>
        <v>3.0</v>
      </c>
    </row>
    <row r="306">
      <c r="A306" s="27" t="s">
        <v>42</v>
      </c>
      <c r="B306" s="27" t="s">
        <v>968</v>
      </c>
      <c r="C306" s="27" t="s">
        <v>969</v>
      </c>
      <c r="D306" s="27" t="s">
        <v>970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10.0</v>
      </c>
      <c r="K306" s="33" t="n">
        <f>1921</f>
        <v>1921.0</v>
      </c>
      <c r="L306" s="34" t="s">
        <v>48</v>
      </c>
      <c r="M306" s="33" t="n">
        <f>1984.5</f>
        <v>1984.5</v>
      </c>
      <c r="N306" s="34" t="s">
        <v>79</v>
      </c>
      <c r="O306" s="33" t="n">
        <f>1882</f>
        <v>1882.0</v>
      </c>
      <c r="P306" s="34" t="s">
        <v>50</v>
      </c>
      <c r="Q306" s="33" t="n">
        <f>1959.5</f>
        <v>1959.5</v>
      </c>
      <c r="R306" s="34" t="s">
        <v>51</v>
      </c>
      <c r="S306" s="35" t="n">
        <f>1934.31</f>
        <v>1934.31</v>
      </c>
      <c r="T306" s="32" t="n">
        <f>61500</f>
        <v>61500.0</v>
      </c>
      <c r="U306" s="32" t="str">
        <f>"－"</f>
        <v>－</v>
      </c>
      <c r="V306" s="32" t="n">
        <f>117177760</f>
        <v>1.1717776E8</v>
      </c>
      <c r="W306" s="32" t="str">
        <f>"－"</f>
        <v>－</v>
      </c>
      <c r="X306" s="36" t="n">
        <f>16</f>
        <v>16.0</v>
      </c>
    </row>
    <row r="307">
      <c r="A307" s="27" t="s">
        <v>42</v>
      </c>
      <c r="B307" s="27" t="s">
        <v>971</v>
      </c>
      <c r="C307" s="27" t="s">
        <v>972</v>
      </c>
      <c r="D307" s="27" t="s">
        <v>973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1092</f>
        <v>1092.0</v>
      </c>
      <c r="L307" s="34" t="s">
        <v>48</v>
      </c>
      <c r="M307" s="33" t="n">
        <f>1122</f>
        <v>1122.0</v>
      </c>
      <c r="N307" s="34" t="s">
        <v>70</v>
      </c>
      <c r="O307" s="33" t="n">
        <f>1050</f>
        <v>1050.0</v>
      </c>
      <c r="P307" s="34" t="s">
        <v>50</v>
      </c>
      <c r="Q307" s="33" t="n">
        <f>1070</f>
        <v>1070.0</v>
      </c>
      <c r="R307" s="34" t="s">
        <v>51</v>
      </c>
      <c r="S307" s="35" t="n">
        <f>1075.95</f>
        <v>1075.95</v>
      </c>
      <c r="T307" s="32" t="n">
        <f>91803</f>
        <v>91803.0</v>
      </c>
      <c r="U307" s="32" t="str">
        <f>"－"</f>
        <v>－</v>
      </c>
      <c r="V307" s="32" t="n">
        <f>99586747</f>
        <v>9.9586747E7</v>
      </c>
      <c r="W307" s="32" t="str">
        <f>"－"</f>
        <v>－</v>
      </c>
      <c r="X307" s="36" t="n">
        <f>20</f>
        <v>20.0</v>
      </c>
    </row>
    <row r="308">
      <c r="A308" s="27" t="s">
        <v>42</v>
      </c>
      <c r="B308" s="27" t="s">
        <v>974</v>
      </c>
      <c r="C308" s="27" t="s">
        <v>975</v>
      </c>
      <c r="D308" s="27" t="s">
        <v>976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1041</f>
        <v>1041.0</v>
      </c>
      <c r="L308" s="34" t="s">
        <v>48</v>
      </c>
      <c r="M308" s="33" t="n">
        <f>1042</f>
        <v>1042.0</v>
      </c>
      <c r="N308" s="34" t="s">
        <v>48</v>
      </c>
      <c r="O308" s="33" t="n">
        <f>976</f>
        <v>976.0</v>
      </c>
      <c r="P308" s="34" t="s">
        <v>71</v>
      </c>
      <c r="Q308" s="33" t="n">
        <f>976</f>
        <v>976.0</v>
      </c>
      <c r="R308" s="34" t="s">
        <v>51</v>
      </c>
      <c r="S308" s="35" t="n">
        <f>998.4</f>
        <v>998.4</v>
      </c>
      <c r="T308" s="32" t="n">
        <f>820987</f>
        <v>820987.0</v>
      </c>
      <c r="U308" s="32" t="str">
        <f>"－"</f>
        <v>－</v>
      </c>
      <c r="V308" s="32" t="n">
        <f>820520872</f>
        <v>8.20520872E8</v>
      </c>
      <c r="W308" s="32" t="str">
        <f>"－"</f>
        <v>－</v>
      </c>
      <c r="X308" s="36" t="n">
        <f>20</f>
        <v>20.0</v>
      </c>
    </row>
    <row r="309">
      <c r="A309" s="27" t="s">
        <v>42</v>
      </c>
      <c r="B309" s="27" t="s">
        <v>977</v>
      </c>
      <c r="C309" s="27" t="s">
        <v>978</v>
      </c>
      <c r="D309" s="27" t="s">
        <v>979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980</f>
        <v>980.0</v>
      </c>
      <c r="L309" s="34" t="s">
        <v>48</v>
      </c>
      <c r="M309" s="33" t="n">
        <f>1032</f>
        <v>1032.0</v>
      </c>
      <c r="N309" s="34" t="s">
        <v>49</v>
      </c>
      <c r="O309" s="33" t="n">
        <f>955</f>
        <v>955.0</v>
      </c>
      <c r="P309" s="34" t="s">
        <v>51</v>
      </c>
      <c r="Q309" s="33" t="n">
        <f>956</f>
        <v>956.0</v>
      </c>
      <c r="R309" s="34" t="s">
        <v>51</v>
      </c>
      <c r="S309" s="35" t="n">
        <f>983.05</f>
        <v>983.05</v>
      </c>
      <c r="T309" s="32" t="n">
        <f>962361</f>
        <v>962361.0</v>
      </c>
      <c r="U309" s="32" t="str">
        <f>"－"</f>
        <v>－</v>
      </c>
      <c r="V309" s="32" t="n">
        <f>943281812</f>
        <v>9.43281812E8</v>
      </c>
      <c r="W309" s="32" t="str">
        <f>"－"</f>
        <v>－</v>
      </c>
      <c r="X309" s="36" t="n">
        <f>20</f>
        <v>20.0</v>
      </c>
    </row>
    <row r="310">
      <c r="A310" s="27" t="s">
        <v>42</v>
      </c>
      <c r="B310" s="27" t="s">
        <v>980</v>
      </c>
      <c r="C310" s="27" t="s">
        <v>981</v>
      </c>
      <c r="D310" s="27" t="s">
        <v>982</v>
      </c>
      <c r="E310" s="28" t="s">
        <v>983</v>
      </c>
      <c r="F310" s="29" t="s">
        <v>984</v>
      </c>
      <c r="G310" s="30" t="s">
        <v>985</v>
      </c>
      <c r="H310" s="31"/>
      <c r="I310" s="31" t="s">
        <v>47</v>
      </c>
      <c r="J310" s="32" t="n">
        <v>1.0</v>
      </c>
      <c r="K310" s="33" t="n">
        <f>1026</f>
        <v>1026.0</v>
      </c>
      <c r="L310" s="34" t="s">
        <v>245</v>
      </c>
      <c r="M310" s="33" t="n">
        <f>1036</f>
        <v>1036.0</v>
      </c>
      <c r="N310" s="34" t="s">
        <v>61</v>
      </c>
      <c r="O310" s="33" t="n">
        <f>967</f>
        <v>967.0</v>
      </c>
      <c r="P310" s="34" t="s">
        <v>51</v>
      </c>
      <c r="Q310" s="33" t="n">
        <f>975</f>
        <v>975.0</v>
      </c>
      <c r="R310" s="34" t="s">
        <v>51</v>
      </c>
      <c r="S310" s="35" t="n">
        <f>1006.38</f>
        <v>1006.38</v>
      </c>
      <c r="T310" s="32" t="n">
        <f>341820</f>
        <v>341820.0</v>
      </c>
      <c r="U310" s="32" t="str">
        <f>"－"</f>
        <v>－</v>
      </c>
      <c r="V310" s="32" t="n">
        <f>344998573</f>
        <v>3.44998573E8</v>
      </c>
      <c r="W310" s="32" t="str">
        <f>"－"</f>
        <v>－</v>
      </c>
      <c r="X310" s="36" t="n">
        <f>16</f>
        <v>16.0</v>
      </c>
    </row>
    <row r="311">
      <c r="A311" s="27" t="s">
        <v>42</v>
      </c>
      <c r="B311" s="27" t="s">
        <v>986</v>
      </c>
      <c r="C311" s="27" t="s">
        <v>987</v>
      </c>
      <c r="D311" s="27" t="s">
        <v>988</v>
      </c>
      <c r="E311" s="28" t="s">
        <v>983</v>
      </c>
      <c r="F311" s="29" t="s">
        <v>984</v>
      </c>
      <c r="G311" s="30" t="s">
        <v>985</v>
      </c>
      <c r="H311" s="31"/>
      <c r="I311" s="31" t="s">
        <v>47</v>
      </c>
      <c r="J311" s="32" t="n">
        <v>1.0</v>
      </c>
      <c r="K311" s="33" t="n">
        <f>1005</f>
        <v>1005.0</v>
      </c>
      <c r="L311" s="34" t="s">
        <v>245</v>
      </c>
      <c r="M311" s="33" t="n">
        <f>1005</f>
        <v>1005.0</v>
      </c>
      <c r="N311" s="34" t="s">
        <v>245</v>
      </c>
      <c r="O311" s="33" t="n">
        <f>952</f>
        <v>952.0</v>
      </c>
      <c r="P311" s="34" t="s">
        <v>51</v>
      </c>
      <c r="Q311" s="33" t="n">
        <f>952</f>
        <v>952.0</v>
      </c>
      <c r="R311" s="34" t="s">
        <v>51</v>
      </c>
      <c r="S311" s="35" t="n">
        <f>969.69</f>
        <v>969.69</v>
      </c>
      <c r="T311" s="32" t="n">
        <f>340689</f>
        <v>340689.0</v>
      </c>
      <c r="U311" s="32" t="str">
        <f>"－"</f>
        <v>－</v>
      </c>
      <c r="V311" s="32" t="n">
        <f>332904200</f>
        <v>3.329042E8</v>
      </c>
      <c r="W311" s="32" t="str">
        <f>"－"</f>
        <v>－</v>
      </c>
      <c r="X311" s="36" t="n">
        <f>16</f>
        <v>16.0</v>
      </c>
    </row>
    <row r="312">
      <c r="A312" s="27" t="s">
        <v>42</v>
      </c>
      <c r="B312" s="27" t="s">
        <v>989</v>
      </c>
      <c r="C312" s="27" t="s">
        <v>990</v>
      </c>
      <c r="D312" s="27" t="s">
        <v>991</v>
      </c>
      <c r="E312" s="28" t="s">
        <v>983</v>
      </c>
      <c r="F312" s="29" t="s">
        <v>984</v>
      </c>
      <c r="G312" s="30" t="s">
        <v>992</v>
      </c>
      <c r="H312" s="31"/>
      <c r="I312" s="31" t="s">
        <v>47</v>
      </c>
      <c r="J312" s="32" t="n">
        <v>1.0</v>
      </c>
      <c r="K312" s="33" t="n">
        <f>20510</f>
        <v>20510.0</v>
      </c>
      <c r="L312" s="34" t="s">
        <v>61</v>
      </c>
      <c r="M312" s="33" t="n">
        <f>20585</f>
        <v>20585.0</v>
      </c>
      <c r="N312" s="34" t="s">
        <v>61</v>
      </c>
      <c r="O312" s="33" t="n">
        <f>19070</f>
        <v>19070.0</v>
      </c>
      <c r="P312" s="34" t="s">
        <v>51</v>
      </c>
      <c r="Q312" s="33" t="n">
        <f>19185</f>
        <v>19185.0</v>
      </c>
      <c r="R312" s="34" t="s">
        <v>51</v>
      </c>
      <c r="S312" s="35" t="n">
        <f>19878</f>
        <v>19878.0</v>
      </c>
      <c r="T312" s="32" t="n">
        <f>105107</f>
        <v>105107.0</v>
      </c>
      <c r="U312" s="32" t="str">
        <f>"－"</f>
        <v>－</v>
      </c>
      <c r="V312" s="32" t="n">
        <f>2095383365</f>
        <v>2.095383365E9</v>
      </c>
      <c r="W312" s="32" t="str">
        <f>"－"</f>
        <v>－</v>
      </c>
      <c r="X312" s="36" t="n">
        <f>10</f>
        <v>10.0</v>
      </c>
    </row>
    <row r="313">
      <c r="A313" s="27" t="s">
        <v>42</v>
      </c>
      <c r="B313" s="27" t="s">
        <v>993</v>
      </c>
      <c r="C313" s="27" t="s">
        <v>994</v>
      </c>
      <c r="D313" s="27" t="s">
        <v>995</v>
      </c>
      <c r="E313" s="28" t="s">
        <v>983</v>
      </c>
      <c r="F313" s="29" t="s">
        <v>984</v>
      </c>
      <c r="G313" s="30" t="s">
        <v>992</v>
      </c>
      <c r="H313" s="31"/>
      <c r="I313" s="31" t="s">
        <v>47</v>
      </c>
      <c r="J313" s="32" t="n">
        <v>1.0</v>
      </c>
      <c r="K313" s="33" t="n">
        <f>57810</f>
        <v>57810.0</v>
      </c>
      <c r="L313" s="34" t="s">
        <v>61</v>
      </c>
      <c r="M313" s="33" t="n">
        <f>61460</f>
        <v>61460.0</v>
      </c>
      <c r="N313" s="34" t="s">
        <v>51</v>
      </c>
      <c r="O313" s="33" t="n">
        <f>57310</f>
        <v>57310.0</v>
      </c>
      <c r="P313" s="34" t="s">
        <v>79</v>
      </c>
      <c r="Q313" s="33" t="n">
        <f>61170</f>
        <v>61170.0</v>
      </c>
      <c r="R313" s="34" t="s">
        <v>51</v>
      </c>
      <c r="S313" s="35" t="n">
        <f>59207</f>
        <v>59207.0</v>
      </c>
      <c r="T313" s="32" t="n">
        <f>13568</f>
        <v>13568.0</v>
      </c>
      <c r="U313" s="32" t="str">
        <f>"－"</f>
        <v>－</v>
      </c>
      <c r="V313" s="32" t="n">
        <f>806358300</f>
        <v>8.063583E8</v>
      </c>
      <c r="W313" s="32" t="str">
        <f>"－"</f>
        <v>－</v>
      </c>
      <c r="X313" s="36" t="n">
        <f>10</f>
        <v>10.0</v>
      </c>
    </row>
    <row r="314">
      <c r="A314" s="27" t="s">
        <v>42</v>
      </c>
      <c r="B314" s="27" t="s">
        <v>996</v>
      </c>
      <c r="C314" s="27" t="s">
        <v>997</v>
      </c>
      <c r="D314" s="27" t="s">
        <v>998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115000</f>
        <v>115000.0</v>
      </c>
      <c r="L314" s="34" t="s">
        <v>48</v>
      </c>
      <c r="M314" s="33" t="n">
        <f>119500</f>
        <v>119500.0</v>
      </c>
      <c r="N314" s="34" t="s">
        <v>80</v>
      </c>
      <c r="O314" s="33" t="n">
        <f>113900</f>
        <v>113900.0</v>
      </c>
      <c r="P314" s="34" t="s">
        <v>114</v>
      </c>
      <c r="Q314" s="33" t="n">
        <f>118700</f>
        <v>118700.0</v>
      </c>
      <c r="R314" s="34" t="s">
        <v>51</v>
      </c>
      <c r="S314" s="35" t="n">
        <f>116040</f>
        <v>116040.0</v>
      </c>
      <c r="T314" s="32" t="n">
        <f>25498</f>
        <v>25498.0</v>
      </c>
      <c r="U314" s="32" t="n">
        <f>3387</f>
        <v>3387.0</v>
      </c>
      <c r="V314" s="32" t="n">
        <f>2954855776</f>
        <v>2.954855776E9</v>
      </c>
      <c r="W314" s="32" t="n">
        <f>392131176</f>
        <v>3.92131176E8</v>
      </c>
      <c r="X314" s="36" t="n">
        <f>20</f>
        <v>20.0</v>
      </c>
    </row>
    <row r="315">
      <c r="A315" s="27" t="s">
        <v>42</v>
      </c>
      <c r="B315" s="27" t="s">
        <v>999</v>
      </c>
      <c r="C315" s="27" t="s">
        <v>1000</v>
      </c>
      <c r="D315" s="27" t="s">
        <v>1001</v>
      </c>
      <c r="E315" s="28" t="s">
        <v>46</v>
      </c>
      <c r="F315" s="29" t="s">
        <v>46</v>
      </c>
      <c r="G315" s="30" t="s">
        <v>46</v>
      </c>
      <c r="H315" s="31"/>
      <c r="I315" s="31" t="s">
        <v>601</v>
      </c>
      <c r="J315" s="32" t="n">
        <v>1.0</v>
      </c>
      <c r="K315" s="33" t="n">
        <f>93500</f>
        <v>93500.0</v>
      </c>
      <c r="L315" s="34" t="s">
        <v>48</v>
      </c>
      <c r="M315" s="33" t="n">
        <f>94500</f>
        <v>94500.0</v>
      </c>
      <c r="N315" s="34" t="s">
        <v>160</v>
      </c>
      <c r="O315" s="33" t="n">
        <f>91900</f>
        <v>91900.0</v>
      </c>
      <c r="P315" s="34" t="s">
        <v>90</v>
      </c>
      <c r="Q315" s="33" t="n">
        <f>93100</f>
        <v>93100.0</v>
      </c>
      <c r="R315" s="34" t="s">
        <v>51</v>
      </c>
      <c r="S315" s="35" t="n">
        <f>93150</f>
        <v>93150.0</v>
      </c>
      <c r="T315" s="32" t="n">
        <f>30395</f>
        <v>30395.0</v>
      </c>
      <c r="U315" s="32" t="n">
        <f>3810</f>
        <v>3810.0</v>
      </c>
      <c r="V315" s="32" t="n">
        <f>2831048726</f>
        <v>2.831048726E9</v>
      </c>
      <c r="W315" s="32" t="n">
        <f>354635126</f>
        <v>3.54635126E8</v>
      </c>
      <c r="X315" s="36" t="n">
        <f>20</f>
        <v>20.0</v>
      </c>
    </row>
    <row r="316">
      <c r="A316" s="27" t="s">
        <v>42</v>
      </c>
      <c r="B316" s="27" t="s">
        <v>1002</v>
      </c>
      <c r="C316" s="27" t="s">
        <v>1003</v>
      </c>
      <c r="D316" s="27" t="s">
        <v>1004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143500</f>
        <v>143500.0</v>
      </c>
      <c r="L316" s="34" t="s">
        <v>48</v>
      </c>
      <c r="M316" s="33" t="n">
        <f>145300</f>
        <v>145300.0</v>
      </c>
      <c r="N316" s="34" t="s">
        <v>62</v>
      </c>
      <c r="O316" s="33" t="n">
        <f>136400</f>
        <v>136400.0</v>
      </c>
      <c r="P316" s="34" t="s">
        <v>51</v>
      </c>
      <c r="Q316" s="33" t="n">
        <f>137400</f>
        <v>137400.0</v>
      </c>
      <c r="R316" s="34" t="s">
        <v>51</v>
      </c>
      <c r="S316" s="35" t="n">
        <f>141120</f>
        <v>141120.0</v>
      </c>
      <c r="T316" s="32" t="n">
        <f>80694</f>
        <v>80694.0</v>
      </c>
      <c r="U316" s="32" t="n">
        <f>16030</f>
        <v>16030.0</v>
      </c>
      <c r="V316" s="32" t="n">
        <f>11404051152</f>
        <v>1.1404051152E10</v>
      </c>
      <c r="W316" s="32" t="n">
        <f>2265624752</f>
        <v>2.265624752E9</v>
      </c>
      <c r="X316" s="36" t="n">
        <f>20</f>
        <v>20.0</v>
      </c>
    </row>
    <row r="317">
      <c r="A317" s="27" t="s">
        <v>42</v>
      </c>
      <c r="B317" s="27" t="s">
        <v>1005</v>
      </c>
      <c r="C317" s="27" t="s">
        <v>1006</v>
      </c>
      <c r="D317" s="27" t="s">
        <v>1007</v>
      </c>
      <c r="E317" s="28" t="s">
        <v>46</v>
      </c>
      <c r="F317" s="29" t="s">
        <v>46</v>
      </c>
      <c r="G317" s="30" t="s">
        <v>46</v>
      </c>
      <c r="H317" s="31"/>
      <c r="I317" s="31" t="s">
        <v>601</v>
      </c>
      <c r="J317" s="32" t="n">
        <v>1.0</v>
      </c>
      <c r="K317" s="33" t="n">
        <f>121400</f>
        <v>121400.0</v>
      </c>
      <c r="L317" s="34" t="s">
        <v>48</v>
      </c>
      <c r="M317" s="33" t="n">
        <f>122900</f>
        <v>122900.0</v>
      </c>
      <c r="N317" s="34" t="s">
        <v>48</v>
      </c>
      <c r="O317" s="33" t="n">
        <f>118900</f>
        <v>118900.0</v>
      </c>
      <c r="P317" s="34" t="s">
        <v>90</v>
      </c>
      <c r="Q317" s="33" t="n">
        <f>121900</f>
        <v>121900.0</v>
      </c>
      <c r="R317" s="34" t="s">
        <v>51</v>
      </c>
      <c r="S317" s="35" t="n">
        <f>121135</f>
        <v>121135.0</v>
      </c>
      <c r="T317" s="32" t="n">
        <f>9099</f>
        <v>9099.0</v>
      </c>
      <c r="U317" s="32" t="n">
        <f>1051</f>
        <v>1051.0</v>
      </c>
      <c r="V317" s="32" t="n">
        <f>1103736822</f>
        <v>1.103736822E9</v>
      </c>
      <c r="W317" s="32" t="n">
        <f>127437822</f>
        <v>1.27437822E8</v>
      </c>
      <c r="X317" s="36" t="n">
        <f>20</f>
        <v>20.0</v>
      </c>
    </row>
    <row r="318">
      <c r="A318" s="27" t="s">
        <v>42</v>
      </c>
      <c r="B318" s="27" t="s">
        <v>1008</v>
      </c>
      <c r="C318" s="27" t="s">
        <v>1009</v>
      </c>
      <c r="D318" s="27" t="s">
        <v>1010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632000</f>
        <v>632000.0</v>
      </c>
      <c r="L318" s="34" t="s">
        <v>48</v>
      </c>
      <c r="M318" s="33" t="n">
        <f>641000</f>
        <v>641000.0</v>
      </c>
      <c r="N318" s="34" t="s">
        <v>80</v>
      </c>
      <c r="O318" s="33" t="n">
        <f>612000</f>
        <v>612000.0</v>
      </c>
      <c r="P318" s="34" t="s">
        <v>245</v>
      </c>
      <c r="Q318" s="33" t="n">
        <f>627000</f>
        <v>627000.0</v>
      </c>
      <c r="R318" s="34" t="s">
        <v>51</v>
      </c>
      <c r="S318" s="35" t="n">
        <f>627100</f>
        <v>627100.0</v>
      </c>
      <c r="T318" s="32" t="n">
        <f>25574</f>
        <v>25574.0</v>
      </c>
      <c r="U318" s="32" t="n">
        <f>5767</f>
        <v>5767.0</v>
      </c>
      <c r="V318" s="32" t="n">
        <f>16053751678</f>
        <v>1.6053751678E10</v>
      </c>
      <c r="W318" s="32" t="n">
        <f>3618556678</f>
        <v>3.618556678E9</v>
      </c>
      <c r="X318" s="36" t="n">
        <f>20</f>
        <v>20.0</v>
      </c>
    </row>
    <row r="319">
      <c r="A319" s="27" t="s">
        <v>42</v>
      </c>
      <c r="B319" s="27" t="s">
        <v>1011</v>
      </c>
      <c r="C319" s="27" t="s">
        <v>1012</v>
      </c>
      <c r="D319" s="27" t="s">
        <v>1013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162700</f>
        <v>162700.0</v>
      </c>
      <c r="L319" s="34" t="s">
        <v>48</v>
      </c>
      <c r="M319" s="33" t="n">
        <f>165900</f>
        <v>165900.0</v>
      </c>
      <c r="N319" s="34" t="s">
        <v>91</v>
      </c>
      <c r="O319" s="33" t="n">
        <f>157300</f>
        <v>157300.0</v>
      </c>
      <c r="P319" s="34" t="s">
        <v>61</v>
      </c>
      <c r="Q319" s="33" t="n">
        <f>161500</f>
        <v>161500.0</v>
      </c>
      <c r="R319" s="34" t="s">
        <v>51</v>
      </c>
      <c r="S319" s="35" t="n">
        <f>161005</f>
        <v>161005.0</v>
      </c>
      <c r="T319" s="32" t="n">
        <f>78367</f>
        <v>78367.0</v>
      </c>
      <c r="U319" s="32" t="n">
        <f>14345</f>
        <v>14345.0</v>
      </c>
      <c r="V319" s="32" t="n">
        <f>12674411032</f>
        <v>1.2674411032E10</v>
      </c>
      <c r="W319" s="32" t="n">
        <f>2325919032</f>
        <v>2.325919032E9</v>
      </c>
      <c r="X319" s="36" t="n">
        <f>20</f>
        <v>20.0</v>
      </c>
    </row>
    <row r="320">
      <c r="A320" s="27" t="s">
        <v>42</v>
      </c>
      <c r="B320" s="27" t="s">
        <v>1014</v>
      </c>
      <c r="C320" s="27" t="s">
        <v>1015</v>
      </c>
      <c r="D320" s="27" t="s">
        <v>1016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157100</f>
        <v>157100.0</v>
      </c>
      <c r="L320" s="34" t="s">
        <v>48</v>
      </c>
      <c r="M320" s="33" t="n">
        <f>160900</f>
        <v>160900.0</v>
      </c>
      <c r="N320" s="34" t="s">
        <v>80</v>
      </c>
      <c r="O320" s="33" t="n">
        <f>152700</f>
        <v>152700.0</v>
      </c>
      <c r="P320" s="34" t="s">
        <v>90</v>
      </c>
      <c r="Q320" s="33" t="n">
        <f>159100</f>
        <v>159100.0</v>
      </c>
      <c r="R320" s="34" t="s">
        <v>51</v>
      </c>
      <c r="S320" s="35" t="n">
        <f>157960</f>
        <v>157960.0</v>
      </c>
      <c r="T320" s="32" t="n">
        <f>136402</f>
        <v>136402.0</v>
      </c>
      <c r="U320" s="32" t="n">
        <f>32491</f>
        <v>32491.0</v>
      </c>
      <c r="V320" s="32" t="n">
        <f>21529058758</f>
        <v>2.1529058758E10</v>
      </c>
      <c r="W320" s="32" t="n">
        <f>5127509658</f>
        <v>5.127509658E9</v>
      </c>
      <c r="X320" s="36" t="n">
        <f>20</f>
        <v>20.0</v>
      </c>
    </row>
    <row r="321">
      <c r="A321" s="27" t="s">
        <v>42</v>
      </c>
      <c r="B321" s="27" t="s">
        <v>1017</v>
      </c>
      <c r="C321" s="27" t="s">
        <v>1018</v>
      </c>
      <c r="D321" s="27" t="s">
        <v>1019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345500</f>
        <v>345500.0</v>
      </c>
      <c r="L321" s="34" t="s">
        <v>48</v>
      </c>
      <c r="M321" s="33" t="n">
        <f>351000</f>
        <v>351000.0</v>
      </c>
      <c r="N321" s="34" t="s">
        <v>80</v>
      </c>
      <c r="O321" s="33" t="n">
        <f>331000</f>
        <v>331000.0</v>
      </c>
      <c r="P321" s="34" t="s">
        <v>90</v>
      </c>
      <c r="Q321" s="33" t="n">
        <f>344000</f>
        <v>344000.0</v>
      </c>
      <c r="R321" s="34" t="s">
        <v>51</v>
      </c>
      <c r="S321" s="35" t="n">
        <f>341500</f>
        <v>341500.0</v>
      </c>
      <c r="T321" s="32" t="n">
        <f>87103</f>
        <v>87103.0</v>
      </c>
      <c r="U321" s="32" t="n">
        <f>25068</f>
        <v>25068.0</v>
      </c>
      <c r="V321" s="32" t="n">
        <f>29785158199</f>
        <v>2.9785158199E10</v>
      </c>
      <c r="W321" s="32" t="n">
        <f>8585230199</f>
        <v>8.585230199E9</v>
      </c>
      <c r="X321" s="36" t="n">
        <f>20</f>
        <v>20.0</v>
      </c>
    </row>
    <row r="322">
      <c r="A322" s="27" t="s">
        <v>42</v>
      </c>
      <c r="B322" s="27" t="s">
        <v>1020</v>
      </c>
      <c r="C322" s="27" t="s">
        <v>1021</v>
      </c>
      <c r="D322" s="27" t="s">
        <v>1022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218500</f>
        <v>218500.0</v>
      </c>
      <c r="L322" s="34" t="s">
        <v>48</v>
      </c>
      <c r="M322" s="33" t="n">
        <f>219400</f>
        <v>219400.0</v>
      </c>
      <c r="N322" s="34" t="s">
        <v>48</v>
      </c>
      <c r="O322" s="33" t="n">
        <f>205600</f>
        <v>205600.0</v>
      </c>
      <c r="P322" s="34" t="s">
        <v>90</v>
      </c>
      <c r="Q322" s="33" t="n">
        <f>208900</f>
        <v>208900.0</v>
      </c>
      <c r="R322" s="34" t="s">
        <v>51</v>
      </c>
      <c r="S322" s="35" t="n">
        <f>212670</f>
        <v>212670.0</v>
      </c>
      <c r="T322" s="32" t="n">
        <f>65260</f>
        <v>65260.0</v>
      </c>
      <c r="U322" s="32" t="n">
        <f>19483</f>
        <v>19483.0</v>
      </c>
      <c r="V322" s="32" t="n">
        <f>13838644575</f>
        <v>1.3838644575E10</v>
      </c>
      <c r="W322" s="32" t="n">
        <f>4115138475</f>
        <v>4.115138475E9</v>
      </c>
      <c r="X322" s="36" t="n">
        <f>20</f>
        <v>20.0</v>
      </c>
    </row>
    <row r="323">
      <c r="A323" s="27" t="s">
        <v>42</v>
      </c>
      <c r="B323" s="27" t="s">
        <v>1023</v>
      </c>
      <c r="C323" s="27" t="s">
        <v>1024</v>
      </c>
      <c r="D323" s="27" t="s">
        <v>1025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442000</f>
        <v>442000.0</v>
      </c>
      <c r="L323" s="34" t="s">
        <v>48</v>
      </c>
      <c r="M323" s="33" t="n">
        <f>446000</f>
        <v>446000.0</v>
      </c>
      <c r="N323" s="34" t="s">
        <v>48</v>
      </c>
      <c r="O323" s="33" t="n">
        <f>421500</f>
        <v>421500.0</v>
      </c>
      <c r="P323" s="34" t="s">
        <v>61</v>
      </c>
      <c r="Q323" s="33" t="n">
        <f>427000</f>
        <v>427000.0</v>
      </c>
      <c r="R323" s="34" t="s">
        <v>51</v>
      </c>
      <c r="S323" s="35" t="n">
        <f>432100</f>
        <v>432100.0</v>
      </c>
      <c r="T323" s="32" t="n">
        <f>56142</f>
        <v>56142.0</v>
      </c>
      <c r="U323" s="32" t="n">
        <f>11414</f>
        <v>11414.0</v>
      </c>
      <c r="V323" s="32" t="n">
        <f>24338525720</f>
        <v>2.433852572E10</v>
      </c>
      <c r="W323" s="32" t="n">
        <f>4957620220</f>
        <v>4.95762022E9</v>
      </c>
      <c r="X323" s="36" t="n">
        <f>20</f>
        <v>20.0</v>
      </c>
    </row>
    <row r="324">
      <c r="A324" s="27" t="s">
        <v>42</v>
      </c>
      <c r="B324" s="27" t="s">
        <v>1026</v>
      </c>
      <c r="C324" s="27" t="s">
        <v>1027</v>
      </c>
      <c r="D324" s="27" t="s">
        <v>1028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154300</f>
        <v>154300.0</v>
      </c>
      <c r="L324" s="34" t="s">
        <v>48</v>
      </c>
      <c r="M324" s="33" t="n">
        <f>157700</f>
        <v>157700.0</v>
      </c>
      <c r="N324" s="34" t="s">
        <v>79</v>
      </c>
      <c r="O324" s="33" t="n">
        <f>151100</f>
        <v>151100.0</v>
      </c>
      <c r="P324" s="34" t="s">
        <v>90</v>
      </c>
      <c r="Q324" s="33" t="n">
        <f>154000</f>
        <v>154000.0</v>
      </c>
      <c r="R324" s="34" t="s">
        <v>51</v>
      </c>
      <c r="S324" s="35" t="n">
        <f>154260</f>
        <v>154260.0</v>
      </c>
      <c r="T324" s="32" t="n">
        <f>393308</f>
        <v>393308.0</v>
      </c>
      <c r="U324" s="32" t="n">
        <f>117402</f>
        <v>117402.0</v>
      </c>
      <c r="V324" s="32" t="n">
        <f>60789302305</f>
        <v>6.0789302305E10</v>
      </c>
      <c r="W324" s="32" t="n">
        <f>18135421105</f>
        <v>1.8135421105E10</v>
      </c>
      <c r="X324" s="36" t="n">
        <f>20</f>
        <v>20.0</v>
      </c>
    </row>
    <row r="325">
      <c r="A325" s="27" t="s">
        <v>42</v>
      </c>
      <c r="B325" s="27" t="s">
        <v>1029</v>
      </c>
      <c r="C325" s="27" t="s">
        <v>1030</v>
      </c>
      <c r="D325" s="27" t="s">
        <v>1031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314500</f>
        <v>314500.0</v>
      </c>
      <c r="L325" s="34" t="s">
        <v>48</v>
      </c>
      <c r="M325" s="33" t="n">
        <f>321000</f>
        <v>321000.0</v>
      </c>
      <c r="N325" s="34" t="s">
        <v>75</v>
      </c>
      <c r="O325" s="33" t="n">
        <f>307000</f>
        <v>307000.0</v>
      </c>
      <c r="P325" s="34" t="s">
        <v>90</v>
      </c>
      <c r="Q325" s="33" t="n">
        <f>315500</f>
        <v>315500.0</v>
      </c>
      <c r="R325" s="34" t="s">
        <v>51</v>
      </c>
      <c r="S325" s="35" t="n">
        <f>314925</f>
        <v>314925.0</v>
      </c>
      <c r="T325" s="32" t="n">
        <f>42420</f>
        <v>42420.0</v>
      </c>
      <c r="U325" s="32" t="n">
        <f>9027</f>
        <v>9027.0</v>
      </c>
      <c r="V325" s="32" t="n">
        <f>13352085889</f>
        <v>1.3352085889E10</v>
      </c>
      <c r="W325" s="32" t="n">
        <f>2842000389</f>
        <v>2.842000389E9</v>
      </c>
      <c r="X325" s="36" t="n">
        <f>20</f>
        <v>20.0</v>
      </c>
    </row>
    <row r="326">
      <c r="A326" s="27" t="s">
        <v>42</v>
      </c>
      <c r="B326" s="27" t="s">
        <v>1032</v>
      </c>
      <c r="C326" s="27" t="s">
        <v>1033</v>
      </c>
      <c r="D326" s="27" t="s">
        <v>1034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312000</f>
        <v>312000.0</v>
      </c>
      <c r="L326" s="34" t="s">
        <v>48</v>
      </c>
      <c r="M326" s="33" t="n">
        <f>346500</f>
        <v>346500.0</v>
      </c>
      <c r="N326" s="34" t="s">
        <v>91</v>
      </c>
      <c r="O326" s="33" t="n">
        <f>306500</f>
        <v>306500.0</v>
      </c>
      <c r="P326" s="34" t="s">
        <v>50</v>
      </c>
      <c r="Q326" s="33" t="n">
        <f>337500</f>
        <v>337500.0</v>
      </c>
      <c r="R326" s="34" t="s">
        <v>51</v>
      </c>
      <c r="S326" s="35" t="n">
        <f>326550</f>
        <v>326550.0</v>
      </c>
      <c r="T326" s="32" t="n">
        <f>268618</f>
        <v>268618.0</v>
      </c>
      <c r="U326" s="32" t="n">
        <f>66581</f>
        <v>66581.0</v>
      </c>
      <c r="V326" s="32" t="n">
        <f>88156146533</f>
        <v>8.8156146533E10</v>
      </c>
      <c r="W326" s="32" t="n">
        <f>21773544033</f>
        <v>2.1773544033E10</v>
      </c>
      <c r="X326" s="36" t="n">
        <f>20</f>
        <v>20.0</v>
      </c>
    </row>
    <row r="327">
      <c r="A327" s="27" t="s">
        <v>42</v>
      </c>
      <c r="B327" s="27" t="s">
        <v>1035</v>
      </c>
      <c r="C327" s="27" t="s">
        <v>1036</v>
      </c>
      <c r="D327" s="27" t="s">
        <v>1037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704000</f>
        <v>704000.0</v>
      </c>
      <c r="L327" s="34" t="s">
        <v>48</v>
      </c>
      <c r="M327" s="33" t="n">
        <f>722000</f>
        <v>722000.0</v>
      </c>
      <c r="N327" s="34" t="s">
        <v>62</v>
      </c>
      <c r="O327" s="33" t="n">
        <f>673000</f>
        <v>673000.0</v>
      </c>
      <c r="P327" s="34" t="s">
        <v>61</v>
      </c>
      <c r="Q327" s="33" t="n">
        <f>689000</f>
        <v>689000.0</v>
      </c>
      <c r="R327" s="34" t="s">
        <v>51</v>
      </c>
      <c r="S327" s="35" t="n">
        <f>689850</f>
        <v>689850.0</v>
      </c>
      <c r="T327" s="32" t="n">
        <f>18229</f>
        <v>18229.0</v>
      </c>
      <c r="U327" s="32" t="n">
        <f>2932</f>
        <v>2932.0</v>
      </c>
      <c r="V327" s="32" t="n">
        <f>12637719163</f>
        <v>1.2637719163E10</v>
      </c>
      <c r="W327" s="32" t="n">
        <f>2034062163</f>
        <v>2.034062163E9</v>
      </c>
      <c r="X327" s="36" t="n">
        <f>20</f>
        <v>20.0</v>
      </c>
    </row>
    <row r="328">
      <c r="A328" s="27" t="s">
        <v>42</v>
      </c>
      <c r="B328" s="27" t="s">
        <v>1038</v>
      </c>
      <c r="C328" s="27" t="s">
        <v>1039</v>
      </c>
      <c r="D328" s="27" t="s">
        <v>1040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248300</f>
        <v>248300.0</v>
      </c>
      <c r="L328" s="34" t="s">
        <v>48</v>
      </c>
      <c r="M328" s="33" t="n">
        <f>262400</f>
        <v>262400.0</v>
      </c>
      <c r="N328" s="34" t="s">
        <v>80</v>
      </c>
      <c r="O328" s="33" t="n">
        <f>241800</f>
        <v>241800.0</v>
      </c>
      <c r="P328" s="34" t="s">
        <v>50</v>
      </c>
      <c r="Q328" s="33" t="n">
        <f>252900</f>
        <v>252900.0</v>
      </c>
      <c r="R328" s="34" t="s">
        <v>51</v>
      </c>
      <c r="S328" s="35" t="n">
        <f>248295</f>
        <v>248295.0</v>
      </c>
      <c r="T328" s="32" t="n">
        <f>27937</f>
        <v>27937.0</v>
      </c>
      <c r="U328" s="32" t="n">
        <f>6867</f>
        <v>6867.0</v>
      </c>
      <c r="V328" s="32" t="n">
        <f>7008728270</f>
        <v>7.00872827E9</v>
      </c>
      <c r="W328" s="32" t="n">
        <f>1735724970</f>
        <v>1.73572497E9</v>
      </c>
      <c r="X328" s="36" t="n">
        <f>20</f>
        <v>20.0</v>
      </c>
    </row>
    <row r="329">
      <c r="A329" s="27" t="s">
        <v>42</v>
      </c>
      <c r="B329" s="27" t="s">
        <v>1041</v>
      </c>
      <c r="C329" s="27" t="s">
        <v>1042</v>
      </c>
      <c r="D329" s="27" t="s">
        <v>1043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159900</f>
        <v>159900.0</v>
      </c>
      <c r="L329" s="34" t="s">
        <v>48</v>
      </c>
      <c r="M329" s="33" t="n">
        <f>163600</f>
        <v>163600.0</v>
      </c>
      <c r="N329" s="34" t="s">
        <v>70</v>
      </c>
      <c r="O329" s="33" t="n">
        <f>156100</f>
        <v>156100.0</v>
      </c>
      <c r="P329" s="34" t="s">
        <v>114</v>
      </c>
      <c r="Q329" s="33" t="n">
        <f>159600</f>
        <v>159600.0</v>
      </c>
      <c r="R329" s="34" t="s">
        <v>51</v>
      </c>
      <c r="S329" s="35" t="n">
        <f>159350</f>
        <v>159350.0</v>
      </c>
      <c r="T329" s="32" t="n">
        <f>90050</f>
        <v>90050.0</v>
      </c>
      <c r="U329" s="32" t="n">
        <f>22724</f>
        <v>22724.0</v>
      </c>
      <c r="V329" s="32" t="n">
        <f>14364456150</f>
        <v>1.436445615E10</v>
      </c>
      <c r="W329" s="32" t="n">
        <f>3624630550</f>
        <v>3.62463055E9</v>
      </c>
      <c r="X329" s="36" t="n">
        <f>20</f>
        <v>20.0</v>
      </c>
    </row>
    <row r="330">
      <c r="A330" s="27" t="s">
        <v>42</v>
      </c>
      <c r="B330" s="27" t="s">
        <v>1044</v>
      </c>
      <c r="C330" s="27" t="s">
        <v>1045</v>
      </c>
      <c r="D330" s="27" t="s">
        <v>1046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174000</f>
        <v>174000.0</v>
      </c>
      <c r="L330" s="34" t="s">
        <v>48</v>
      </c>
      <c r="M330" s="33" t="n">
        <f>176400</f>
        <v>176400.0</v>
      </c>
      <c r="N330" s="34" t="s">
        <v>48</v>
      </c>
      <c r="O330" s="33" t="n">
        <f>168000</f>
        <v>168000.0</v>
      </c>
      <c r="P330" s="34" t="s">
        <v>172</v>
      </c>
      <c r="Q330" s="33" t="n">
        <f>172400</f>
        <v>172400.0</v>
      </c>
      <c r="R330" s="34" t="s">
        <v>51</v>
      </c>
      <c r="S330" s="35" t="n">
        <f>171215</f>
        <v>171215.0</v>
      </c>
      <c r="T330" s="32" t="n">
        <f>73369</f>
        <v>73369.0</v>
      </c>
      <c r="U330" s="32" t="n">
        <f>16167</f>
        <v>16167.0</v>
      </c>
      <c r="V330" s="32" t="n">
        <f>12580078995</f>
        <v>1.2580078995E10</v>
      </c>
      <c r="W330" s="32" t="n">
        <f>2772894195</f>
        <v>2.772894195E9</v>
      </c>
      <c r="X330" s="36" t="n">
        <f>20</f>
        <v>20.0</v>
      </c>
    </row>
    <row r="331">
      <c r="A331" s="27" t="s">
        <v>42</v>
      </c>
      <c r="B331" s="27" t="s">
        <v>1047</v>
      </c>
      <c r="C331" s="27" t="s">
        <v>1048</v>
      </c>
      <c r="D331" s="27" t="s">
        <v>1049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367500</f>
        <v>367500.0</v>
      </c>
      <c r="L331" s="34" t="s">
        <v>48</v>
      </c>
      <c r="M331" s="33" t="n">
        <f>375500</f>
        <v>375500.0</v>
      </c>
      <c r="N331" s="34" t="s">
        <v>48</v>
      </c>
      <c r="O331" s="33" t="n">
        <f>354500</f>
        <v>354500.0</v>
      </c>
      <c r="P331" s="34" t="s">
        <v>90</v>
      </c>
      <c r="Q331" s="33" t="n">
        <f>366000</f>
        <v>366000.0</v>
      </c>
      <c r="R331" s="34" t="s">
        <v>51</v>
      </c>
      <c r="S331" s="35" t="n">
        <f>363775</f>
        <v>363775.0</v>
      </c>
      <c r="T331" s="32" t="n">
        <f>34823</f>
        <v>34823.0</v>
      </c>
      <c r="U331" s="32" t="n">
        <f>8608</f>
        <v>8608.0</v>
      </c>
      <c r="V331" s="32" t="n">
        <f>12691016704</f>
        <v>1.2691016704E10</v>
      </c>
      <c r="W331" s="32" t="n">
        <f>3133687704</f>
        <v>3.133687704E9</v>
      </c>
      <c r="X331" s="36" t="n">
        <f>20</f>
        <v>20.0</v>
      </c>
    </row>
    <row r="332">
      <c r="A332" s="27" t="s">
        <v>42</v>
      </c>
      <c r="B332" s="27" t="s">
        <v>1050</v>
      </c>
      <c r="C332" s="27" t="s">
        <v>1051</v>
      </c>
      <c r="D332" s="27" t="s">
        <v>1052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80400</f>
        <v>80400.0</v>
      </c>
      <c r="L332" s="34" t="s">
        <v>48</v>
      </c>
      <c r="M332" s="33" t="n">
        <f>82100</f>
        <v>82100.0</v>
      </c>
      <c r="N332" s="34" t="s">
        <v>62</v>
      </c>
      <c r="O332" s="33" t="n">
        <f>79000</f>
        <v>79000.0</v>
      </c>
      <c r="P332" s="34" t="s">
        <v>50</v>
      </c>
      <c r="Q332" s="33" t="n">
        <f>80500</f>
        <v>80500.0</v>
      </c>
      <c r="R332" s="34" t="s">
        <v>51</v>
      </c>
      <c r="S332" s="35" t="n">
        <f>80010</f>
        <v>80010.0</v>
      </c>
      <c r="T332" s="32" t="n">
        <f>252629</f>
        <v>252629.0</v>
      </c>
      <c r="U332" s="32" t="n">
        <f>57405</f>
        <v>57405.0</v>
      </c>
      <c r="V332" s="32" t="n">
        <f>20240550745</f>
        <v>2.0240550745E10</v>
      </c>
      <c r="W332" s="32" t="n">
        <f>4601592045</f>
        <v>4.601592045E9</v>
      </c>
      <c r="X332" s="36" t="n">
        <f>20</f>
        <v>20.0</v>
      </c>
    </row>
    <row r="333">
      <c r="A333" s="27" t="s">
        <v>42</v>
      </c>
      <c r="B333" s="27" t="s">
        <v>1053</v>
      </c>
      <c r="C333" s="27" t="s">
        <v>1054</v>
      </c>
      <c r="D333" s="27" t="s">
        <v>1055</v>
      </c>
      <c r="E333" s="28" t="s">
        <v>46</v>
      </c>
      <c r="F333" s="29" t="s">
        <v>46</v>
      </c>
      <c r="G333" s="30" t="s">
        <v>46</v>
      </c>
      <c r="H333" s="31"/>
      <c r="I333" s="31" t="s">
        <v>601</v>
      </c>
      <c r="J333" s="32" t="n">
        <v>1.0</v>
      </c>
      <c r="K333" s="33" t="n">
        <f>137100</f>
        <v>137100.0</v>
      </c>
      <c r="L333" s="34" t="s">
        <v>48</v>
      </c>
      <c r="M333" s="33" t="n">
        <f>137900</f>
        <v>137900.0</v>
      </c>
      <c r="N333" s="34" t="s">
        <v>48</v>
      </c>
      <c r="O333" s="33" t="n">
        <f>131700</f>
        <v>131700.0</v>
      </c>
      <c r="P333" s="34" t="s">
        <v>61</v>
      </c>
      <c r="Q333" s="33" t="n">
        <f>133800</f>
        <v>133800.0</v>
      </c>
      <c r="R333" s="34" t="s">
        <v>51</v>
      </c>
      <c r="S333" s="35" t="n">
        <f>134420</f>
        <v>134420.0</v>
      </c>
      <c r="T333" s="32" t="n">
        <f>20355</f>
        <v>20355.0</v>
      </c>
      <c r="U333" s="32" t="n">
        <f>1756</f>
        <v>1756.0</v>
      </c>
      <c r="V333" s="32" t="n">
        <f>2743799152</f>
        <v>2.743799152E9</v>
      </c>
      <c r="W333" s="32" t="n">
        <f>237411852</f>
        <v>2.37411852E8</v>
      </c>
      <c r="X333" s="36" t="n">
        <f>20</f>
        <v>20.0</v>
      </c>
    </row>
    <row r="334">
      <c r="A334" s="27" t="s">
        <v>42</v>
      </c>
      <c r="B334" s="27" t="s">
        <v>1056</v>
      </c>
      <c r="C334" s="27" t="s">
        <v>1057</v>
      </c>
      <c r="D334" s="27" t="s">
        <v>1058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267100</f>
        <v>267100.0</v>
      </c>
      <c r="L334" s="34" t="s">
        <v>48</v>
      </c>
      <c r="M334" s="33" t="n">
        <f>271000</f>
        <v>271000.0</v>
      </c>
      <c r="N334" s="34" t="s">
        <v>70</v>
      </c>
      <c r="O334" s="33" t="n">
        <f>261600</f>
        <v>261600.0</v>
      </c>
      <c r="P334" s="34" t="s">
        <v>79</v>
      </c>
      <c r="Q334" s="33" t="n">
        <f>265600</f>
        <v>265600.0</v>
      </c>
      <c r="R334" s="34" t="s">
        <v>51</v>
      </c>
      <c r="S334" s="35" t="n">
        <f>265775</f>
        <v>265775.0</v>
      </c>
      <c r="T334" s="32" t="n">
        <f>43867</f>
        <v>43867.0</v>
      </c>
      <c r="U334" s="32" t="n">
        <f>9115</f>
        <v>9115.0</v>
      </c>
      <c r="V334" s="32" t="n">
        <f>11669641180</f>
        <v>1.166964118E10</v>
      </c>
      <c r="W334" s="32" t="n">
        <f>2432595480</f>
        <v>2.43259548E9</v>
      </c>
      <c r="X334" s="36" t="n">
        <f>20</f>
        <v>20.0</v>
      </c>
    </row>
    <row r="335">
      <c r="A335" s="27" t="s">
        <v>42</v>
      </c>
      <c r="B335" s="27" t="s">
        <v>1059</v>
      </c>
      <c r="C335" s="27" t="s">
        <v>1060</v>
      </c>
      <c r="D335" s="27" t="s">
        <v>1061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203900</f>
        <v>203900.0</v>
      </c>
      <c r="L335" s="34" t="s">
        <v>48</v>
      </c>
      <c r="M335" s="33" t="n">
        <f>204700</f>
        <v>204700.0</v>
      </c>
      <c r="N335" s="34" t="s">
        <v>48</v>
      </c>
      <c r="O335" s="33" t="n">
        <f>186500</f>
        <v>186500.0</v>
      </c>
      <c r="P335" s="34" t="s">
        <v>61</v>
      </c>
      <c r="Q335" s="33" t="n">
        <f>189100</f>
        <v>189100.0</v>
      </c>
      <c r="R335" s="34" t="s">
        <v>51</v>
      </c>
      <c r="S335" s="35" t="n">
        <f>192285</f>
        <v>192285.0</v>
      </c>
      <c r="T335" s="32" t="n">
        <f>25801</f>
        <v>25801.0</v>
      </c>
      <c r="U335" s="32" t="n">
        <f>5757</f>
        <v>5757.0</v>
      </c>
      <c r="V335" s="32" t="n">
        <f>4986521291</f>
        <v>4.986521291E9</v>
      </c>
      <c r="W335" s="32" t="n">
        <f>1115555891</f>
        <v>1.115555891E9</v>
      </c>
      <c r="X335" s="36" t="n">
        <f>20</f>
        <v>20.0</v>
      </c>
    </row>
    <row r="336">
      <c r="A336" s="27" t="s">
        <v>42</v>
      </c>
      <c r="B336" s="27" t="s">
        <v>1062</v>
      </c>
      <c r="C336" s="27" t="s">
        <v>1063</v>
      </c>
      <c r="D336" s="27" t="s">
        <v>1064</v>
      </c>
      <c r="E336" s="28" t="s">
        <v>46</v>
      </c>
      <c r="F336" s="29" t="s">
        <v>46</v>
      </c>
      <c r="G336" s="30" t="s">
        <v>46</v>
      </c>
      <c r="H336" s="31"/>
      <c r="I336" s="31" t="s">
        <v>601</v>
      </c>
      <c r="J336" s="32" t="n">
        <v>1.0</v>
      </c>
      <c r="K336" s="33" t="n">
        <f>120800</f>
        <v>120800.0</v>
      </c>
      <c r="L336" s="34" t="s">
        <v>48</v>
      </c>
      <c r="M336" s="33" t="n">
        <f>121600</f>
        <v>121600.0</v>
      </c>
      <c r="N336" s="34" t="s">
        <v>91</v>
      </c>
      <c r="O336" s="33" t="n">
        <f>116300</f>
        <v>116300.0</v>
      </c>
      <c r="P336" s="34" t="s">
        <v>90</v>
      </c>
      <c r="Q336" s="33" t="n">
        <f>119900</f>
        <v>119900.0</v>
      </c>
      <c r="R336" s="34" t="s">
        <v>51</v>
      </c>
      <c r="S336" s="35" t="n">
        <f>119270</f>
        <v>119270.0</v>
      </c>
      <c r="T336" s="32" t="n">
        <f>20123</f>
        <v>20123.0</v>
      </c>
      <c r="U336" s="32" t="n">
        <f>2760</f>
        <v>2760.0</v>
      </c>
      <c r="V336" s="32" t="n">
        <f>2402606627</f>
        <v>2.402606627E9</v>
      </c>
      <c r="W336" s="32" t="n">
        <f>329600727</f>
        <v>3.29600727E8</v>
      </c>
      <c r="X336" s="36" t="n">
        <f>20</f>
        <v>20.0</v>
      </c>
    </row>
    <row r="337">
      <c r="A337" s="27" t="s">
        <v>42</v>
      </c>
      <c r="B337" s="27" t="s">
        <v>1065</v>
      </c>
      <c r="C337" s="27" t="s">
        <v>1066</v>
      </c>
      <c r="D337" s="27" t="s">
        <v>1067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169000</f>
        <v>169000.0</v>
      </c>
      <c r="L337" s="34" t="s">
        <v>48</v>
      </c>
      <c r="M337" s="33" t="n">
        <f>173000</f>
        <v>173000.0</v>
      </c>
      <c r="N337" s="34" t="s">
        <v>48</v>
      </c>
      <c r="O337" s="33" t="n">
        <f>166700</f>
        <v>166700.0</v>
      </c>
      <c r="P337" s="34" t="s">
        <v>71</v>
      </c>
      <c r="Q337" s="33" t="n">
        <f>172500</f>
        <v>172500.0</v>
      </c>
      <c r="R337" s="34" t="s">
        <v>51</v>
      </c>
      <c r="S337" s="35" t="n">
        <f>169600</f>
        <v>169600.0</v>
      </c>
      <c r="T337" s="32" t="n">
        <f>227266</f>
        <v>227266.0</v>
      </c>
      <c r="U337" s="32" t="n">
        <f>48440</f>
        <v>48440.0</v>
      </c>
      <c r="V337" s="32" t="n">
        <f>38642520722</f>
        <v>3.8642520722E10</v>
      </c>
      <c r="W337" s="32" t="n">
        <f>8244188222</f>
        <v>8.244188222E9</v>
      </c>
      <c r="X337" s="36" t="n">
        <f>20</f>
        <v>20.0</v>
      </c>
    </row>
    <row r="338">
      <c r="A338" s="27" t="s">
        <v>42</v>
      </c>
      <c r="B338" s="27" t="s">
        <v>1068</v>
      </c>
      <c r="C338" s="27" t="s">
        <v>1069</v>
      </c>
      <c r="D338" s="27" t="s">
        <v>1070</v>
      </c>
      <c r="E338" s="28" t="s">
        <v>46</v>
      </c>
      <c r="F338" s="29" t="s">
        <v>46</v>
      </c>
      <c r="G338" s="30" t="s">
        <v>46</v>
      </c>
      <c r="H338" s="31"/>
      <c r="I338" s="31" t="s">
        <v>601</v>
      </c>
      <c r="J338" s="32" t="n">
        <v>1.0</v>
      </c>
      <c r="K338" s="33" t="n">
        <f>108000</f>
        <v>108000.0</v>
      </c>
      <c r="L338" s="34" t="s">
        <v>48</v>
      </c>
      <c r="M338" s="33" t="n">
        <f>109700</f>
        <v>109700.0</v>
      </c>
      <c r="N338" s="34" t="s">
        <v>62</v>
      </c>
      <c r="O338" s="33" t="n">
        <f>99600</f>
        <v>99600.0</v>
      </c>
      <c r="P338" s="34" t="s">
        <v>61</v>
      </c>
      <c r="Q338" s="33" t="n">
        <f>102500</f>
        <v>102500.0</v>
      </c>
      <c r="R338" s="34" t="s">
        <v>51</v>
      </c>
      <c r="S338" s="35" t="n">
        <f>102935</f>
        <v>102935.0</v>
      </c>
      <c r="T338" s="32" t="n">
        <f>19269</f>
        <v>19269.0</v>
      </c>
      <c r="U338" s="32" t="n">
        <f>2060</f>
        <v>2060.0</v>
      </c>
      <c r="V338" s="32" t="n">
        <f>1990739166</f>
        <v>1.990739166E9</v>
      </c>
      <c r="W338" s="32" t="n">
        <f>213726466</f>
        <v>2.13726466E8</v>
      </c>
      <c r="X338" s="36" t="n">
        <f>20</f>
        <v>20.0</v>
      </c>
    </row>
    <row r="339">
      <c r="A339" s="27" t="s">
        <v>42</v>
      </c>
      <c r="B339" s="27" t="s">
        <v>1071</v>
      </c>
      <c r="C339" s="27" t="s">
        <v>1072</v>
      </c>
      <c r="D339" s="27" t="s">
        <v>1073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159600</f>
        <v>159600.0</v>
      </c>
      <c r="L339" s="34" t="s">
        <v>48</v>
      </c>
      <c r="M339" s="33" t="n">
        <f>169600</f>
        <v>169600.0</v>
      </c>
      <c r="N339" s="34" t="s">
        <v>75</v>
      </c>
      <c r="O339" s="33" t="n">
        <f>158600</f>
        <v>158600.0</v>
      </c>
      <c r="P339" s="34" t="s">
        <v>90</v>
      </c>
      <c r="Q339" s="33" t="n">
        <f>161300</f>
        <v>161300.0</v>
      </c>
      <c r="R339" s="34" t="s">
        <v>51</v>
      </c>
      <c r="S339" s="35" t="n">
        <f>164770</f>
        <v>164770.0</v>
      </c>
      <c r="T339" s="32" t="n">
        <f>142813</f>
        <v>142813.0</v>
      </c>
      <c r="U339" s="32" t="n">
        <f>45627</f>
        <v>45627.0</v>
      </c>
      <c r="V339" s="32" t="n">
        <f>23463931563</f>
        <v>2.3463931563E10</v>
      </c>
      <c r="W339" s="32" t="n">
        <f>7494705063</f>
        <v>7.494705063E9</v>
      </c>
      <c r="X339" s="36" t="n">
        <f>20</f>
        <v>20.0</v>
      </c>
    </row>
    <row r="340">
      <c r="A340" s="27" t="s">
        <v>42</v>
      </c>
      <c r="B340" s="27" t="s">
        <v>1074</v>
      </c>
      <c r="C340" s="27" t="s">
        <v>1075</v>
      </c>
      <c r="D340" s="27" t="s">
        <v>1076</v>
      </c>
      <c r="E340" s="28" t="s">
        <v>46</v>
      </c>
      <c r="F340" s="29" t="s">
        <v>46</v>
      </c>
      <c r="G340" s="30" t="s">
        <v>46</v>
      </c>
      <c r="H340" s="31"/>
      <c r="I340" s="31" t="s">
        <v>601</v>
      </c>
      <c r="J340" s="32" t="n">
        <v>1.0</v>
      </c>
      <c r="K340" s="33" t="n">
        <f>57100</f>
        <v>57100.0</v>
      </c>
      <c r="L340" s="34" t="s">
        <v>48</v>
      </c>
      <c r="M340" s="33" t="n">
        <f>57900</f>
        <v>57900.0</v>
      </c>
      <c r="N340" s="34" t="s">
        <v>48</v>
      </c>
      <c r="O340" s="33" t="n">
        <f>55000</f>
        <v>55000.0</v>
      </c>
      <c r="P340" s="34" t="s">
        <v>171</v>
      </c>
      <c r="Q340" s="33" t="n">
        <f>55900</f>
        <v>55900.0</v>
      </c>
      <c r="R340" s="34" t="s">
        <v>51</v>
      </c>
      <c r="S340" s="35" t="n">
        <f>55810</f>
        <v>55810.0</v>
      </c>
      <c r="T340" s="32" t="n">
        <f>137135</f>
        <v>137135.0</v>
      </c>
      <c r="U340" s="32" t="n">
        <f>28645</f>
        <v>28645.0</v>
      </c>
      <c r="V340" s="32" t="n">
        <f>7662157173</f>
        <v>7.662157173E9</v>
      </c>
      <c r="W340" s="32" t="n">
        <f>1599064473</f>
        <v>1.599064473E9</v>
      </c>
      <c r="X340" s="36" t="n">
        <f>20</f>
        <v>20.0</v>
      </c>
    </row>
    <row r="341">
      <c r="A341" s="27" t="s">
        <v>42</v>
      </c>
      <c r="B341" s="27" t="s">
        <v>1077</v>
      </c>
      <c r="C341" s="27" t="s">
        <v>1078</v>
      </c>
      <c r="D341" s="27" t="s">
        <v>1079</v>
      </c>
      <c r="E341" s="28" t="s">
        <v>46</v>
      </c>
      <c r="F341" s="29" t="s">
        <v>46</v>
      </c>
      <c r="G341" s="30" t="s">
        <v>46</v>
      </c>
      <c r="H341" s="31"/>
      <c r="I341" s="31" t="s">
        <v>601</v>
      </c>
      <c r="J341" s="32" t="n">
        <v>1.0</v>
      </c>
      <c r="K341" s="33" t="n">
        <f>137400</f>
        <v>137400.0</v>
      </c>
      <c r="L341" s="34" t="s">
        <v>48</v>
      </c>
      <c r="M341" s="33" t="n">
        <f>138900</f>
        <v>138900.0</v>
      </c>
      <c r="N341" s="34" t="s">
        <v>48</v>
      </c>
      <c r="O341" s="33" t="n">
        <f>133500</f>
        <v>133500.0</v>
      </c>
      <c r="P341" s="34" t="s">
        <v>61</v>
      </c>
      <c r="Q341" s="33" t="n">
        <f>136400</f>
        <v>136400.0</v>
      </c>
      <c r="R341" s="34" t="s">
        <v>51</v>
      </c>
      <c r="S341" s="35" t="n">
        <f>136185</f>
        <v>136185.0</v>
      </c>
      <c r="T341" s="32" t="n">
        <f>9539</f>
        <v>9539.0</v>
      </c>
      <c r="U341" s="32" t="n">
        <f>986</f>
        <v>986.0</v>
      </c>
      <c r="V341" s="32" t="n">
        <f>1301800115</f>
        <v>1.301800115E9</v>
      </c>
      <c r="W341" s="32" t="n">
        <f>135053115</f>
        <v>1.35053115E8</v>
      </c>
      <c r="X341" s="36" t="n">
        <f>20</f>
        <v>20.0</v>
      </c>
    </row>
    <row r="342">
      <c r="A342" s="27" t="s">
        <v>42</v>
      </c>
      <c r="B342" s="27" t="s">
        <v>1080</v>
      </c>
      <c r="C342" s="27" t="s">
        <v>1081</v>
      </c>
      <c r="D342" s="27" t="s">
        <v>1082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490000</f>
        <v>490000.0</v>
      </c>
      <c r="L342" s="34" t="s">
        <v>48</v>
      </c>
      <c r="M342" s="33" t="n">
        <f>513000</f>
        <v>513000.0</v>
      </c>
      <c r="N342" s="34" t="s">
        <v>79</v>
      </c>
      <c r="O342" s="33" t="n">
        <f>485000</f>
        <v>485000.0</v>
      </c>
      <c r="P342" s="34" t="s">
        <v>90</v>
      </c>
      <c r="Q342" s="33" t="n">
        <f>499500</f>
        <v>499500.0</v>
      </c>
      <c r="R342" s="34" t="s">
        <v>51</v>
      </c>
      <c r="S342" s="35" t="n">
        <f>500875</f>
        <v>500875.0</v>
      </c>
      <c r="T342" s="32" t="n">
        <f>36203</f>
        <v>36203.0</v>
      </c>
      <c r="U342" s="32" t="n">
        <f>8651</f>
        <v>8651.0</v>
      </c>
      <c r="V342" s="32" t="n">
        <f>18131829774</f>
        <v>1.8131829774E10</v>
      </c>
      <c r="W342" s="32" t="n">
        <f>4338749274</f>
        <v>4.338749274E9</v>
      </c>
      <c r="X342" s="36" t="n">
        <f>20</f>
        <v>20.0</v>
      </c>
    </row>
    <row r="343">
      <c r="A343" s="27" t="s">
        <v>42</v>
      </c>
      <c r="B343" s="27" t="s">
        <v>1083</v>
      </c>
      <c r="C343" s="27" t="s">
        <v>1084</v>
      </c>
      <c r="D343" s="27" t="s">
        <v>1085</v>
      </c>
      <c r="E343" s="28" t="s">
        <v>46</v>
      </c>
      <c r="F343" s="29" t="s">
        <v>46</v>
      </c>
      <c r="G343" s="30" t="s">
        <v>46</v>
      </c>
      <c r="H343" s="31"/>
      <c r="I343" s="31" t="s">
        <v>601</v>
      </c>
      <c r="J343" s="32" t="n">
        <v>1.0</v>
      </c>
      <c r="K343" s="33" t="n">
        <f>68500</f>
        <v>68500.0</v>
      </c>
      <c r="L343" s="34" t="s">
        <v>48</v>
      </c>
      <c r="M343" s="33" t="n">
        <f>69900</f>
        <v>69900.0</v>
      </c>
      <c r="N343" s="34" t="s">
        <v>48</v>
      </c>
      <c r="O343" s="33" t="n">
        <f>63900</f>
        <v>63900.0</v>
      </c>
      <c r="P343" s="34" t="s">
        <v>51</v>
      </c>
      <c r="Q343" s="33" t="n">
        <f>64000</f>
        <v>64000.0</v>
      </c>
      <c r="R343" s="34" t="s">
        <v>51</v>
      </c>
      <c r="S343" s="35" t="n">
        <f>67150</f>
        <v>67150.0</v>
      </c>
      <c r="T343" s="32" t="n">
        <f>22993</f>
        <v>22993.0</v>
      </c>
      <c r="U343" s="32" t="n">
        <f>1714</f>
        <v>1714.0</v>
      </c>
      <c r="V343" s="32" t="n">
        <f>1535868218</f>
        <v>1.535868218E9</v>
      </c>
      <c r="W343" s="32" t="n">
        <f>114670018</f>
        <v>1.14670018E8</v>
      </c>
      <c r="X343" s="36" t="n">
        <f>20</f>
        <v>20.0</v>
      </c>
    </row>
    <row r="344">
      <c r="A344" s="27" t="s">
        <v>42</v>
      </c>
      <c r="B344" s="27" t="s">
        <v>1086</v>
      </c>
      <c r="C344" s="27" t="s">
        <v>1087</v>
      </c>
      <c r="D344" s="27" t="s">
        <v>1088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47900</f>
        <v>47900.0</v>
      </c>
      <c r="L344" s="34" t="s">
        <v>48</v>
      </c>
      <c r="M344" s="33" t="n">
        <f>48700</f>
        <v>48700.0</v>
      </c>
      <c r="N344" s="34" t="s">
        <v>62</v>
      </c>
      <c r="O344" s="33" t="n">
        <f>46650</f>
        <v>46650.0</v>
      </c>
      <c r="P344" s="34" t="s">
        <v>114</v>
      </c>
      <c r="Q344" s="33" t="n">
        <f>46900</f>
        <v>46900.0</v>
      </c>
      <c r="R344" s="34" t="s">
        <v>51</v>
      </c>
      <c r="S344" s="35" t="n">
        <f>47445</f>
        <v>47445.0</v>
      </c>
      <c r="T344" s="32" t="n">
        <f>155745</f>
        <v>155745.0</v>
      </c>
      <c r="U344" s="32" t="n">
        <f>21817</f>
        <v>21817.0</v>
      </c>
      <c r="V344" s="32" t="n">
        <f>7390124063</f>
        <v>7.390124063E9</v>
      </c>
      <c r="W344" s="32" t="n">
        <f>1034637213</f>
        <v>1.034637213E9</v>
      </c>
      <c r="X344" s="36" t="n">
        <f>20</f>
        <v>20.0</v>
      </c>
    </row>
    <row r="345">
      <c r="A345" s="27" t="s">
        <v>42</v>
      </c>
      <c r="B345" s="27" t="s">
        <v>1089</v>
      </c>
      <c r="C345" s="27" t="s">
        <v>1090</v>
      </c>
      <c r="D345" s="27" t="s">
        <v>1091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141200</f>
        <v>141200.0</v>
      </c>
      <c r="L345" s="34" t="s">
        <v>48</v>
      </c>
      <c r="M345" s="33" t="n">
        <f>143500</f>
        <v>143500.0</v>
      </c>
      <c r="N345" s="34" t="s">
        <v>170</v>
      </c>
      <c r="O345" s="33" t="n">
        <f>131600</f>
        <v>131600.0</v>
      </c>
      <c r="P345" s="34" t="s">
        <v>51</v>
      </c>
      <c r="Q345" s="33" t="n">
        <f>135200</f>
        <v>135200.0</v>
      </c>
      <c r="R345" s="34" t="s">
        <v>51</v>
      </c>
      <c r="S345" s="35" t="n">
        <f>138950</f>
        <v>138950.0</v>
      </c>
      <c r="T345" s="32" t="n">
        <f>28442</f>
        <v>28442.0</v>
      </c>
      <c r="U345" s="32" t="n">
        <f>4995</f>
        <v>4995.0</v>
      </c>
      <c r="V345" s="32" t="n">
        <f>3942667578</f>
        <v>3.942667578E9</v>
      </c>
      <c r="W345" s="32" t="n">
        <f>695603578</f>
        <v>6.95603578E8</v>
      </c>
      <c r="X345" s="36" t="n">
        <f>20</f>
        <v>20.0</v>
      </c>
    </row>
    <row r="346">
      <c r="A346" s="27" t="s">
        <v>42</v>
      </c>
      <c r="B346" s="27" t="s">
        <v>1092</v>
      </c>
      <c r="C346" s="27" t="s">
        <v>1093</v>
      </c>
      <c r="D346" s="27" t="s">
        <v>1094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441500</f>
        <v>441500.0</v>
      </c>
      <c r="L346" s="34" t="s">
        <v>48</v>
      </c>
      <c r="M346" s="33" t="n">
        <f>463000</f>
        <v>463000.0</v>
      </c>
      <c r="N346" s="34" t="s">
        <v>70</v>
      </c>
      <c r="O346" s="33" t="n">
        <f>437500</f>
        <v>437500.0</v>
      </c>
      <c r="P346" s="34" t="s">
        <v>51</v>
      </c>
      <c r="Q346" s="33" t="n">
        <f>440500</f>
        <v>440500.0</v>
      </c>
      <c r="R346" s="34" t="s">
        <v>51</v>
      </c>
      <c r="S346" s="35" t="n">
        <f>452150</f>
        <v>452150.0</v>
      </c>
      <c r="T346" s="32" t="n">
        <f>48305</f>
        <v>48305.0</v>
      </c>
      <c r="U346" s="32" t="n">
        <f>9487</f>
        <v>9487.0</v>
      </c>
      <c r="V346" s="32" t="n">
        <f>21804313243</f>
        <v>2.1804313243E10</v>
      </c>
      <c r="W346" s="32" t="n">
        <f>4273912243</f>
        <v>4.273912243E9</v>
      </c>
      <c r="X346" s="36" t="n">
        <f>20</f>
        <v>20.0</v>
      </c>
    </row>
    <row r="347">
      <c r="A347" s="27" t="s">
        <v>42</v>
      </c>
      <c r="B347" s="27" t="s">
        <v>1095</v>
      </c>
      <c r="C347" s="27" t="s">
        <v>1096</v>
      </c>
      <c r="D347" s="27" t="s">
        <v>1097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204800</f>
        <v>204800.0</v>
      </c>
      <c r="L347" s="34" t="s">
        <v>48</v>
      </c>
      <c r="M347" s="33" t="n">
        <f>208400</f>
        <v>208400.0</v>
      </c>
      <c r="N347" s="34" t="s">
        <v>48</v>
      </c>
      <c r="O347" s="33" t="n">
        <f>199300</f>
        <v>199300.0</v>
      </c>
      <c r="P347" s="34" t="s">
        <v>90</v>
      </c>
      <c r="Q347" s="33" t="n">
        <f>205300</f>
        <v>205300.0</v>
      </c>
      <c r="R347" s="34" t="s">
        <v>51</v>
      </c>
      <c r="S347" s="35" t="n">
        <f>204175</f>
        <v>204175.0</v>
      </c>
      <c r="T347" s="32" t="n">
        <f>28913</f>
        <v>28913.0</v>
      </c>
      <c r="U347" s="32" t="n">
        <f>4932</f>
        <v>4932.0</v>
      </c>
      <c r="V347" s="32" t="n">
        <f>5908305537</f>
        <v>5.908305537E9</v>
      </c>
      <c r="W347" s="32" t="n">
        <f>1008315137</f>
        <v>1.008315137E9</v>
      </c>
      <c r="X347" s="36" t="n">
        <f>20</f>
        <v>20.0</v>
      </c>
    </row>
    <row r="348">
      <c r="A348" s="27" t="s">
        <v>42</v>
      </c>
      <c r="B348" s="27" t="s">
        <v>1098</v>
      </c>
      <c r="C348" s="27" t="s">
        <v>1099</v>
      </c>
      <c r="D348" s="27" t="s">
        <v>1100</v>
      </c>
      <c r="E348" s="28" t="s">
        <v>46</v>
      </c>
      <c r="F348" s="29" t="s">
        <v>46</v>
      </c>
      <c r="G348" s="30" t="s">
        <v>46</v>
      </c>
      <c r="H348" s="31"/>
      <c r="I348" s="31" t="s">
        <v>601</v>
      </c>
      <c r="J348" s="32" t="n">
        <v>1.0</v>
      </c>
      <c r="K348" s="33" t="n">
        <f>123500</f>
        <v>123500.0</v>
      </c>
      <c r="L348" s="34" t="s">
        <v>48</v>
      </c>
      <c r="M348" s="33" t="n">
        <f>124400</f>
        <v>124400.0</v>
      </c>
      <c r="N348" s="34" t="s">
        <v>48</v>
      </c>
      <c r="O348" s="33" t="n">
        <f>118400</f>
        <v>118400.0</v>
      </c>
      <c r="P348" s="34" t="s">
        <v>114</v>
      </c>
      <c r="Q348" s="33" t="n">
        <f>121200</f>
        <v>121200.0</v>
      </c>
      <c r="R348" s="34" t="s">
        <v>51</v>
      </c>
      <c r="S348" s="35" t="n">
        <f>121320</f>
        <v>121320.0</v>
      </c>
      <c r="T348" s="32" t="n">
        <f>15409</f>
        <v>15409.0</v>
      </c>
      <c r="U348" s="32" t="n">
        <f>4512</f>
        <v>4512.0</v>
      </c>
      <c r="V348" s="32" t="n">
        <f>1870283646</f>
        <v>1.870283646E9</v>
      </c>
      <c r="W348" s="32" t="n">
        <f>546590346</f>
        <v>5.46590346E8</v>
      </c>
      <c r="X348" s="36" t="n">
        <f>20</f>
        <v>20.0</v>
      </c>
    </row>
    <row r="349">
      <c r="A349" s="27" t="s">
        <v>42</v>
      </c>
      <c r="B349" s="27" t="s">
        <v>1101</v>
      </c>
      <c r="C349" s="27" t="s">
        <v>1102</v>
      </c>
      <c r="D349" s="27" t="s">
        <v>1103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101000</f>
        <v>101000.0</v>
      </c>
      <c r="L349" s="34" t="s">
        <v>48</v>
      </c>
      <c r="M349" s="33" t="n">
        <f>103900</f>
        <v>103900.0</v>
      </c>
      <c r="N349" s="34" t="s">
        <v>51</v>
      </c>
      <c r="O349" s="33" t="n">
        <f>98700</f>
        <v>98700.0</v>
      </c>
      <c r="P349" s="34" t="s">
        <v>172</v>
      </c>
      <c r="Q349" s="33" t="n">
        <f>103800</f>
        <v>103800.0</v>
      </c>
      <c r="R349" s="34" t="s">
        <v>51</v>
      </c>
      <c r="S349" s="35" t="n">
        <f>101025</f>
        <v>101025.0</v>
      </c>
      <c r="T349" s="32" t="n">
        <f>84381</f>
        <v>84381.0</v>
      </c>
      <c r="U349" s="32" t="n">
        <f>15233</f>
        <v>15233.0</v>
      </c>
      <c r="V349" s="32" t="n">
        <f>8569927233</f>
        <v>8.569927233E9</v>
      </c>
      <c r="W349" s="32" t="n">
        <f>1566287233</f>
        <v>1.566287233E9</v>
      </c>
      <c r="X349" s="36" t="n">
        <f>20</f>
        <v>20.0</v>
      </c>
    </row>
    <row r="350">
      <c r="A350" s="27" t="s">
        <v>42</v>
      </c>
      <c r="B350" s="27" t="s">
        <v>1104</v>
      </c>
      <c r="C350" s="27" t="s">
        <v>1105</v>
      </c>
      <c r="D350" s="27" t="s">
        <v>1106</v>
      </c>
      <c r="E350" s="28" t="s">
        <v>46</v>
      </c>
      <c r="F350" s="29" t="s">
        <v>46</v>
      </c>
      <c r="G350" s="30" t="s">
        <v>46</v>
      </c>
      <c r="H350" s="31"/>
      <c r="I350" s="31" t="s">
        <v>601</v>
      </c>
      <c r="J350" s="32" t="n">
        <v>1.0</v>
      </c>
      <c r="K350" s="33" t="n">
        <f>144900</f>
        <v>144900.0</v>
      </c>
      <c r="L350" s="34" t="s">
        <v>48</v>
      </c>
      <c r="M350" s="33" t="n">
        <f>148700</f>
        <v>148700.0</v>
      </c>
      <c r="N350" s="34" t="s">
        <v>80</v>
      </c>
      <c r="O350" s="33" t="n">
        <f>141100</f>
        <v>141100.0</v>
      </c>
      <c r="P350" s="34" t="s">
        <v>90</v>
      </c>
      <c r="Q350" s="33" t="n">
        <f>146900</f>
        <v>146900.0</v>
      </c>
      <c r="R350" s="34" t="s">
        <v>51</v>
      </c>
      <c r="S350" s="35" t="n">
        <f>145720</f>
        <v>145720.0</v>
      </c>
      <c r="T350" s="32" t="n">
        <f>54289</f>
        <v>54289.0</v>
      </c>
      <c r="U350" s="32" t="n">
        <f>12298</f>
        <v>12298.0</v>
      </c>
      <c r="V350" s="32" t="n">
        <f>7908417433</f>
        <v>7.908417433E9</v>
      </c>
      <c r="W350" s="32" t="n">
        <f>1789995633</f>
        <v>1.789995633E9</v>
      </c>
      <c r="X350" s="36" t="n">
        <f>20</f>
        <v>20.0</v>
      </c>
    </row>
    <row r="351">
      <c r="A351" s="27" t="s">
        <v>42</v>
      </c>
      <c r="B351" s="27" t="s">
        <v>1107</v>
      </c>
      <c r="C351" s="27" t="s">
        <v>1108</v>
      </c>
      <c r="D351" s="27" t="s">
        <v>1109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665000</f>
        <v>665000.0</v>
      </c>
      <c r="L351" s="34" t="s">
        <v>48</v>
      </c>
      <c r="M351" s="33" t="n">
        <f>669000</f>
        <v>669000.0</v>
      </c>
      <c r="N351" s="34" t="s">
        <v>48</v>
      </c>
      <c r="O351" s="33" t="n">
        <f>632000</f>
        <v>632000.0</v>
      </c>
      <c r="P351" s="34" t="s">
        <v>91</v>
      </c>
      <c r="Q351" s="33" t="n">
        <f>640000</f>
        <v>640000.0</v>
      </c>
      <c r="R351" s="34" t="s">
        <v>51</v>
      </c>
      <c r="S351" s="35" t="n">
        <f>642550</f>
        <v>642550.0</v>
      </c>
      <c r="T351" s="32" t="n">
        <f>111169</f>
        <v>111169.0</v>
      </c>
      <c r="U351" s="32" t="n">
        <f>24127</f>
        <v>24127.0</v>
      </c>
      <c r="V351" s="32" t="n">
        <f>71632297370</f>
        <v>7.163229737E10</v>
      </c>
      <c r="W351" s="32" t="n">
        <f>15545813370</f>
        <v>1.554581337E10</v>
      </c>
      <c r="X351" s="36" t="n">
        <f>20</f>
        <v>20.0</v>
      </c>
    </row>
    <row r="352">
      <c r="A352" s="27" t="s">
        <v>42</v>
      </c>
      <c r="B352" s="27" t="s">
        <v>1110</v>
      </c>
      <c r="C352" s="27" t="s">
        <v>1111</v>
      </c>
      <c r="D352" s="27" t="s">
        <v>1112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628000</f>
        <v>628000.0</v>
      </c>
      <c r="L352" s="34" t="s">
        <v>48</v>
      </c>
      <c r="M352" s="33" t="n">
        <f>631000</f>
        <v>631000.0</v>
      </c>
      <c r="N352" s="34" t="s">
        <v>48</v>
      </c>
      <c r="O352" s="33" t="n">
        <f>594000</f>
        <v>594000.0</v>
      </c>
      <c r="P352" s="34" t="s">
        <v>114</v>
      </c>
      <c r="Q352" s="33" t="n">
        <f>609000</f>
        <v>609000.0</v>
      </c>
      <c r="R352" s="34" t="s">
        <v>51</v>
      </c>
      <c r="S352" s="35" t="n">
        <f>607100</f>
        <v>607100.0</v>
      </c>
      <c r="T352" s="32" t="n">
        <f>90750</f>
        <v>90750.0</v>
      </c>
      <c r="U352" s="32" t="n">
        <f>19017</f>
        <v>19017.0</v>
      </c>
      <c r="V352" s="32" t="n">
        <f>55281187816</f>
        <v>5.5281187816E10</v>
      </c>
      <c r="W352" s="32" t="n">
        <f>11590728816</f>
        <v>1.1590728816E10</v>
      </c>
      <c r="X352" s="36" t="n">
        <f>20</f>
        <v>20.0</v>
      </c>
    </row>
    <row r="353">
      <c r="A353" s="27" t="s">
        <v>42</v>
      </c>
      <c r="B353" s="27" t="s">
        <v>1113</v>
      </c>
      <c r="C353" s="27" t="s">
        <v>1114</v>
      </c>
      <c r="D353" s="27" t="s">
        <v>1115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109900</f>
        <v>109900.0</v>
      </c>
      <c r="L353" s="34" t="s">
        <v>48</v>
      </c>
      <c r="M353" s="33" t="n">
        <f>112500</f>
        <v>112500.0</v>
      </c>
      <c r="N353" s="34" t="s">
        <v>70</v>
      </c>
      <c r="O353" s="33" t="n">
        <f>104700</f>
        <v>104700.0</v>
      </c>
      <c r="P353" s="34" t="s">
        <v>114</v>
      </c>
      <c r="Q353" s="33" t="n">
        <f>110100</f>
        <v>110100.0</v>
      </c>
      <c r="R353" s="34" t="s">
        <v>51</v>
      </c>
      <c r="S353" s="35" t="n">
        <f>107795</f>
        <v>107795.0</v>
      </c>
      <c r="T353" s="32" t="n">
        <f>439990</f>
        <v>439990.0</v>
      </c>
      <c r="U353" s="32" t="n">
        <f>98638</f>
        <v>98638.0</v>
      </c>
      <c r="V353" s="32" t="n">
        <f>47537046080</f>
        <v>4.753704608E10</v>
      </c>
      <c r="W353" s="32" t="n">
        <f>10655514080</f>
        <v>1.065551408E10</v>
      </c>
      <c r="X353" s="36" t="n">
        <f>20</f>
        <v>20.0</v>
      </c>
    </row>
    <row r="354">
      <c r="A354" s="27" t="s">
        <v>42</v>
      </c>
      <c r="B354" s="27" t="s">
        <v>1116</v>
      </c>
      <c r="C354" s="27" t="s">
        <v>1117</v>
      </c>
      <c r="D354" s="27" t="s">
        <v>1118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199400</f>
        <v>199400.0</v>
      </c>
      <c r="L354" s="34" t="s">
        <v>48</v>
      </c>
      <c r="M354" s="33" t="n">
        <f>199900</f>
        <v>199900.0</v>
      </c>
      <c r="N354" s="34" t="s">
        <v>48</v>
      </c>
      <c r="O354" s="33" t="n">
        <f>183800</f>
        <v>183800.0</v>
      </c>
      <c r="P354" s="34" t="s">
        <v>61</v>
      </c>
      <c r="Q354" s="33" t="n">
        <f>193500</f>
        <v>193500.0</v>
      </c>
      <c r="R354" s="34" t="s">
        <v>51</v>
      </c>
      <c r="S354" s="35" t="n">
        <f>189380</f>
        <v>189380.0</v>
      </c>
      <c r="T354" s="32" t="n">
        <f>205912</f>
        <v>205912.0</v>
      </c>
      <c r="U354" s="32" t="n">
        <f>56773</f>
        <v>56773.0</v>
      </c>
      <c r="V354" s="32" t="n">
        <f>39137277369</f>
        <v>3.9137277369E10</v>
      </c>
      <c r="W354" s="32" t="n">
        <f>10777262569</f>
        <v>1.0777262569E10</v>
      </c>
      <c r="X354" s="36" t="n">
        <f>20</f>
        <v>20.0</v>
      </c>
    </row>
    <row r="355">
      <c r="A355" s="27" t="s">
        <v>42</v>
      </c>
      <c r="B355" s="27" t="s">
        <v>1119</v>
      </c>
      <c r="C355" s="27" t="s">
        <v>1120</v>
      </c>
      <c r="D355" s="27" t="s">
        <v>1121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404000</f>
        <v>404000.0</v>
      </c>
      <c r="L355" s="34" t="s">
        <v>48</v>
      </c>
      <c r="M355" s="33" t="n">
        <f>408500</f>
        <v>408500.0</v>
      </c>
      <c r="N355" s="34" t="s">
        <v>62</v>
      </c>
      <c r="O355" s="33" t="n">
        <f>381500</f>
        <v>381500.0</v>
      </c>
      <c r="P355" s="34" t="s">
        <v>114</v>
      </c>
      <c r="Q355" s="33" t="n">
        <f>393000</f>
        <v>393000.0</v>
      </c>
      <c r="R355" s="34" t="s">
        <v>51</v>
      </c>
      <c r="S355" s="35" t="n">
        <f>390625</f>
        <v>390625.0</v>
      </c>
      <c r="T355" s="32" t="n">
        <f>54212</f>
        <v>54212.0</v>
      </c>
      <c r="U355" s="32" t="n">
        <f>15345</f>
        <v>15345.0</v>
      </c>
      <c r="V355" s="32" t="n">
        <f>21222848257</f>
        <v>2.1222848257E10</v>
      </c>
      <c r="W355" s="32" t="n">
        <f>6004813257</f>
        <v>6.004813257E9</v>
      </c>
      <c r="X355" s="36" t="n">
        <f>20</f>
        <v>20.0</v>
      </c>
    </row>
    <row r="356">
      <c r="A356" s="27" t="s">
        <v>42</v>
      </c>
      <c r="B356" s="27" t="s">
        <v>1122</v>
      </c>
      <c r="C356" s="27" t="s">
        <v>1123</v>
      </c>
      <c r="D356" s="27" t="s">
        <v>1124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1.0</v>
      </c>
      <c r="K356" s="33" t="n">
        <f>145800</f>
        <v>145800.0</v>
      </c>
      <c r="L356" s="34" t="s">
        <v>48</v>
      </c>
      <c r="M356" s="33" t="n">
        <f>148200</f>
        <v>148200.0</v>
      </c>
      <c r="N356" s="34" t="s">
        <v>80</v>
      </c>
      <c r="O356" s="33" t="n">
        <f>141700</f>
        <v>141700.0</v>
      </c>
      <c r="P356" s="34" t="s">
        <v>61</v>
      </c>
      <c r="Q356" s="33" t="n">
        <f>147500</f>
        <v>147500.0</v>
      </c>
      <c r="R356" s="34" t="s">
        <v>51</v>
      </c>
      <c r="S356" s="35" t="n">
        <f>144485</f>
        <v>144485.0</v>
      </c>
      <c r="T356" s="32" t="n">
        <f>82889</f>
        <v>82889.0</v>
      </c>
      <c r="U356" s="32" t="n">
        <f>15013</f>
        <v>15013.0</v>
      </c>
      <c r="V356" s="32" t="n">
        <f>12006219181</f>
        <v>1.2006219181E10</v>
      </c>
      <c r="W356" s="32" t="n">
        <f>2172354381</f>
        <v>2.172354381E9</v>
      </c>
      <c r="X356" s="36" t="n">
        <f>20</f>
        <v>20.0</v>
      </c>
    </row>
    <row r="357">
      <c r="A357" s="27" t="s">
        <v>42</v>
      </c>
      <c r="B357" s="27" t="s">
        <v>1125</v>
      </c>
      <c r="C357" s="27" t="s">
        <v>1126</v>
      </c>
      <c r="D357" s="27" t="s">
        <v>1127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212400</f>
        <v>212400.0</v>
      </c>
      <c r="L357" s="34" t="s">
        <v>48</v>
      </c>
      <c r="M357" s="33" t="n">
        <f>217600</f>
        <v>217600.0</v>
      </c>
      <c r="N357" s="34" t="s">
        <v>48</v>
      </c>
      <c r="O357" s="33" t="n">
        <f>203300</f>
        <v>203300.0</v>
      </c>
      <c r="P357" s="34" t="s">
        <v>61</v>
      </c>
      <c r="Q357" s="33" t="n">
        <f>215600</f>
        <v>215600.0</v>
      </c>
      <c r="R357" s="34" t="s">
        <v>51</v>
      </c>
      <c r="S357" s="35" t="n">
        <f>209785</f>
        <v>209785.0</v>
      </c>
      <c r="T357" s="32" t="n">
        <f>48667</f>
        <v>48667.0</v>
      </c>
      <c r="U357" s="32" t="n">
        <f>8834</f>
        <v>8834.0</v>
      </c>
      <c r="V357" s="32" t="n">
        <f>10250120823</f>
        <v>1.0250120823E10</v>
      </c>
      <c r="W357" s="32" t="n">
        <f>1863716623</f>
        <v>1.863716623E9</v>
      </c>
      <c r="X357" s="36" t="n">
        <f>20</f>
        <v>20.0</v>
      </c>
    </row>
    <row r="358">
      <c r="A358" s="27" t="s">
        <v>42</v>
      </c>
      <c r="B358" s="27" t="s">
        <v>1128</v>
      </c>
      <c r="C358" s="27" t="s">
        <v>1129</v>
      </c>
      <c r="D358" s="27" t="s">
        <v>1130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114800</f>
        <v>114800.0</v>
      </c>
      <c r="L358" s="34" t="s">
        <v>48</v>
      </c>
      <c r="M358" s="33" t="n">
        <f>116200</f>
        <v>116200.0</v>
      </c>
      <c r="N358" s="34" t="s">
        <v>48</v>
      </c>
      <c r="O358" s="33" t="n">
        <f>105900</f>
        <v>105900.0</v>
      </c>
      <c r="P358" s="34" t="s">
        <v>172</v>
      </c>
      <c r="Q358" s="33" t="n">
        <f>107200</f>
        <v>107200.0</v>
      </c>
      <c r="R358" s="34" t="s">
        <v>51</v>
      </c>
      <c r="S358" s="35" t="n">
        <f>110725</f>
        <v>110725.0</v>
      </c>
      <c r="T358" s="32" t="n">
        <f>102700</f>
        <v>102700.0</v>
      </c>
      <c r="U358" s="32" t="n">
        <f>11512</f>
        <v>11512.0</v>
      </c>
      <c r="V358" s="32" t="n">
        <f>11282795072</f>
        <v>1.1282795072E10</v>
      </c>
      <c r="W358" s="32" t="n">
        <f>1282944572</f>
        <v>1.282944572E9</v>
      </c>
      <c r="X358" s="36" t="n">
        <f>20</f>
        <v>20.0</v>
      </c>
    </row>
    <row r="359">
      <c r="A359" s="27" t="s">
        <v>42</v>
      </c>
      <c r="B359" s="27" t="s">
        <v>1131</v>
      </c>
      <c r="C359" s="27" t="s">
        <v>1132</v>
      </c>
      <c r="D359" s="27" t="s">
        <v>1133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156900</f>
        <v>156900.0</v>
      </c>
      <c r="L359" s="34" t="s">
        <v>48</v>
      </c>
      <c r="M359" s="33" t="n">
        <f>158800</f>
        <v>158800.0</v>
      </c>
      <c r="N359" s="34" t="s">
        <v>48</v>
      </c>
      <c r="O359" s="33" t="n">
        <f>150800</f>
        <v>150800.0</v>
      </c>
      <c r="P359" s="34" t="s">
        <v>61</v>
      </c>
      <c r="Q359" s="33" t="n">
        <f>154200</f>
        <v>154200.0</v>
      </c>
      <c r="R359" s="34" t="s">
        <v>51</v>
      </c>
      <c r="S359" s="35" t="n">
        <f>154320</f>
        <v>154320.0</v>
      </c>
      <c r="T359" s="32" t="n">
        <f>180800</f>
        <v>180800.0</v>
      </c>
      <c r="U359" s="32" t="n">
        <f>33244</f>
        <v>33244.0</v>
      </c>
      <c r="V359" s="32" t="n">
        <f>27969861367</f>
        <v>2.7969861367E10</v>
      </c>
      <c r="W359" s="32" t="n">
        <f>5146017267</f>
        <v>5.146017267E9</v>
      </c>
      <c r="X359" s="36" t="n">
        <f>20</f>
        <v>20.0</v>
      </c>
    </row>
    <row r="360">
      <c r="A360" s="27" t="s">
        <v>42</v>
      </c>
      <c r="B360" s="27" t="s">
        <v>1134</v>
      </c>
      <c r="C360" s="27" t="s">
        <v>1135</v>
      </c>
      <c r="D360" s="27" t="s">
        <v>1136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148600</f>
        <v>148600.0</v>
      </c>
      <c r="L360" s="34" t="s">
        <v>48</v>
      </c>
      <c r="M360" s="33" t="n">
        <f>149600</f>
        <v>149600.0</v>
      </c>
      <c r="N360" s="34" t="s">
        <v>48</v>
      </c>
      <c r="O360" s="33" t="n">
        <f>142500</f>
        <v>142500.0</v>
      </c>
      <c r="P360" s="34" t="s">
        <v>172</v>
      </c>
      <c r="Q360" s="33" t="n">
        <f>146800</f>
        <v>146800.0</v>
      </c>
      <c r="R360" s="34" t="s">
        <v>51</v>
      </c>
      <c r="S360" s="35" t="n">
        <f>146175</f>
        <v>146175.0</v>
      </c>
      <c r="T360" s="32" t="n">
        <f>76602</f>
        <v>76602.0</v>
      </c>
      <c r="U360" s="32" t="n">
        <f>15886</f>
        <v>15886.0</v>
      </c>
      <c r="V360" s="32" t="n">
        <f>11232491538</f>
        <v>1.1232491538E10</v>
      </c>
      <c r="W360" s="32" t="n">
        <f>2326304338</f>
        <v>2.326304338E9</v>
      </c>
      <c r="X360" s="36" t="n">
        <f>20</f>
        <v>20.0</v>
      </c>
    </row>
    <row r="361">
      <c r="A361" s="27" t="s">
        <v>42</v>
      </c>
      <c r="B361" s="27" t="s">
        <v>1137</v>
      </c>
      <c r="C361" s="27" t="s">
        <v>1138</v>
      </c>
      <c r="D361" s="27" t="s">
        <v>1139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46900</f>
        <v>46900.0</v>
      </c>
      <c r="L361" s="34" t="s">
        <v>48</v>
      </c>
      <c r="M361" s="33" t="n">
        <f>47750</f>
        <v>47750.0</v>
      </c>
      <c r="N361" s="34" t="s">
        <v>51</v>
      </c>
      <c r="O361" s="33" t="n">
        <f>44150</f>
        <v>44150.0</v>
      </c>
      <c r="P361" s="34" t="s">
        <v>61</v>
      </c>
      <c r="Q361" s="33" t="n">
        <f>47650</f>
        <v>47650.0</v>
      </c>
      <c r="R361" s="34" t="s">
        <v>51</v>
      </c>
      <c r="S361" s="35" t="n">
        <f>46050</f>
        <v>46050.0</v>
      </c>
      <c r="T361" s="32" t="n">
        <f>582769</f>
        <v>582769.0</v>
      </c>
      <c r="U361" s="32" t="n">
        <f>165150</f>
        <v>165150.0</v>
      </c>
      <c r="V361" s="32" t="n">
        <f>26849590607</f>
        <v>2.6849590607E10</v>
      </c>
      <c r="W361" s="32" t="n">
        <f>7601574057</f>
        <v>7.601574057E9</v>
      </c>
      <c r="X361" s="36" t="n">
        <f>20</f>
        <v>20.0</v>
      </c>
    </row>
    <row r="362">
      <c r="A362" s="27" t="s">
        <v>42</v>
      </c>
      <c r="B362" s="27" t="s">
        <v>1140</v>
      </c>
      <c r="C362" s="27" t="s">
        <v>1141</v>
      </c>
      <c r="D362" s="27" t="s">
        <v>1142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524000</f>
        <v>524000.0</v>
      </c>
      <c r="L362" s="34" t="s">
        <v>48</v>
      </c>
      <c r="M362" s="33" t="n">
        <f>534000</f>
        <v>534000.0</v>
      </c>
      <c r="N362" s="34" t="s">
        <v>48</v>
      </c>
      <c r="O362" s="33" t="n">
        <f>508000</f>
        <v>508000.0</v>
      </c>
      <c r="P362" s="34" t="s">
        <v>114</v>
      </c>
      <c r="Q362" s="33" t="n">
        <f>529000</f>
        <v>529000.0</v>
      </c>
      <c r="R362" s="34" t="s">
        <v>51</v>
      </c>
      <c r="S362" s="35" t="n">
        <f>521700</f>
        <v>521700.0</v>
      </c>
      <c r="T362" s="32" t="n">
        <f>35687</f>
        <v>35687.0</v>
      </c>
      <c r="U362" s="32" t="n">
        <f>8905</f>
        <v>8905.0</v>
      </c>
      <c r="V362" s="32" t="n">
        <f>18610065330</f>
        <v>1.861006533E10</v>
      </c>
      <c r="W362" s="32" t="n">
        <f>4636927330</f>
        <v>4.63692733E9</v>
      </c>
      <c r="X362" s="36" t="n">
        <f>20</f>
        <v>20.0</v>
      </c>
    </row>
    <row r="363">
      <c r="A363" s="27" t="s">
        <v>42</v>
      </c>
      <c r="B363" s="27" t="s">
        <v>1143</v>
      </c>
      <c r="C363" s="27" t="s">
        <v>1144</v>
      </c>
      <c r="D363" s="27" t="s">
        <v>1145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154600</f>
        <v>154600.0</v>
      </c>
      <c r="L363" s="34" t="s">
        <v>48</v>
      </c>
      <c r="M363" s="33" t="n">
        <f>162400</f>
        <v>162400.0</v>
      </c>
      <c r="N363" s="34" t="s">
        <v>51</v>
      </c>
      <c r="O363" s="33" t="n">
        <f>151600</f>
        <v>151600.0</v>
      </c>
      <c r="P363" s="34" t="s">
        <v>50</v>
      </c>
      <c r="Q363" s="33" t="n">
        <f>161100</f>
        <v>161100.0</v>
      </c>
      <c r="R363" s="34" t="s">
        <v>51</v>
      </c>
      <c r="S363" s="35" t="n">
        <f>156805</f>
        <v>156805.0</v>
      </c>
      <c r="T363" s="32" t="n">
        <f>72816</f>
        <v>72816.0</v>
      </c>
      <c r="U363" s="32" t="n">
        <f>19163</f>
        <v>19163.0</v>
      </c>
      <c r="V363" s="32" t="n">
        <f>11461575509</f>
        <v>1.1461575509E10</v>
      </c>
      <c r="W363" s="32" t="n">
        <f>3018256609</f>
        <v>3.018256609E9</v>
      </c>
      <c r="X363" s="36" t="n">
        <f>20</f>
        <v>20.0</v>
      </c>
    </row>
    <row r="364">
      <c r="A364" s="27" t="s">
        <v>42</v>
      </c>
      <c r="B364" s="27" t="s">
        <v>1146</v>
      </c>
      <c r="C364" s="27" t="s">
        <v>1147</v>
      </c>
      <c r="D364" s="27" t="s">
        <v>1148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320000</f>
        <v>320000.0</v>
      </c>
      <c r="L364" s="34" t="s">
        <v>48</v>
      </c>
      <c r="M364" s="33" t="n">
        <f>334000</f>
        <v>334000.0</v>
      </c>
      <c r="N364" s="34" t="s">
        <v>75</v>
      </c>
      <c r="O364" s="33" t="n">
        <f>317500</f>
        <v>317500.0</v>
      </c>
      <c r="P364" s="34" t="s">
        <v>48</v>
      </c>
      <c r="Q364" s="33" t="n">
        <f>320500</f>
        <v>320500.0</v>
      </c>
      <c r="R364" s="34" t="s">
        <v>51</v>
      </c>
      <c r="S364" s="35" t="n">
        <f>325500</f>
        <v>325500.0</v>
      </c>
      <c r="T364" s="32" t="n">
        <f>77654</f>
        <v>77654.0</v>
      </c>
      <c r="U364" s="32" t="n">
        <f>22715</f>
        <v>22715.0</v>
      </c>
      <c r="V364" s="32" t="n">
        <f>25227913678</f>
        <v>2.5227913678E10</v>
      </c>
      <c r="W364" s="32" t="n">
        <f>7352675178</f>
        <v>7.352675178E9</v>
      </c>
      <c r="X364" s="36" t="n">
        <f>20</f>
        <v>20.0</v>
      </c>
    </row>
    <row r="365">
      <c r="A365" s="27" t="s">
        <v>42</v>
      </c>
      <c r="B365" s="27" t="s">
        <v>1149</v>
      </c>
      <c r="C365" s="27" t="s">
        <v>1150</v>
      </c>
      <c r="D365" s="27" t="s">
        <v>1151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173500</f>
        <v>173500.0</v>
      </c>
      <c r="L365" s="34" t="s">
        <v>48</v>
      </c>
      <c r="M365" s="33" t="n">
        <f>175300</f>
        <v>175300.0</v>
      </c>
      <c r="N365" s="34" t="s">
        <v>48</v>
      </c>
      <c r="O365" s="33" t="n">
        <f>166800</f>
        <v>166800.0</v>
      </c>
      <c r="P365" s="34" t="s">
        <v>114</v>
      </c>
      <c r="Q365" s="33" t="n">
        <f>174300</f>
        <v>174300.0</v>
      </c>
      <c r="R365" s="34" t="s">
        <v>51</v>
      </c>
      <c r="S365" s="35" t="n">
        <f>171020</f>
        <v>171020.0</v>
      </c>
      <c r="T365" s="32" t="n">
        <f>33799</f>
        <v>33799.0</v>
      </c>
      <c r="U365" s="32" t="n">
        <f>6208</f>
        <v>6208.0</v>
      </c>
      <c r="V365" s="32" t="n">
        <f>5793790762</f>
        <v>5.793790762E9</v>
      </c>
      <c r="W365" s="32" t="n">
        <f>1064130762</f>
        <v>1.064130762E9</v>
      </c>
      <c r="X365" s="36" t="n">
        <f>20</f>
        <v>20.0</v>
      </c>
    </row>
    <row r="366">
      <c r="A366" s="27" t="s">
        <v>42</v>
      </c>
      <c r="B366" s="27" t="s">
        <v>1152</v>
      </c>
      <c r="C366" s="27" t="s">
        <v>1153</v>
      </c>
      <c r="D366" s="27" t="s">
        <v>1154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340500</f>
        <v>340500.0</v>
      </c>
      <c r="L366" s="34" t="s">
        <v>48</v>
      </c>
      <c r="M366" s="33" t="n">
        <f>346000</f>
        <v>346000.0</v>
      </c>
      <c r="N366" s="34" t="s">
        <v>70</v>
      </c>
      <c r="O366" s="33" t="n">
        <f>331000</f>
        <v>331000.0</v>
      </c>
      <c r="P366" s="34" t="s">
        <v>114</v>
      </c>
      <c r="Q366" s="33" t="n">
        <f>337500</f>
        <v>337500.0</v>
      </c>
      <c r="R366" s="34" t="s">
        <v>51</v>
      </c>
      <c r="S366" s="35" t="n">
        <f>337100</f>
        <v>337100.0</v>
      </c>
      <c r="T366" s="32" t="n">
        <f>54912</f>
        <v>54912.0</v>
      </c>
      <c r="U366" s="32" t="n">
        <f>10735</f>
        <v>10735.0</v>
      </c>
      <c r="V366" s="32" t="n">
        <f>18533678411</f>
        <v>1.8533678411E10</v>
      </c>
      <c r="W366" s="32" t="n">
        <f>3625197911</f>
        <v>3.625197911E9</v>
      </c>
      <c r="X366" s="36" t="n">
        <f>20</f>
        <v>20.0</v>
      </c>
    </row>
    <row r="367">
      <c r="A367" s="27" t="s">
        <v>42</v>
      </c>
      <c r="B367" s="27" t="s">
        <v>1155</v>
      </c>
      <c r="C367" s="27" t="s">
        <v>1156</v>
      </c>
      <c r="D367" s="27" t="s">
        <v>1157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84300</f>
        <v>84300.0</v>
      </c>
      <c r="L367" s="34" t="s">
        <v>48</v>
      </c>
      <c r="M367" s="33" t="n">
        <f>88000</f>
        <v>88000.0</v>
      </c>
      <c r="N367" s="34" t="s">
        <v>71</v>
      </c>
      <c r="O367" s="33" t="n">
        <f>83400</f>
        <v>83400.0</v>
      </c>
      <c r="P367" s="34" t="s">
        <v>48</v>
      </c>
      <c r="Q367" s="33" t="n">
        <f>85700</f>
        <v>85700.0</v>
      </c>
      <c r="R367" s="34" t="s">
        <v>51</v>
      </c>
      <c r="S367" s="35" t="n">
        <f>85995</f>
        <v>85995.0</v>
      </c>
      <c r="T367" s="32" t="n">
        <f>124236</f>
        <v>124236.0</v>
      </c>
      <c r="U367" s="32" t="n">
        <f>29906</f>
        <v>29906.0</v>
      </c>
      <c r="V367" s="32" t="n">
        <f>10652754291</f>
        <v>1.0652754291E10</v>
      </c>
      <c r="W367" s="32" t="n">
        <f>2561921491</f>
        <v>2.561921491E9</v>
      </c>
      <c r="X367" s="36" t="n">
        <f>20</f>
        <v>20.0</v>
      </c>
    </row>
    <row r="368">
      <c r="A368" s="27" t="s">
        <v>42</v>
      </c>
      <c r="B368" s="27" t="s">
        <v>1158</v>
      </c>
      <c r="C368" s="27" t="s">
        <v>1159</v>
      </c>
      <c r="D368" s="27" t="s">
        <v>1160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708000</f>
        <v>708000.0</v>
      </c>
      <c r="L368" s="34" t="s">
        <v>48</v>
      </c>
      <c r="M368" s="33" t="n">
        <f>710000</f>
        <v>710000.0</v>
      </c>
      <c r="N368" s="34" t="s">
        <v>48</v>
      </c>
      <c r="O368" s="33" t="n">
        <f>665000</f>
        <v>665000.0</v>
      </c>
      <c r="P368" s="34" t="s">
        <v>114</v>
      </c>
      <c r="Q368" s="33" t="n">
        <f>677000</f>
        <v>677000.0</v>
      </c>
      <c r="R368" s="34" t="s">
        <v>51</v>
      </c>
      <c r="S368" s="35" t="n">
        <f>679500</f>
        <v>679500.0</v>
      </c>
      <c r="T368" s="32" t="n">
        <f>28124</f>
        <v>28124.0</v>
      </c>
      <c r="U368" s="32" t="n">
        <f>4016</f>
        <v>4016.0</v>
      </c>
      <c r="V368" s="32" t="n">
        <f>19158586315</f>
        <v>1.9158586315E10</v>
      </c>
      <c r="W368" s="32" t="n">
        <f>2739005315</f>
        <v>2.739005315E9</v>
      </c>
      <c r="X368" s="36" t="n">
        <f>20</f>
        <v>20.0</v>
      </c>
    </row>
    <row r="369">
      <c r="A369" s="27" t="s">
        <v>42</v>
      </c>
      <c r="B369" s="27" t="s">
        <v>1161</v>
      </c>
      <c r="C369" s="27" t="s">
        <v>1162</v>
      </c>
      <c r="D369" s="27" t="s">
        <v>1163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154200</f>
        <v>154200.0</v>
      </c>
      <c r="L369" s="34" t="s">
        <v>48</v>
      </c>
      <c r="M369" s="33" t="n">
        <f>155900</f>
        <v>155900.0</v>
      </c>
      <c r="N369" s="34" t="s">
        <v>48</v>
      </c>
      <c r="O369" s="33" t="n">
        <f>150800</f>
        <v>150800.0</v>
      </c>
      <c r="P369" s="34" t="s">
        <v>90</v>
      </c>
      <c r="Q369" s="33" t="n">
        <f>152700</f>
        <v>152700.0</v>
      </c>
      <c r="R369" s="34" t="s">
        <v>51</v>
      </c>
      <c r="S369" s="35" t="n">
        <f>152860</f>
        <v>152860.0</v>
      </c>
      <c r="T369" s="32" t="n">
        <f>37551</f>
        <v>37551.0</v>
      </c>
      <c r="U369" s="32" t="n">
        <f>4987</f>
        <v>4987.0</v>
      </c>
      <c r="V369" s="32" t="n">
        <f>5749321243</f>
        <v>5.749321243E9</v>
      </c>
      <c r="W369" s="32" t="n">
        <f>764336343</f>
        <v>7.64336343E8</v>
      </c>
      <c r="X369" s="36" t="n">
        <f>20</f>
        <v>20.0</v>
      </c>
    </row>
    <row r="370">
      <c r="A370" s="27" t="s">
        <v>42</v>
      </c>
      <c r="B370" s="27" t="s">
        <v>1164</v>
      </c>
      <c r="C370" s="27" t="s">
        <v>1165</v>
      </c>
      <c r="D370" s="27" t="s">
        <v>1166</v>
      </c>
      <c r="E370" s="28" t="s">
        <v>46</v>
      </c>
      <c r="F370" s="29" t="s">
        <v>46</v>
      </c>
      <c r="G370" s="30" t="s">
        <v>46</v>
      </c>
      <c r="H370" s="31"/>
      <c r="I370" s="31" t="s">
        <v>601</v>
      </c>
      <c r="J370" s="32" t="n">
        <v>1.0</v>
      </c>
      <c r="K370" s="33" t="n">
        <f>235100</f>
        <v>235100.0</v>
      </c>
      <c r="L370" s="34" t="s">
        <v>48</v>
      </c>
      <c r="M370" s="33" t="n">
        <f>238600</f>
        <v>238600.0</v>
      </c>
      <c r="N370" s="34" t="s">
        <v>70</v>
      </c>
      <c r="O370" s="33" t="n">
        <f>227700</f>
        <v>227700.0</v>
      </c>
      <c r="P370" s="34" t="s">
        <v>90</v>
      </c>
      <c r="Q370" s="33" t="n">
        <f>234200</f>
        <v>234200.0</v>
      </c>
      <c r="R370" s="34" t="s">
        <v>51</v>
      </c>
      <c r="S370" s="35" t="n">
        <f>233505</f>
        <v>233505.0</v>
      </c>
      <c r="T370" s="32" t="n">
        <f>47153</f>
        <v>47153.0</v>
      </c>
      <c r="U370" s="32" t="n">
        <f>7101</f>
        <v>7101.0</v>
      </c>
      <c r="V370" s="32" t="n">
        <f>11049236130</f>
        <v>1.104923613E10</v>
      </c>
      <c r="W370" s="32" t="n">
        <f>1677464030</f>
        <v>1.67746403E9</v>
      </c>
      <c r="X370" s="36" t="n">
        <f>20</f>
        <v>20.0</v>
      </c>
    </row>
    <row r="371">
      <c r="A371" s="27" t="s">
        <v>42</v>
      </c>
      <c r="B371" s="27" t="s">
        <v>1167</v>
      </c>
      <c r="C371" s="27" t="s">
        <v>1168</v>
      </c>
      <c r="D371" s="27" t="s">
        <v>1169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298500</f>
        <v>298500.0</v>
      </c>
      <c r="L371" s="34" t="s">
        <v>48</v>
      </c>
      <c r="M371" s="33" t="n">
        <f>312500</f>
        <v>312500.0</v>
      </c>
      <c r="N371" s="34" t="s">
        <v>80</v>
      </c>
      <c r="O371" s="33" t="n">
        <f>296100</f>
        <v>296100.0</v>
      </c>
      <c r="P371" s="34" t="s">
        <v>90</v>
      </c>
      <c r="Q371" s="33" t="n">
        <f>307500</f>
        <v>307500.0</v>
      </c>
      <c r="R371" s="34" t="s">
        <v>51</v>
      </c>
      <c r="S371" s="35" t="n">
        <f>304900</f>
        <v>304900.0</v>
      </c>
      <c r="T371" s="32" t="n">
        <f>120360</f>
        <v>120360.0</v>
      </c>
      <c r="U371" s="32" t="n">
        <f>22552</f>
        <v>22552.0</v>
      </c>
      <c r="V371" s="32" t="n">
        <f>36699779088</f>
        <v>3.6699779088E10</v>
      </c>
      <c r="W371" s="32" t="n">
        <f>6873034288</f>
        <v>6.873034288E9</v>
      </c>
      <c r="X371" s="36" t="n">
        <f>20</f>
        <v>20.0</v>
      </c>
    </row>
    <row r="372">
      <c r="A372" s="27" t="s">
        <v>42</v>
      </c>
      <c r="B372" s="27" t="s">
        <v>1170</v>
      </c>
      <c r="C372" s="27" t="s">
        <v>1171</v>
      </c>
      <c r="D372" s="27" t="s">
        <v>1172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78700</f>
        <v>78700.0</v>
      </c>
      <c r="L372" s="34" t="s">
        <v>48</v>
      </c>
      <c r="M372" s="33" t="n">
        <f>78800</f>
        <v>78800.0</v>
      </c>
      <c r="N372" s="34" t="s">
        <v>48</v>
      </c>
      <c r="O372" s="33" t="n">
        <f>71100</f>
        <v>71100.0</v>
      </c>
      <c r="P372" s="34" t="s">
        <v>61</v>
      </c>
      <c r="Q372" s="33" t="n">
        <f>74700</f>
        <v>74700.0</v>
      </c>
      <c r="R372" s="34" t="s">
        <v>51</v>
      </c>
      <c r="S372" s="35" t="n">
        <f>74590</f>
        <v>74590.0</v>
      </c>
      <c r="T372" s="32" t="n">
        <f>412698</f>
        <v>412698.0</v>
      </c>
      <c r="U372" s="32" t="n">
        <f>93547</f>
        <v>93547.0</v>
      </c>
      <c r="V372" s="32" t="n">
        <f>30872093023</f>
        <v>3.0872093023E10</v>
      </c>
      <c r="W372" s="32" t="n">
        <f>7006473323</f>
        <v>7.006473323E9</v>
      </c>
      <c r="X372" s="36" t="n">
        <f>20</f>
        <v>20.0</v>
      </c>
    </row>
    <row r="373">
      <c r="A373" s="27" t="s">
        <v>42</v>
      </c>
      <c r="B373" s="27" t="s">
        <v>1173</v>
      </c>
      <c r="C373" s="27" t="s">
        <v>1174</v>
      </c>
      <c r="D373" s="27" t="s">
        <v>1175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115400</f>
        <v>115400.0</v>
      </c>
      <c r="L373" s="34" t="s">
        <v>48</v>
      </c>
      <c r="M373" s="33" t="n">
        <f>120500</f>
        <v>120500.0</v>
      </c>
      <c r="N373" s="34" t="s">
        <v>160</v>
      </c>
      <c r="O373" s="33" t="n">
        <f>113100</f>
        <v>113100.0</v>
      </c>
      <c r="P373" s="34" t="s">
        <v>90</v>
      </c>
      <c r="Q373" s="33" t="n">
        <f>118000</f>
        <v>118000.0</v>
      </c>
      <c r="R373" s="34" t="s">
        <v>51</v>
      </c>
      <c r="S373" s="35" t="n">
        <f>117470</f>
        <v>117470.0</v>
      </c>
      <c r="T373" s="32" t="n">
        <f>127282</f>
        <v>127282.0</v>
      </c>
      <c r="U373" s="32" t="n">
        <f>30282</f>
        <v>30282.0</v>
      </c>
      <c r="V373" s="32" t="n">
        <f>14907912221</f>
        <v>1.4907912221E10</v>
      </c>
      <c r="W373" s="32" t="n">
        <f>3539253921</f>
        <v>3.539253921E9</v>
      </c>
      <c r="X373" s="36" t="n">
        <f>20</f>
        <v>20.0</v>
      </c>
    </row>
    <row r="374">
      <c r="A374" s="27" t="s">
        <v>42</v>
      </c>
      <c r="B374" s="27" t="s">
        <v>1176</v>
      </c>
      <c r="C374" s="27" t="s">
        <v>1177</v>
      </c>
      <c r="D374" s="27" t="s">
        <v>1178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138000</f>
        <v>138000.0</v>
      </c>
      <c r="L374" s="34" t="s">
        <v>48</v>
      </c>
      <c r="M374" s="33" t="n">
        <f>139400</f>
        <v>139400.0</v>
      </c>
      <c r="N374" s="34" t="s">
        <v>48</v>
      </c>
      <c r="O374" s="33" t="n">
        <f>133200</f>
        <v>133200.0</v>
      </c>
      <c r="P374" s="34" t="s">
        <v>114</v>
      </c>
      <c r="Q374" s="33" t="n">
        <f>136400</f>
        <v>136400.0</v>
      </c>
      <c r="R374" s="34" t="s">
        <v>51</v>
      </c>
      <c r="S374" s="35" t="n">
        <f>135980</f>
        <v>135980.0</v>
      </c>
      <c r="T374" s="32" t="n">
        <f>81669</f>
        <v>81669.0</v>
      </c>
      <c r="U374" s="32" t="n">
        <f>15140</f>
        <v>15140.0</v>
      </c>
      <c r="V374" s="32" t="n">
        <f>11121455032</f>
        <v>1.1121455032E10</v>
      </c>
      <c r="W374" s="32" t="n">
        <f>2062802732</f>
        <v>2.062802732E9</v>
      </c>
      <c r="X374" s="36" t="n">
        <f>20</f>
        <v>20.0</v>
      </c>
    </row>
    <row r="375">
      <c r="A375" s="27" t="s">
        <v>42</v>
      </c>
      <c r="B375" s="27" t="s">
        <v>1179</v>
      </c>
      <c r="C375" s="27" t="s">
        <v>1180</v>
      </c>
      <c r="D375" s="27" t="s">
        <v>1181</v>
      </c>
      <c r="E375" s="28" t="s">
        <v>46</v>
      </c>
      <c r="F375" s="29" t="s">
        <v>46</v>
      </c>
      <c r="G375" s="30" t="s">
        <v>46</v>
      </c>
      <c r="H375" s="31" t="s">
        <v>69</v>
      </c>
      <c r="I375" s="31" t="s">
        <v>47</v>
      </c>
      <c r="J375" s="32" t="n">
        <v>1.0</v>
      </c>
      <c r="K375" s="33" t="n">
        <f>126800</f>
        <v>126800.0</v>
      </c>
      <c r="L375" s="34" t="s">
        <v>48</v>
      </c>
      <c r="M375" s="33" t="n">
        <f>126900</f>
        <v>126900.0</v>
      </c>
      <c r="N375" s="34" t="s">
        <v>48</v>
      </c>
      <c r="O375" s="33" t="n">
        <f>125900</f>
        <v>125900.0</v>
      </c>
      <c r="P375" s="34" t="s">
        <v>71</v>
      </c>
      <c r="Q375" s="33" t="n">
        <f>126600</f>
        <v>126600.0</v>
      </c>
      <c r="R375" s="34" t="s">
        <v>51</v>
      </c>
      <c r="S375" s="35" t="n">
        <f>126545</f>
        <v>126545.0</v>
      </c>
      <c r="T375" s="32" t="n">
        <f>31051</f>
        <v>31051.0</v>
      </c>
      <c r="U375" s="32" t="n">
        <f>135</f>
        <v>135.0</v>
      </c>
      <c r="V375" s="32" t="n">
        <f>3932862306</f>
        <v>3.932862306E9</v>
      </c>
      <c r="W375" s="32" t="n">
        <f>17085306</f>
        <v>1.7085306E7</v>
      </c>
      <c r="X375" s="36" t="n">
        <f>20</f>
        <v>20.0</v>
      </c>
    </row>
    <row r="376">
      <c r="A376" s="27" t="s">
        <v>42</v>
      </c>
      <c r="B376" s="27" t="s">
        <v>1182</v>
      </c>
      <c r="C376" s="27" t="s">
        <v>1183</v>
      </c>
      <c r="D376" s="27" t="s">
        <v>1184</v>
      </c>
      <c r="E376" s="28" t="s">
        <v>46</v>
      </c>
      <c r="F376" s="29" t="s">
        <v>46</v>
      </c>
      <c r="G376" s="30" t="s">
        <v>46</v>
      </c>
      <c r="H376" s="31"/>
      <c r="I376" s="31" t="s">
        <v>601</v>
      </c>
      <c r="J376" s="32" t="n">
        <v>1.0</v>
      </c>
      <c r="K376" s="33" t="n">
        <f>72300</f>
        <v>72300.0</v>
      </c>
      <c r="L376" s="34" t="s">
        <v>48</v>
      </c>
      <c r="M376" s="33" t="n">
        <f>72600</f>
        <v>72600.0</v>
      </c>
      <c r="N376" s="34" t="s">
        <v>48</v>
      </c>
      <c r="O376" s="33" t="n">
        <f>69000</f>
        <v>69000.0</v>
      </c>
      <c r="P376" s="34" t="s">
        <v>245</v>
      </c>
      <c r="Q376" s="33" t="n">
        <f>72200</f>
        <v>72200.0</v>
      </c>
      <c r="R376" s="34" t="s">
        <v>51</v>
      </c>
      <c r="S376" s="35" t="n">
        <f>71715</f>
        <v>71715.0</v>
      </c>
      <c r="T376" s="32" t="n">
        <f>2149</f>
        <v>2149.0</v>
      </c>
      <c r="U376" s="32" t="n">
        <f>17</f>
        <v>17.0</v>
      </c>
      <c r="V376" s="32" t="n">
        <f>153215200</f>
        <v>1.532152E8</v>
      </c>
      <c r="W376" s="32" t="n">
        <f>1208900</f>
        <v>1208900.0</v>
      </c>
      <c r="X376" s="36" t="n">
        <f>20</f>
        <v>20.0</v>
      </c>
    </row>
    <row r="377">
      <c r="A377" s="27" t="s">
        <v>42</v>
      </c>
      <c r="B377" s="27" t="s">
        <v>1185</v>
      </c>
      <c r="C377" s="27" t="s">
        <v>1186</v>
      </c>
      <c r="D377" s="27" t="s">
        <v>1187</v>
      </c>
      <c r="E377" s="28" t="s">
        <v>46</v>
      </c>
      <c r="F377" s="29" t="s">
        <v>46</v>
      </c>
      <c r="G377" s="30" t="s">
        <v>46</v>
      </c>
      <c r="H377" s="31"/>
      <c r="I377" s="31" t="s">
        <v>601</v>
      </c>
      <c r="J377" s="32" t="n">
        <v>1.0</v>
      </c>
      <c r="K377" s="33" t="n">
        <f>127900</f>
        <v>127900.0</v>
      </c>
      <c r="L377" s="34" t="s">
        <v>48</v>
      </c>
      <c r="M377" s="33" t="n">
        <f>128800</f>
        <v>128800.0</v>
      </c>
      <c r="N377" s="34" t="s">
        <v>160</v>
      </c>
      <c r="O377" s="33" t="n">
        <f>125800</f>
        <v>125800.0</v>
      </c>
      <c r="P377" s="34" t="s">
        <v>245</v>
      </c>
      <c r="Q377" s="33" t="n">
        <f>128300</f>
        <v>128300.0</v>
      </c>
      <c r="R377" s="34" t="s">
        <v>51</v>
      </c>
      <c r="S377" s="35" t="n">
        <f>127330</f>
        <v>127330.0</v>
      </c>
      <c r="T377" s="32" t="n">
        <f>7085</f>
        <v>7085.0</v>
      </c>
      <c r="U377" s="32" t="n">
        <f>212</f>
        <v>212.0</v>
      </c>
      <c r="V377" s="32" t="n">
        <f>901968992</f>
        <v>9.01968992E8</v>
      </c>
      <c r="W377" s="32" t="n">
        <f>26923992</f>
        <v>2.6923992E7</v>
      </c>
      <c r="X377" s="36" t="n">
        <f>20</f>
        <v>20.0</v>
      </c>
    </row>
    <row r="378">
      <c r="A378" s="27" t="s">
        <v>42</v>
      </c>
      <c r="B378" s="27" t="s">
        <v>1188</v>
      </c>
      <c r="C378" s="27" t="s">
        <v>1189</v>
      </c>
      <c r="D378" s="27" t="s">
        <v>1190</v>
      </c>
      <c r="E378" s="28" t="s">
        <v>46</v>
      </c>
      <c r="F378" s="29" t="s">
        <v>46</v>
      </c>
      <c r="G378" s="30" t="s">
        <v>46</v>
      </c>
      <c r="H378" s="31"/>
      <c r="I378" s="31" t="s">
        <v>601</v>
      </c>
      <c r="J378" s="32" t="n">
        <v>1.0</v>
      </c>
      <c r="K378" s="33" t="n">
        <f>95900</f>
        <v>95900.0</v>
      </c>
      <c r="L378" s="34" t="s">
        <v>48</v>
      </c>
      <c r="M378" s="33" t="n">
        <f>96500</f>
        <v>96500.0</v>
      </c>
      <c r="N378" s="34" t="s">
        <v>62</v>
      </c>
      <c r="O378" s="33" t="n">
        <f>94800</f>
        <v>94800.0</v>
      </c>
      <c r="P378" s="34" t="s">
        <v>172</v>
      </c>
      <c r="Q378" s="33" t="n">
        <f>95800</f>
        <v>95800.0</v>
      </c>
      <c r="R378" s="34" t="s">
        <v>51</v>
      </c>
      <c r="S378" s="35" t="n">
        <f>95650</f>
        <v>95650.0</v>
      </c>
      <c r="T378" s="32" t="n">
        <f>6748</f>
        <v>6748.0</v>
      </c>
      <c r="U378" s="32" t="n">
        <f>8</f>
        <v>8.0</v>
      </c>
      <c r="V378" s="32" t="n">
        <f>645433500</f>
        <v>6.454335E8</v>
      </c>
      <c r="W378" s="32" t="n">
        <f>765400</f>
        <v>765400.0</v>
      </c>
      <c r="X378" s="36" t="n">
        <f>20</f>
        <v>20.0</v>
      </c>
    </row>
    <row r="379">
      <c r="A379" s="27" t="s">
        <v>42</v>
      </c>
      <c r="B379" s="27" t="s">
        <v>1191</v>
      </c>
      <c r="C379" s="27" t="s">
        <v>1192</v>
      </c>
      <c r="D379" s="27" t="s">
        <v>1193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96900</f>
        <v>96900.0</v>
      </c>
      <c r="L379" s="34" t="s">
        <v>48</v>
      </c>
      <c r="M379" s="33" t="n">
        <f>96900</f>
        <v>96900.0</v>
      </c>
      <c r="N379" s="34" t="s">
        <v>48</v>
      </c>
      <c r="O379" s="33" t="n">
        <f>94000</f>
        <v>94000.0</v>
      </c>
      <c r="P379" s="34" t="s">
        <v>80</v>
      </c>
      <c r="Q379" s="33" t="n">
        <f>94500</f>
        <v>94500.0</v>
      </c>
      <c r="R379" s="34" t="s">
        <v>51</v>
      </c>
      <c r="S379" s="35" t="n">
        <f>95615</f>
        <v>95615.0</v>
      </c>
      <c r="T379" s="32" t="n">
        <f>21917</f>
        <v>21917.0</v>
      </c>
      <c r="U379" s="32" t="n">
        <f>16</f>
        <v>16.0</v>
      </c>
      <c r="V379" s="32" t="n">
        <f>2093005700</f>
        <v>2.0930057E9</v>
      </c>
      <c r="W379" s="32" t="n">
        <f>1533400</f>
        <v>1533400.0</v>
      </c>
      <c r="X379" s="36" t="n">
        <f>20</f>
        <v>20.0</v>
      </c>
    </row>
    <row r="380">
      <c r="A380" s="27" t="s">
        <v>42</v>
      </c>
      <c r="B380" s="27" t="s">
        <v>1194</v>
      </c>
      <c r="C380" s="27" t="s">
        <v>1195</v>
      </c>
      <c r="D380" s="27" t="s">
        <v>1196</v>
      </c>
      <c r="E380" s="28" t="s">
        <v>46</v>
      </c>
      <c r="F380" s="29" t="s">
        <v>46</v>
      </c>
      <c r="G380" s="30" t="s">
        <v>46</v>
      </c>
      <c r="H380" s="31"/>
      <c r="I380" s="31" t="s">
        <v>601</v>
      </c>
      <c r="J380" s="32" t="n">
        <v>1.0</v>
      </c>
      <c r="K380" s="33" t="n">
        <f>95800</f>
        <v>95800.0</v>
      </c>
      <c r="L380" s="34" t="s">
        <v>48</v>
      </c>
      <c r="M380" s="33" t="n">
        <f>95900</f>
        <v>95900.0</v>
      </c>
      <c r="N380" s="34" t="s">
        <v>48</v>
      </c>
      <c r="O380" s="33" t="n">
        <f>91700</f>
        <v>91700.0</v>
      </c>
      <c r="P380" s="34" t="s">
        <v>80</v>
      </c>
      <c r="Q380" s="33" t="n">
        <f>92200</f>
        <v>92200.0</v>
      </c>
      <c r="R380" s="34" t="s">
        <v>51</v>
      </c>
      <c r="S380" s="35" t="n">
        <f>94275</f>
        <v>94275.0</v>
      </c>
      <c r="T380" s="32" t="n">
        <f>21992</f>
        <v>21992.0</v>
      </c>
      <c r="U380" s="32" t="n">
        <f>106</f>
        <v>106.0</v>
      </c>
      <c r="V380" s="32" t="n">
        <f>2065045000</f>
        <v>2.065045E9</v>
      </c>
      <c r="W380" s="32" t="n">
        <f>9921800</f>
        <v>9921800.0</v>
      </c>
      <c r="X380" s="36" t="n">
        <f>20</f>
        <v>20.0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