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4" r:id="rId1" sheetId="1"/>
  </sheets>
  <definedNames>
    <definedName localSheetId="0" name="_xlnm.Print_Titles">BO_EM0004!$1:$6</definedName>
  </definedNames>
  <calcPr calcId="145621"/>
</workbook>
</file>

<file path=xl/sharedStrings.xml><?xml version="1.0" encoding="utf-8"?>
<sst xmlns="http://schemas.openxmlformats.org/spreadsheetml/2006/main" count="4566" uniqueCount="1197">
  <si>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</si>
  <si>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eb="1" sb="0">
      <t>トウ</t>
    </rPh>
    <rPh eb="3" sb="2">
      <t>シン</t>
    </rPh>
    <rPh eb="5" sb="4">
      <t>トウ</t>
    </rPh>
    <rPh eb="7" sb="6">
      <t>ソウ</t>
    </rPh>
    <rPh eb="9" sb="8">
      <t>バ</t>
    </rPh>
    <rPh eb="11" sb="10">
      <t>ヒョウ</t>
    </rPh>
    <phoneticPr fontId="3"/>
  </si>
  <si>
    <t>Investment Trust Quotations</t>
    <phoneticPr fontId="3"/>
  </si>
  <si>
    <t>年月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</si>
  <si>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</si>
  <si>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</si>
  <si>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</si>
  <si>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</si>
  <si>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</si>
  <si>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eb="2" sb="0">
      <t>ヒヅケ</t>
    </rPh>
    <phoneticPr fontId="3"/>
  </si>
  <si>
    <t>区分</t>
  </si>
  <si>
    <t>信用・貸借</t>
    <rPh eb="2" sb="0">
      <t>シンヨウ</t>
    </rPh>
    <rPh eb="5" sb="3">
      <t>タイシャク</t>
    </rPh>
    <phoneticPr fontId="3"/>
  </si>
  <si>
    <t>売買単位</t>
    <rPh eb="2" sb="0">
      <t>バイバイ</t>
    </rPh>
    <rPh eb="4" sb="2">
      <t>タンイ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</si>
  <si>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</si>
  <si>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</si>
  <si>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</si>
  <si>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</si>
  <si>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</si>
  <si>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売買高</t>
    <rPh eb="3" sb="0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</si>
  <si>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</si>
  <si>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</si>
  <si>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</si>
  <si>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値付日数</t>
    <rPh eb="2" sb="0">
      <t>ネツ</t>
    </rPh>
    <rPh eb="4" sb="2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</si>
  <si>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</si>
  <si>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</si>
  <si>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</si>
  <si>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</si>
  <si>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</si>
  <si>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</si>
  <si>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</si>
  <si>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</si>
  <si>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</si>
  <si>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</si>
  <si>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</si>
  <si>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</si>
  <si>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</si>
  <si>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</si>
  <si>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</si>
  <si>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</si>
  <si>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</si>
  <si>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</si>
  <si>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</si>
  <si>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2023/08</t>
  </si>
  <si>
    <t>1305</t>
  </si>
  <si>
    <t>ｉＦｒｅｅＥＴＦ　ＴＯＰＩＸ（年１回決算型）　受益証券</t>
  </si>
  <si>
    <t>iFreeETF TOPIX (Yearly Dividend Type)</t>
  </si>
  <si>
    <t/>
  </si>
  <si>
    <t>貸借</t>
  </si>
  <si>
    <t>1</t>
  </si>
  <si>
    <t>17</t>
  </si>
  <si>
    <t>31</t>
  </si>
  <si>
    <t>1306</t>
  </si>
  <si>
    <t>ＮＥＸＴ　ＦＵＮＤＳ　ＴＯＰＩＸ連動型上場投信　受益証券</t>
  </si>
  <si>
    <t>NEXT FUNDS TOPIX Exchange Traded Fund</t>
  </si>
  <si>
    <t>1308</t>
  </si>
  <si>
    <t>上場インデックスファンドＴＯＰＩＸ　受益証券</t>
  </si>
  <si>
    <t>Nikko Exchange Traded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</si>
  <si>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</si>
  <si>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</si>
  <si>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</si>
  <si>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22</t>
  </si>
  <si>
    <t>1311</t>
  </si>
  <si>
    <t>ＮＥＸＴ　ＦＵＮＤＳ　ＴＯＰＩＸ　Ｃｏｒｅ　３０連動型上場投信　受益証券</t>
  </si>
  <si>
    <t>NEXT FUNDS TOPIX Core 30 Exchange Traded Fund</t>
  </si>
  <si>
    <t>1319</t>
  </si>
  <si>
    <t>ＮＥＸＴ　ＦＵＮＤＳ　日経３００株価指数連動型上場投信　受益証券</t>
  </si>
  <si>
    <t>NEXT FUNDS Nikkei 300 Index Exchange Traded Fund</t>
  </si>
  <si>
    <t>30</t>
  </si>
  <si>
    <t>21</t>
  </si>
  <si>
    <t>1320</t>
  </si>
  <si>
    <t>ｉＦｒｅｅＥＴＦ　日経２２５（年１回決算型）　受益証券</t>
  </si>
  <si>
    <t>iFreeETF Nikkei225 (Yearly Dividend Type)</t>
  </si>
  <si>
    <t>18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</si>
  <si>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</si>
  <si>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</si>
  <si>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</si>
  <si>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</si>
  <si>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</si>
  <si>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</si>
  <si>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8</t>
  </si>
  <si>
    <t>24</t>
  </si>
  <si>
    <t>1324</t>
  </si>
  <si>
    <t>ＮＥＸＴ　ＦＵＮＤＳ　ロシア株式指数連動型上場投信　受益証券</t>
  </si>
  <si>
    <t>NEXT FUNDS Russian Equity Index Exchange Traded Fund</t>
  </si>
  <si>
    <t>1325</t>
  </si>
  <si>
    <t>ＮＥＸＴ　ＦＵＮＤＳ　ブラジル株式指数・ボベスパ連動型上場投信　受益証券</t>
  </si>
  <si>
    <t>NEXT FUNDS Ibovespa Linked Exchange Traded Fund</t>
  </si>
  <si>
    <t>1326</t>
  </si>
  <si>
    <t>ＳＰＤＲゴールド・シェア　受益証券</t>
  </si>
  <si>
    <t>SPDR Gold Shares</t>
  </si>
  <si>
    <t>1328</t>
  </si>
  <si>
    <t>ＮＥＸＴ　ＦＵＮＤＳ　金価格連動型上場投信　受益証券</t>
  </si>
  <si>
    <t>NEXT FUNDS Gold Price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</si>
  <si>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</si>
  <si>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</si>
  <si>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</si>
  <si>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</si>
  <si>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</si>
  <si>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Nikko Exchange Traded Index Fund 225</t>
  </si>
  <si>
    <t>1343</t>
  </si>
  <si>
    <t>ＮＥＸＴ　ＦＵＮＤＳ　東証ＲＥＩＴ　指数連動型上場投信　受益証券</t>
  </si>
  <si>
    <t>NEXT FUNDS REIT INDEX ETF</t>
  </si>
  <si>
    <t>1345</t>
  </si>
  <si>
    <t>上場インデックスファンドＪリート（東証ＲＥＩＴ指数）隔月分配型　受益証券</t>
  </si>
  <si>
    <t>Listed Index Fund J-REIT (Tokyo Stock Exchange REIT Index)Bi-Monthly Dividend Payment Type</t>
  </si>
  <si>
    <t>1346</t>
  </si>
  <si>
    <t>ＭＡＸＩＳ　日経２２５上場投信　受益証券</t>
  </si>
  <si>
    <t>MAXIS NIKKEI 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</si>
  <si>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</si>
  <si>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</si>
  <si>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</si>
  <si>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</si>
  <si>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</si>
  <si>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</si>
  <si>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14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</si>
  <si>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</si>
  <si>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</si>
  <si>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</si>
  <si>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</si>
  <si>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</si>
  <si>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Exchange Traded Fund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</si>
  <si>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</si>
  <si>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</si>
  <si>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</si>
  <si>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</si>
  <si>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</si>
  <si>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</si>
  <si>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</si>
  <si>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</si>
  <si>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</si>
  <si>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</si>
  <si>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ｉＦｒｅｅＥＴＦ　日経平均レバレッジ・インデックス　受益証券</t>
  </si>
  <si>
    <t>iFreeETF Nikkei225 Leveraged Index</t>
  </si>
  <si>
    <t>1366</t>
  </si>
  <si>
    <t>ｉＦｒｅｅＥＴＦ　日経平均ダブルインバース・インデックス　受益証券</t>
  </si>
  <si>
    <t>iFreeETF Nikkei225 Double Inverse Index</t>
  </si>
  <si>
    <t>1367</t>
  </si>
  <si>
    <t>ｉＦｒｅｅＥＴＦ　ＴＯＰＩＸレバレッジ（２倍）指数　受益証券</t>
  </si>
  <si>
    <t>iFreeETF TOPIX Leveraged (2x) Index</t>
  </si>
  <si>
    <t>1368</t>
  </si>
  <si>
    <t>ｉＦｒｅｅＥＴＦ　ＴＯＰＩＸダブルインバース（－２倍）指数　受益証券</t>
  </si>
  <si>
    <t>iFreeETF TOPIX Double Inverse (-2x) Index</t>
  </si>
  <si>
    <t>1369</t>
  </si>
  <si>
    <t>Ｏｎｅ　ＥＴＦ　日経２２５　受益証券</t>
  </si>
  <si>
    <t>One ETF Nikkei225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</si>
  <si>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</si>
  <si>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</si>
  <si>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</si>
  <si>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</si>
  <si>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</si>
  <si>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</si>
  <si>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</si>
  <si>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</si>
  <si>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</si>
  <si>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4</t>
  </si>
  <si>
    <t>1456</t>
  </si>
  <si>
    <t>ｉＦｒｅｅＥＴＦ　日経平均インバース・インデックス　受益証券</t>
  </si>
  <si>
    <t>iFreeETF Nikkei225 Inverse Index</t>
  </si>
  <si>
    <t>1457</t>
  </si>
  <si>
    <t>ｉＦｒｅｅＥＴＦ　ＴＯＰＩＸインバース（－１倍）指数　受益証券</t>
  </si>
  <si>
    <t>iFreeETF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</si>
  <si>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</si>
  <si>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</si>
  <si>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</si>
  <si>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</si>
  <si>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</si>
  <si>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</si>
  <si>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1464</t>
  </si>
  <si>
    <t>ｉＦｒｅｅＥＴＦ　ＪＰＸ日経４００レバレッジ・インデックス　受益証券</t>
  </si>
  <si>
    <t>iFreeETF JPX-Nikkei400 Leveraged (2x) Index</t>
  </si>
  <si>
    <t>1465</t>
  </si>
  <si>
    <t>ｉＦｒｅｅＥＴＦ　ＪＰＸ日経４００インバース・インデックス　受益証券</t>
  </si>
  <si>
    <t>iFreeETF JPX-Nikkei400 Inverse (-1x) Index</t>
  </si>
  <si>
    <t>3</t>
  </si>
  <si>
    <t>29</t>
  </si>
  <si>
    <t>1466</t>
  </si>
  <si>
    <t>ｉＦｒｅｅＥＴＦ　ＪＰＸ日経４００ダブルインバース・インデックス　受益証券</t>
  </si>
  <si>
    <t>iFreeETF JPX-Nikkei400 Double Inverse (-2x) Index</t>
  </si>
  <si>
    <t>1469</t>
  </si>
  <si>
    <t>ＪＰＸ日経４００ベア２倍上場投信（ダブルインバース）　受益証券</t>
  </si>
  <si>
    <t>JPX-Nikkei 400 Bear -2x Double Inverse ETF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</si>
  <si>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</si>
  <si>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</si>
  <si>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</si>
  <si>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</si>
  <si>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</si>
  <si>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</si>
  <si>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</si>
  <si>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</si>
  <si>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</si>
  <si>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</si>
  <si>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</si>
  <si>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</si>
  <si>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</si>
  <si>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</si>
  <si>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</si>
  <si>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</si>
  <si>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</si>
  <si>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</si>
  <si>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</si>
  <si>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</si>
  <si>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</si>
  <si>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1479</t>
  </si>
  <si>
    <t>ｉＦｒｅｅＥＴＦ　ＭＳＣＩ日本株人材設備投資指数　受益証券</t>
  </si>
  <si>
    <t>iFreeETF MSCI Japan Human and Physical Investment Index</t>
  </si>
  <si>
    <t>10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</si>
  <si>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</si>
  <si>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</si>
  <si>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</si>
  <si>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2</t>
  </si>
  <si>
    <t>1481</t>
  </si>
  <si>
    <t>上場インデックスファンド日本経済貢献株　受益証券</t>
  </si>
  <si>
    <t>Listed Index Fund Japanese Economy Contributor Stocks</t>
  </si>
  <si>
    <t>7</t>
  </si>
  <si>
    <t>1482</t>
  </si>
  <si>
    <t>ｉシェアーズ・コア　米国債７－１０年　ＥＴＦ（為替ヘッジあり）　受益証券</t>
  </si>
  <si>
    <t>iShares Core 7-10 Year US Treasury Bond JPY Hedged ETF</t>
  </si>
  <si>
    <t>1483</t>
  </si>
  <si>
    <t>ｉシェアーズ　ＪＰＸ／Ｓ＆Ｐ設備・人材投資　ＥＴＦ　受益証券</t>
  </si>
  <si>
    <t>iShares JPX/S&amp;P CAPEX &amp; Human Capital ETF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</si>
  <si>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</si>
  <si>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</si>
  <si>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</si>
  <si>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</si>
  <si>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</si>
  <si>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</si>
  <si>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</si>
  <si>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</si>
  <si>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</si>
  <si>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</si>
  <si>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</si>
  <si>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</si>
  <si>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1488</t>
  </si>
  <si>
    <t>ｉＦｒｅｅＥＴＦ　東証ＲＥＩＴ指数　受益証券</t>
  </si>
  <si>
    <t>iFreeETF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</si>
  <si>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</si>
  <si>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</si>
  <si>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</si>
  <si>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</si>
  <si>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</si>
  <si>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</si>
  <si>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25</t>
  </si>
  <si>
    <t>1492</t>
  </si>
  <si>
    <t>ＭＡＸＩＳ　ＪＰＸ　日経中小型株指数上場投信　受益証券</t>
  </si>
  <si>
    <t>MAXIS JPX-Nikkei Mid and Small Cap Index ETF</t>
  </si>
  <si>
    <t>16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</si>
  <si>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</si>
  <si>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</si>
  <si>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</si>
  <si>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</si>
  <si>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</si>
  <si>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</si>
  <si>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</si>
  <si>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</si>
  <si>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</si>
  <si>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</si>
  <si>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</si>
  <si>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</si>
  <si>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</si>
  <si>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</si>
  <si>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</si>
  <si>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</si>
  <si>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</si>
  <si>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</si>
  <si>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</si>
  <si>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</si>
  <si>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</si>
  <si>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</si>
  <si>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</si>
  <si>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</si>
  <si>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</si>
  <si>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</si>
  <si>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</si>
  <si>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</si>
  <si>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</si>
  <si>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</si>
  <si>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9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</si>
  <si>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</si>
  <si>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</si>
  <si>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</si>
  <si>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</si>
  <si>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ＮＡＳＤＡＱ－１００（為替ヘッジなし）連動型上場投信　受益証券</t>
  </si>
  <si>
    <t>NEXT FUNDS NASDAQ-100(R) (Unhedged) Exchange Traded Fund</t>
  </si>
  <si>
    <t>1546</t>
  </si>
  <si>
    <t>ＮＥＸＴ　ＦＵＮＤＳ　ダウ・ジョーンズ工業株３０種平均株価（為替ヘッジなし）連動型上場投信　受益証券</t>
  </si>
  <si>
    <t>NEXT FUNDS DJIA (Unhedged)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</si>
  <si>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</si>
  <si>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</si>
  <si>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</si>
  <si>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</si>
  <si>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</si>
  <si>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</si>
  <si>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</si>
  <si>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東証スタンダードＴＯＰ２０ＥＴＦ　受益証券</t>
  </si>
  <si>
    <t>TSE Standard Top 20 ETF</t>
  </si>
  <si>
    <t>1552</t>
  </si>
  <si>
    <t>国際のＥＴＦ　ＶＩＸ短期先物指数　受益証券</t>
  </si>
  <si>
    <t>KOKUSAI S&amp;P500 VIX SHORT-TERM FUTURES INDEX ETF</t>
  </si>
  <si>
    <t>確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</si>
  <si>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</si>
  <si>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</si>
  <si>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</si>
  <si>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</si>
  <si>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Ａ－ＲＥＩＴ）　受益証券</t>
  </si>
  <si>
    <t>Listed Index Fund Australian REIT (S&amp;P/ASX200 A-REIT)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</si>
  <si>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</si>
  <si>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</si>
  <si>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</si>
  <si>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</si>
  <si>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</si>
  <si>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</si>
  <si>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</si>
  <si>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</si>
  <si>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</si>
  <si>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23</t>
  </si>
  <si>
    <t>1563</t>
  </si>
  <si>
    <t>東証グロース・コアＥＴＦ　受益証券</t>
  </si>
  <si>
    <t>TSE Growth Core ETF</t>
  </si>
  <si>
    <t>1566</t>
  </si>
  <si>
    <t>上場インデックスファンド新興国債券　受益証券</t>
  </si>
  <si>
    <t>Listed Index Fund Emerging Bond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</si>
  <si>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</si>
  <si>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</si>
  <si>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</si>
  <si>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</si>
  <si>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</si>
  <si>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</si>
  <si>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</si>
  <si>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</si>
  <si>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</si>
  <si>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</si>
  <si>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</si>
  <si>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</si>
  <si>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</si>
  <si>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</si>
  <si>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</si>
  <si>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</si>
  <si>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</si>
  <si>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</si>
  <si>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1577</t>
  </si>
  <si>
    <t>ＮＥＸＴ　ＦＵＮＤＳ　野村日本株高配当７０連動型上場投信　受益証券</t>
  </si>
  <si>
    <t>NEXT FUNDS Nomura Japan Equity High Dividend 70 Exchange Traded Fund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</si>
  <si>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</si>
  <si>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</si>
  <si>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</si>
  <si>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</si>
  <si>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</si>
  <si>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</si>
  <si>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</si>
  <si>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</si>
  <si>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</si>
  <si>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1585</t>
  </si>
  <si>
    <t>ｉＦｒｅｅＥＴＦ　ＴＯＰＩＸ　Ｅｘ－Ｆｉｎａｎｃｉａｌｓ　受益証券</t>
  </si>
  <si>
    <t>iFreeETF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</si>
  <si>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</si>
  <si>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</si>
  <si>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</si>
  <si>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</si>
  <si>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</si>
  <si>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</si>
  <si>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</si>
  <si>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</si>
  <si>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</si>
  <si>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</si>
  <si>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</si>
  <si>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</si>
  <si>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</si>
  <si>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</si>
  <si>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</si>
  <si>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</si>
  <si>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</si>
  <si>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</si>
  <si>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28</t>
  </si>
  <si>
    <t>1597</t>
  </si>
  <si>
    <t>ＭＡＸＩＳ　Ｊリート上場投信　受益証券</t>
  </si>
  <si>
    <t>MAXIS J-REIT ETF</t>
  </si>
  <si>
    <t>1599</t>
  </si>
  <si>
    <t>ｉＦｒｅｅＥＴＦ　ＪＰＸ日経４００　受益証券</t>
  </si>
  <si>
    <t>iFreeETF JPX-Nikkei400</t>
  </si>
  <si>
    <t>1615</t>
  </si>
  <si>
    <t>ＮＥＸＴ　ＦＵＮＤＳ　東証銀行業株価指数連動型上場投信　受益証券</t>
  </si>
  <si>
    <t>NEXT FUNDS 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</si>
  <si>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</si>
  <si>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</si>
  <si>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</si>
  <si>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</si>
  <si>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</si>
  <si>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</si>
  <si>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</si>
  <si>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</si>
  <si>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</si>
  <si>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</si>
  <si>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</si>
  <si>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</si>
  <si>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</si>
  <si>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</si>
  <si>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</si>
  <si>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</si>
  <si>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</si>
  <si>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</si>
  <si>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</si>
  <si>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</si>
  <si>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</si>
  <si>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</si>
  <si>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</si>
  <si>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</si>
  <si>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</si>
  <si>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</si>
  <si>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</si>
  <si>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</si>
  <si>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</si>
  <si>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</si>
  <si>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</si>
  <si>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</si>
  <si>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</si>
  <si>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</si>
  <si>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</si>
  <si>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</si>
  <si>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</si>
  <si>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</si>
  <si>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</si>
  <si>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</si>
  <si>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</si>
  <si>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</si>
  <si>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</si>
  <si>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</si>
  <si>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</si>
  <si>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</si>
  <si>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</si>
  <si>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</si>
  <si>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</si>
  <si>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</si>
  <si>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</si>
  <si>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1651</t>
  </si>
  <si>
    <t>ｉＦｒｅｅＥＴＦ　ＴＯＰＩＸ高配当４０指数　受益証券</t>
  </si>
  <si>
    <t>iFreeETF TOPIX High Dividend Yield 40 Index</t>
  </si>
  <si>
    <t>1652</t>
  </si>
  <si>
    <t>ｉＦｒｅｅＥＴＦ　ＭＳＣＩ日本株女性活躍指数（ＷＩＮ）　受益証券</t>
  </si>
  <si>
    <t>iFreeETF MSCI Japan Empowering Women Index (WIN)</t>
  </si>
  <si>
    <t>1653</t>
  </si>
  <si>
    <t>ｉＦｒｅｅＥＴＦ　ＭＳＣＩジャパンＥＳＧセレクト・リーダーズ指数　受益証券</t>
  </si>
  <si>
    <t>iFreeETF MSCI Japan ESG Select Leaders Index</t>
  </si>
  <si>
    <t>1654</t>
  </si>
  <si>
    <t>ｉＦｒｅｅＥＴＦ　ＦＴＳＥ　Ｂｌｏｓｓｏｍ　Ｊａｐａｎ　Ｉｎｄｅｘ　受益証券</t>
  </si>
  <si>
    <t>iFreeETF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</si>
  <si>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</si>
  <si>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</si>
  <si>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</si>
  <si>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</si>
  <si>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</si>
  <si>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</si>
  <si>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</si>
  <si>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</si>
  <si>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</si>
  <si>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</si>
  <si>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</si>
  <si>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</si>
  <si>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</si>
  <si>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</si>
  <si>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</si>
  <si>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</si>
  <si>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</si>
  <si>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</si>
  <si>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</si>
  <si>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</si>
  <si>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</si>
  <si>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</si>
  <si>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</si>
  <si>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</si>
  <si>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</si>
  <si>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</si>
  <si>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</si>
  <si>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</si>
  <si>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</si>
  <si>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</si>
  <si>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</si>
  <si>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</si>
  <si>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</si>
  <si>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</si>
  <si>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</si>
  <si>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</si>
  <si>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</si>
  <si>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</si>
  <si>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</si>
  <si>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</si>
  <si>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　連動型上場投信　受益証券</t>
  </si>
  <si>
    <t>NEXT FUNDS Nifty 50 Linked Exchange Traded Fund</t>
  </si>
  <si>
    <t>1679</t>
  </si>
  <si>
    <t>Ｓｉｍｐｌｅ－Ｘ　ＮＹ　ダウ・ジョーンズ・インデックス上場投信　受益証券</t>
  </si>
  <si>
    <t>Simple-X NY Dow Jones Index ETF</t>
  </si>
  <si>
    <t>15</t>
  </si>
  <si>
    <t>1680</t>
  </si>
  <si>
    <t>上場インデックスファンド海外先進国株式（ＭＳＣＩ－ＫＯＫＵＳＡＩ）　受益証券</t>
  </si>
  <si>
    <t>Listed Index Fund International Developed Countries Equity (MSCI-KOKUSAI)</t>
  </si>
  <si>
    <t>1681</t>
  </si>
  <si>
    <t>上場インデックスファンド海外新興国株式（ＭＳＣＩ　エマージング）　受益証券</t>
  </si>
  <si>
    <t>Listed Index Fund International Emerging Countries Equity (MSCI EMERGING)</t>
  </si>
  <si>
    <t>1682</t>
  </si>
  <si>
    <t>ＮＥＸＴ　ＦＵＮＤＳ　日経・ＪＰＸ白金指数連動型上場投信　受益証券</t>
  </si>
  <si>
    <t>NEXT FUNDS Nikkei-JPX Platinum Index Linked Exchange Traded Fund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</si>
  <si>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</si>
  <si>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</si>
  <si>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</si>
  <si>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</si>
  <si>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</si>
  <si>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</si>
  <si>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</si>
  <si>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</si>
  <si>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</si>
  <si>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</si>
  <si>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</si>
  <si>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</si>
  <si>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</si>
  <si>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</si>
  <si>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</si>
  <si>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</si>
  <si>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</si>
  <si>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</si>
  <si>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</si>
  <si>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</si>
  <si>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</si>
  <si>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</si>
  <si>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</si>
  <si>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</si>
  <si>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</si>
  <si>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</si>
  <si>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</si>
  <si>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</si>
  <si>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</si>
  <si>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</si>
  <si>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</si>
  <si>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</si>
  <si>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</si>
  <si>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</si>
  <si>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</si>
  <si>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</si>
  <si>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</si>
  <si>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</si>
  <si>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</si>
  <si>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</si>
  <si>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</si>
  <si>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</si>
  <si>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</si>
  <si>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</si>
  <si>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 (TSE Dividend Focus 100)</t>
  </si>
  <si>
    <t>1699</t>
  </si>
  <si>
    <t>ＮＥＸＴ　ＦＵＮＤＳ　ＮＯＭＵＲＡ　原油インデックス連動型上場投信　受益証券</t>
  </si>
  <si>
    <t>NEXT FUNDS NOMURA Crude Oil Long Index Linked Exchange Traded Fund</t>
  </si>
  <si>
    <t>2031</t>
  </si>
  <si>
    <t>ＮＥＸＴ　ＮＯＴＥＳ　香港ハンセン・ダブル・ブル　ＥＴＮ　受益証券</t>
  </si>
  <si>
    <t>NEXT NOTES HSI Leveraged ETN</t>
  </si>
  <si>
    <t>信用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</si>
  <si>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</si>
  <si>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</si>
  <si>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</si>
  <si>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</si>
  <si>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</si>
  <si>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</si>
  <si>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</si>
  <si>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</si>
  <si>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</si>
  <si>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</si>
  <si>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</si>
  <si>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</si>
  <si>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</si>
  <si>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</si>
  <si>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</si>
  <si>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</si>
  <si>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</si>
  <si>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</si>
  <si>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</si>
  <si>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</si>
  <si>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</si>
  <si>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</si>
  <si>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</si>
  <si>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</si>
  <si>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</si>
  <si>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</si>
  <si>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</si>
  <si>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</si>
  <si>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東証マザーズ　ＥＴＮ　受益証券</t>
  </si>
  <si>
    <t>NEXT NOTES Tokyo Stock Exchange Mothers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</si>
  <si>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</si>
  <si>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</si>
  <si>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</si>
  <si>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</si>
  <si>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</si>
  <si>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</si>
  <si>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</si>
  <si>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</si>
  <si>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</si>
  <si>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</si>
  <si>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</si>
  <si>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</si>
  <si>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</si>
  <si>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</si>
  <si>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</si>
  <si>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</si>
  <si>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</si>
  <si>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</si>
  <si>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</si>
  <si>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</si>
  <si>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</si>
  <si>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</si>
  <si>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</si>
  <si>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</si>
  <si>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</si>
  <si>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</si>
  <si>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</si>
  <si>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</si>
  <si>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</si>
  <si>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</si>
  <si>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</si>
  <si>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</si>
  <si>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</si>
  <si>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</si>
  <si>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</si>
  <si>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</si>
  <si>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2070</t>
  </si>
  <si>
    <t>スマートＥＳＧ３０女性活躍（ネットリターン）ＥＴＮ　受益証券</t>
  </si>
  <si>
    <t>Smart ESG 30 Empowering Women Net Return ETN</t>
  </si>
  <si>
    <t>2071</t>
  </si>
  <si>
    <t>スマートＥＳＧ３０総合（ネットリターン）ＥＴＮ　受益証券</t>
  </si>
  <si>
    <t>Smart ESG 30 Net Return ETN</t>
  </si>
  <si>
    <t>2072</t>
  </si>
  <si>
    <t>トップシェアインデックス（ネットリターン）ＥＴＮ　受益証券</t>
  </si>
  <si>
    <t>Market Share Leaders Net Return ETN</t>
  </si>
  <si>
    <t>2073</t>
  </si>
  <si>
    <t>スマートＥＳＧ３０低カーボンリスク（ネットリターン）ＥＴＮ　受益証券</t>
  </si>
  <si>
    <t>Smart ESG 30 Low Carbon Risk Net Return ETN</t>
  </si>
  <si>
    <t>2235</t>
  </si>
  <si>
    <t>上場インデックスファンド米国株式（ダウ平均）為替ヘッジなし　受益証券</t>
  </si>
  <si>
    <t>Listed Index Fund US Equity (Dow Average) No Currency Hedge</t>
  </si>
  <si>
    <t>2236</t>
  </si>
  <si>
    <t>グローバルＸ　Ｓ＆Ｐ５００配当貴族ＥＴＦ　受益証券</t>
  </si>
  <si>
    <t>Global X S&amp;P 500 Dividend Aristocrats ETF</t>
  </si>
  <si>
    <t>2237</t>
  </si>
  <si>
    <t>ｉＦｒｅｅＥＴＦ　Ｓ＆Ｐ５００レバレッジ　受益証券</t>
  </si>
  <si>
    <t>iFreeETF S&amp;P500 Leveraged (2x)</t>
  </si>
  <si>
    <t>2238</t>
  </si>
  <si>
    <t>ｉＦｒｅｅＥＴＦ　Ｓ＆Ｐ５００インバース　受益証券</t>
  </si>
  <si>
    <t>iFreeETF S&amp;P500 Inverse</t>
  </si>
  <si>
    <t>2239</t>
  </si>
  <si>
    <t>上場インデックスファンドＳ＆Ｐ５００先物レバレッジ２倍　受益証券</t>
  </si>
  <si>
    <t>Listed Index Fund S&amp;P500 Futures Leveraged Two Times</t>
  </si>
  <si>
    <t>2240</t>
  </si>
  <si>
    <t>上場インデックスファンドＳ＆Ｐ５００先物インバース　受益証券</t>
  </si>
  <si>
    <t>Listed Index Fund S&amp;P500 Futures Inverse</t>
  </si>
  <si>
    <t>2241</t>
  </si>
  <si>
    <t>ＭＡＸＩＳ　ＮＹダウ上場投信　受益証券</t>
  </si>
  <si>
    <t>MAXIS NY Dow Industrial Average ETF</t>
  </si>
  <si>
    <t>2242</t>
  </si>
  <si>
    <t>ＭＡＸＩＳ　ＮＹダウ上場投信（為替ヘッジあり）　受益証券</t>
  </si>
  <si>
    <t>MAXIS NY Dow Industrial Average ETF (JPY Hedged)</t>
  </si>
  <si>
    <t>2243</t>
  </si>
  <si>
    <t>グローバルＸ　半導体　ＥＴＦ　受益証券</t>
  </si>
  <si>
    <t>Global X Semiconductor ETF</t>
  </si>
  <si>
    <t>2244</t>
  </si>
  <si>
    <t>グローバルＸ　ＵＳ　テック・トップ２０　ＥＴＦ　受益証券</t>
  </si>
  <si>
    <t>Global X US Tech Top 20 ETF</t>
  </si>
  <si>
    <t>2245</t>
  </si>
  <si>
    <t>ＮＥＸＴ　ＦＵＮＤＳ　ブルームバーグ・ドイツ国債（７－１０年）インデックス（為替ヘッジあり）連動型上場投信　受益証券</t>
  </si>
  <si>
    <t>NEXT FUNDS Bloomberg Germany Treasury Bond (7-10 year) Index (Yen-Hedged) Exchange Traded Fund</t>
  </si>
  <si>
    <t>2246</t>
  </si>
  <si>
    <t>ＮＥＸＴ　ＦＵＮＤＳ　ブルームバーグ・フランス国債（７－１０年）インデックス（為替ヘッジあり）連動型上場投信　受益証券</t>
  </si>
  <si>
    <t>NEXT FUNDS Bloomberg France Treasury Bond (7-10 year) Index (Yen-Hedged) Exchange Traded Fund</t>
  </si>
  <si>
    <t>2247</t>
  </si>
  <si>
    <t>ｉＦｒｅｅＥＴＦ　Ｓ＆Ｐ５００（為替ヘッジなし）　受益証券</t>
  </si>
  <si>
    <t>iFreeETF S&amp;P500 (NON HEDGED)</t>
  </si>
  <si>
    <t>2248</t>
  </si>
  <si>
    <t>ｉＦｒｅｅＥＴＦ　Ｓ＆Ｐ５００（為替ヘッジあり）　受益証券</t>
  </si>
  <si>
    <t>iFreeETF S&amp;P500 (JPY HEDGED)</t>
  </si>
  <si>
    <t>2249</t>
  </si>
  <si>
    <t>ｉＦｒｅｅＥＴＦ　Ｓ＆Ｐ５００ダブルインバース　受益証券</t>
  </si>
  <si>
    <t>iFreeETF S&amp;P500 Double Inverse (-2x)</t>
  </si>
  <si>
    <t>2250</t>
  </si>
  <si>
    <t>ｉシェアーズ　ＭＳＣＩ　ジャパン気候変動アクション　ＥＴＦ　受益証券</t>
  </si>
  <si>
    <t>iShares MSCI Japan Climate Action ETF</t>
  </si>
  <si>
    <t>2251</t>
  </si>
  <si>
    <t>ＮＥＸＴ　ＦＵＮＤＳ　ＪＰＸ国債先物ダブルインバース指数連動型上場投信　受益証券</t>
  </si>
  <si>
    <t>NEXT FUNDS JPX JGB Futures Double Inverse Index Exchange Traded Fund</t>
  </si>
  <si>
    <t>2252</t>
  </si>
  <si>
    <t>グローバルＸ　Ｍｏｒｎｉｎｇｓｔａｒ　米国中小型　Ｍｏａｔ　ＥＴＦ　受益証券</t>
  </si>
  <si>
    <t>Global X Morningstar US Small Mid Moat ETF</t>
  </si>
  <si>
    <t>2253</t>
  </si>
  <si>
    <t>グローバルＸ　スーパーディビィデンド－ＵＳ　ＥＴＦ　受益証券</t>
  </si>
  <si>
    <t>Global X SuperDividend U.S. ETF</t>
  </si>
  <si>
    <t>2254</t>
  </si>
  <si>
    <t>グローバルＸ　チャイナＥＶ＆バッテリー　ＥＴＦ　受益証券</t>
  </si>
  <si>
    <t>Global X China Electric Vehicle and Battery ETF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</si>
  <si>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</si>
  <si>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</si>
  <si>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</si>
  <si>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</si>
  <si>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</si>
  <si>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</si>
  <si>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</si>
  <si>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</si>
  <si>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</si>
  <si>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</si>
  <si>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</si>
  <si>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</si>
  <si>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</si>
  <si>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</si>
  <si>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</si>
  <si>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</si>
  <si>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</si>
  <si>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</si>
  <si>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</si>
  <si>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東証マザーズＥＴＦ　受益証券</t>
  </si>
  <si>
    <t>TSE Mothers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</si>
  <si>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</si>
  <si>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</si>
  <si>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</si>
  <si>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</si>
  <si>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</si>
  <si>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</si>
  <si>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</si>
  <si>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</si>
  <si>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</si>
  <si>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</si>
  <si>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</si>
  <si>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</si>
  <si>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</si>
  <si>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</si>
  <si>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</si>
  <si>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</si>
  <si>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</si>
  <si>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</si>
  <si>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</si>
  <si>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</si>
  <si>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</si>
  <si>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</si>
  <si>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</si>
  <si>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</si>
  <si>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</si>
  <si>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</si>
  <si>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</si>
  <si>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</si>
  <si>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</si>
  <si>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</si>
  <si>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</si>
  <si>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</si>
  <si>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</si>
  <si>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</si>
  <si>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ｉＦｒｅｅＥＴＦ　東証ＲＥＩＴ　Ｃｏｒｅ指数　受益証券</t>
  </si>
  <si>
    <t>iFreeETF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</si>
  <si>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</si>
  <si>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</si>
  <si>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</si>
  <si>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</si>
  <si>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</si>
  <si>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</si>
  <si>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</si>
  <si>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</si>
  <si>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</si>
  <si>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</si>
  <si>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</si>
  <si>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</si>
  <si>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</si>
  <si>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ブルームバーグ米国投資適格社債（１－１０年）インデックス（為替ヘッジあり）連動型上場投信　受益証券</t>
  </si>
  <si>
    <t>NEXT FUNDS Bloomberg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</si>
  <si>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</si>
  <si>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</si>
  <si>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</si>
  <si>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</si>
  <si>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</si>
  <si>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</si>
  <si>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</si>
  <si>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</si>
  <si>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</si>
  <si>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</si>
  <si>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</si>
  <si>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</si>
  <si>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</si>
  <si>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</si>
  <si>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</si>
  <si>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</si>
  <si>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</si>
  <si>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</si>
  <si>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</si>
  <si>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</si>
  <si>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</si>
  <si>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</si>
  <si>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</si>
  <si>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</si>
  <si>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</si>
  <si>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</si>
  <si>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</si>
  <si>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</si>
  <si>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</si>
  <si>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</si>
  <si>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</si>
  <si>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</si>
  <si>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</si>
  <si>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</si>
  <si>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</si>
  <si>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</si>
  <si>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>2567</t>
  </si>
  <si>
    <t>ＮＺＡＭ　上場投信　Ｓ＆Ｐ／ＪＰＸカーボン・エフィシェント指数　受益証券</t>
  </si>
  <si>
    <t>NZAM ETF S&amp;P/JPX Carbon Efficient Index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</si>
  <si>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</si>
  <si>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</si>
  <si>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</si>
  <si>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</si>
  <si>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</si>
  <si>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</si>
  <si>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2620</t>
  </si>
  <si>
    <t>ｉシェアーズ　米国債１－３年　ＥＴＦ　受益証券</t>
  </si>
  <si>
    <t>iShares 1-3 Year US Treasury Bond ETF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</si>
  <si>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</si>
  <si>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</si>
  <si>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</si>
  <si>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</si>
  <si>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</si>
  <si>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</si>
  <si>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</si>
  <si>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</si>
  <si>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</si>
  <si>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2624</t>
  </si>
  <si>
    <t>ｉＦｒｅｅＥＴＦ　日経２２５（年４回決算型）　受益証券</t>
  </si>
  <si>
    <t>iFreeETF Nikkei225 (Quarterly Dividend Type)</t>
  </si>
  <si>
    <t>2625</t>
  </si>
  <si>
    <t>ｉＦｒｅｅＥＴＦ　ＴＯＰＩＸ（年４回決算型）　受益証券</t>
  </si>
  <si>
    <t>iFreeETF TOPIX (Quarterly Dividend Type)</t>
  </si>
  <si>
    <t>2626</t>
  </si>
  <si>
    <t>グローバルＸ　デジタル・イノベーション－日本株式　ＥＴＦ　受益証券</t>
  </si>
  <si>
    <t>Global X Digital Innovation Japan ETF</t>
  </si>
  <si>
    <t>2627</t>
  </si>
  <si>
    <t>グローバルＸ　ｅコマース－日本株式　ＥＴＦ　受益証券</t>
  </si>
  <si>
    <t>Global X E-Commerce Japan ETF</t>
  </si>
  <si>
    <t>2628</t>
  </si>
  <si>
    <t>ｉＦｒｅｅＥＴＦ　中国科創板５０（ＳＴＡＲ５０）　受益証券</t>
  </si>
  <si>
    <t>iFreeETF China STAR50</t>
  </si>
  <si>
    <t>2629</t>
  </si>
  <si>
    <t>ｉＦｒｅｅＥＴＦ　中国グレーターベイエリア・イノベーション１００（ＧＢＡ１００）　受益証券</t>
  </si>
  <si>
    <t>iFreeETF China GBA100</t>
  </si>
  <si>
    <t>2630</t>
  </si>
  <si>
    <t>ＭＡＸＩＳ米国株式（Ｓ＆Ｐ５００）上場投信（為替ヘッジあり）　受益証券</t>
  </si>
  <si>
    <t>MAXIS S&amp;P500 US Equity ETF (JPY Hedged)</t>
  </si>
  <si>
    <t>2631</t>
  </si>
  <si>
    <t>ＭＡＸＩＳナスダック１００上場投信　受益証券</t>
  </si>
  <si>
    <t>MAXIS NASDAQ100 ETF</t>
  </si>
  <si>
    <t>2632</t>
  </si>
  <si>
    <t>ＭＡＸＩＳナスダック１００上場投信（為替ヘッジあり）　受益証券</t>
  </si>
  <si>
    <t>MAXIS NASDAQ100 ETF (JPY Hedged)</t>
  </si>
  <si>
    <t>2633</t>
  </si>
  <si>
    <t>ＮＥＸＴ　ＦＵＮＤＳ　Ｓ＆Ｐ　５００　指数（為替ヘッジなし）連動型上場投信　受益証券</t>
  </si>
  <si>
    <t>NEXT FUNDS S&amp;P 500 (Unhedged) Exchange Traded Fund</t>
  </si>
  <si>
    <t>2634</t>
  </si>
  <si>
    <t>ＮＥＸＴ　ＦＵＮＤＳ　Ｓ＆Ｐ　５００　指数（為替ヘッジあり）連動型上場投信　受益証券</t>
  </si>
  <si>
    <t>NEXT FUNDS S&amp;P 500 (Yen-Hedged) Exchange Traded Fund</t>
  </si>
  <si>
    <t>2635</t>
  </si>
  <si>
    <t>ＮＥＸＴ　ＦＵＮＤＳ　Ｓ＆Ｐ　５００　ＥＳＧ指数連動型上場投信　受益証券</t>
  </si>
  <si>
    <t>NEXT FUNDS S&amp;P 500 ESG Index Exchange Traded Fund</t>
  </si>
  <si>
    <t>2636</t>
  </si>
  <si>
    <t>グローバルＸ　ＭＳＣＩ　ガバナンス・クオリティ－日本株式　ＥＴＦ　受益証券</t>
  </si>
  <si>
    <t>Global X MSCI Governance-Quality Japan ETF</t>
  </si>
  <si>
    <t>2637</t>
  </si>
  <si>
    <t>グローバルＸ　クリーンテック　ＥＳＧ－日本株式　ＥＴＦ　受益証券</t>
  </si>
  <si>
    <t>Global X CleanTech ESG Japan ETF</t>
  </si>
  <si>
    <t>2638</t>
  </si>
  <si>
    <t>グローバルＸ　ロボティクス＆ＡＩ－日本株式　ＥＴＦ　受益証券</t>
  </si>
  <si>
    <t>Global X Japan Robotics &amp; AI ETF</t>
  </si>
  <si>
    <t>2639</t>
  </si>
  <si>
    <t>グローバルＸ　バイオ＆メドテック－日本株式　ＥＴＦ　受益証券</t>
  </si>
  <si>
    <t>Global X Japan Bio &amp; Med Tech ETF</t>
  </si>
  <si>
    <t>2640</t>
  </si>
  <si>
    <t>グローバルＸ　ゲーム＆アニメ－日本株式　ＥＴＦ　受益証券</t>
  </si>
  <si>
    <t>Global X Japan Games &amp; Animation ETF</t>
  </si>
  <si>
    <t>2641</t>
  </si>
  <si>
    <t>グローバルＸ　グローバルリーダーズ　ＥＳＧ－日本株式　ＥＴＦ　受益証券</t>
  </si>
  <si>
    <t>Global X Japan Global Leaders ESG ETF</t>
  </si>
  <si>
    <t>2642</t>
  </si>
  <si>
    <t>ＳＭＴ　ＥＴＦカーボン・エフィシェント日本株　受益証券</t>
  </si>
  <si>
    <t>SMT ETF Carbon Efficient Index Japan Equity</t>
  </si>
  <si>
    <t>2643</t>
  </si>
  <si>
    <t>ＮＥＸＴ　ＦＵＮＤＳ　ＭＳＣＩジャパンカントリーＥＳＧリーダーズ指数連動型上場投信　受益証券</t>
  </si>
  <si>
    <t>NEXT FUNDS MSCI Japan Country ESG Leaders Index Exchange Traded Fund</t>
  </si>
  <si>
    <t>2644</t>
  </si>
  <si>
    <t>グローバルＸ　半導体関連－日本株式　ＥＴＦ　受益証券</t>
  </si>
  <si>
    <t>Global X Japan Semiconductor ETF</t>
  </si>
  <si>
    <t>2645</t>
  </si>
  <si>
    <t>グローバルＸ　レジャー＆エンターテインメント－日本株式　ＥＴＦ　受益証券</t>
  </si>
  <si>
    <t>Global X Japan Leisure &amp; Entertainment ETF</t>
  </si>
  <si>
    <t>2646</t>
  </si>
  <si>
    <t>グローバルＸ　メタルビジネス－日本株式　ＥＴＦ　受益証券</t>
  </si>
  <si>
    <t>Global X Japan Metal Business ETF</t>
  </si>
  <si>
    <t>2647</t>
  </si>
  <si>
    <t>ＮＥＸＴ　ＦＵＮＤＳ　ブルームバーグ米国国債（７－１０年）インデックス（為替ヘッジなし）連動型上場投信　受益証券</t>
  </si>
  <si>
    <t>NEXT FUNDS Bloomberg US Treasury Bond (7-10 year) Index (Unhedged) Exchange Traded Fund</t>
  </si>
  <si>
    <t>2648</t>
  </si>
  <si>
    <t>ＮＥＸＴ　ＦＵＮＤＳ　ブルームバーグ米国国債（７－１０年）インデックス（為替ヘッジあり）連動型上場投信　受益証券</t>
  </si>
  <si>
    <t>NEXT FUNDS Bloomberg US Treasury Bond (7-10 year) Index (Yen-Hedged) Exchange Traded Fund</t>
  </si>
  <si>
    <t>2649</t>
  </si>
  <si>
    <t>ｉシェアーズ　米国政府系機関ジニーメイＭＢＳ　ＥＴＦ（為替ヘッジあり）　受益証券</t>
  </si>
  <si>
    <t>iShares Ginnie Mae MBS JPY Hedged ETF</t>
  </si>
  <si>
    <t>2836</t>
  </si>
  <si>
    <t>グローバルＸ　フィンテック－日本株式　ＥＴＦ　受益証券</t>
  </si>
  <si>
    <t>Global X Japan Fintech ETF</t>
  </si>
  <si>
    <t>2837</t>
  </si>
  <si>
    <t>グローバルＸ　中小型リーダーズ　ＥＳＧ－日本株式　ＥＴＦ　受益証券</t>
  </si>
  <si>
    <t>Global X Japan Mid &amp; Small Cap Leaders ESG ETF</t>
  </si>
  <si>
    <t>2838</t>
  </si>
  <si>
    <t>ＭＡＸＩＳ米国国債７－１０年上場投信（為替ヘッジなし）　受益証券</t>
  </si>
  <si>
    <t>MAXIS US Treasury Bond 7-10 Year ETF (Unhedged)</t>
  </si>
  <si>
    <t>2839</t>
  </si>
  <si>
    <t>ＭＡＸＩＳ米国国債７－１０年上場投信（為替ヘッジあり）　受益証券</t>
  </si>
  <si>
    <t>MAXIS US Treasury Bond 7-10 Year ETF (JPY Hedged)</t>
  </si>
  <si>
    <t>2840</t>
  </si>
  <si>
    <t>ｉＦｒｅｅＥＴＦ　ＮＡＳＤＡＱ１００（為替ヘッジなし）　受益証券</t>
  </si>
  <si>
    <t>iFreeETF NASDAQ100 (NON HEDGED)</t>
  </si>
  <si>
    <t>2841</t>
  </si>
  <si>
    <t>ｉＦｒｅｅＥＴＦ　ＮＡＳＤＡＱ１００（為替ヘッジあり）　受益証券</t>
  </si>
  <si>
    <t>iFreeETF NASDAQ100 (JPY HEDGED)</t>
  </si>
  <si>
    <t>2842</t>
  </si>
  <si>
    <t>ｉＦｒｅｅＥＴＦ　ＮＡＳＤＡＱ１００インバース　受益証券</t>
  </si>
  <si>
    <t>iFreeETF NASDAQ100 Inverse</t>
  </si>
  <si>
    <t>2843</t>
  </si>
  <si>
    <t>上場インデックスファンド豪州国債（為替ヘッジあり）　受益証券</t>
  </si>
  <si>
    <t>Listed Index Fund Australian Government Bond (Currency Hedge)</t>
  </si>
  <si>
    <t>2844</t>
  </si>
  <si>
    <t>上場インデックスファンド豪州国債（為替ヘッジなし）　受益証券</t>
  </si>
  <si>
    <t>Listed Index Fund Australian Government Bond (No Currency Hedge)</t>
  </si>
  <si>
    <t>2845</t>
  </si>
  <si>
    <t>ＮＥＸＴ　ＦＵＮＤＳ　ＮＡＳＤＡＱ－１００（為替ヘッジあり）連動型上場投信　受益証券</t>
  </si>
  <si>
    <t>NEXT FUNDS NASDAQ-100(R) (Yen-Hedged) Exchange Traded Fund</t>
  </si>
  <si>
    <t>2846</t>
  </si>
  <si>
    <t>ＮＥＸＴ　ＦＵＮＤＳ　ダウ・ジョーンズ工業株３０種平均株価（為替ヘッジあり）連動型上場投信　受益証券</t>
  </si>
  <si>
    <t>NEXT FUNDS DJIA (Yen-Hedged) Exchange Traded Fund</t>
  </si>
  <si>
    <t>2847</t>
  </si>
  <si>
    <t>グローバルＸ　新成長インフラ－日本株式　ＥＴＦ　受益証券</t>
  </si>
  <si>
    <t>Global X Japan New Growth Infrastructure ETF</t>
  </si>
  <si>
    <t>2848</t>
  </si>
  <si>
    <t>グローバルＸ　ＭＳＣＩ　気候変動対応－日本株式　ＥＴＦ　受益証券</t>
  </si>
  <si>
    <t>Global X MSCI Japan Climate Change ETF</t>
  </si>
  <si>
    <t>2849</t>
  </si>
  <si>
    <t>グローバルＸ　Ｍｏｒｎｉｎｇｓｔａｒ　高配当　ＥＳＧ－日本株式　ＥＴＦ　受益証券</t>
  </si>
  <si>
    <t>Global X Morningstar Japan High Dividend ESG ETF</t>
  </si>
  <si>
    <t>2850</t>
  </si>
  <si>
    <t>ＮＥＸＴ　ＦＵＮＤＳ　ＳｏｌａｃｔｉｖｅジャパンＥＳＧコア指数連動型上場投信　受益証券</t>
  </si>
  <si>
    <t>NEXT FUNDS Solactive Japan ESG Core Index Exchange Traded Fund</t>
  </si>
  <si>
    <t>2851</t>
  </si>
  <si>
    <t>ｉシェアーズ　ＭＳＣＩ　ジャパンＳＲＩ　ＥＴＦ　受益証券</t>
  </si>
  <si>
    <t>iShares MSCI Japan SRI ETF</t>
  </si>
  <si>
    <t>2852</t>
  </si>
  <si>
    <t>ｉシェアーズ　グリーンＪリート　ＥＴＦ　受益証券</t>
  </si>
  <si>
    <t>iShares Japan Green REIT ETF</t>
  </si>
  <si>
    <t>2853</t>
  </si>
  <si>
    <t>ｉシェアーズ　気候リスク調整世界国債　ＥＴＦ（除く日本・為替ヘッジあり）　受益証券</t>
  </si>
  <si>
    <t>iShares Climate Risk-Adjusted Global ex Japan Government Bond JPY Hedged ETF</t>
  </si>
  <si>
    <t>2854</t>
  </si>
  <si>
    <t>グローバルＸ　テック・トップ２０－日本株式　ＥＴＦ　受益証券</t>
  </si>
  <si>
    <t>Global X Japan Tech Top 20 ETF</t>
  </si>
  <si>
    <t>2855</t>
  </si>
  <si>
    <t>グローバルＸ　グリーン・Ｊ－ＲＥＩＴ　ＥＴＦ　受益証券</t>
  </si>
  <si>
    <t>Global X Green J-REIT ETF</t>
  </si>
  <si>
    <t>2856</t>
  </si>
  <si>
    <t>ｉシェアーズ　米国債３－７年　ＥＴＦ（為替ヘッジあり）　受益証券</t>
  </si>
  <si>
    <t>iShares 3-7 Year US Treasury Bond JPY Hedged ETF</t>
  </si>
  <si>
    <t>2857</t>
  </si>
  <si>
    <t>ｉシェアーズ　ドイツ国債　ＥＴＦ（為替ヘッジあり）　受益証券</t>
  </si>
  <si>
    <t>iShares Germany Government Bond JPY Hedged ETF</t>
  </si>
  <si>
    <t>2858</t>
  </si>
  <si>
    <t>グローバルＸ　日経２２５　カバード・コール　ＥＴＦ（プレミアム再投資型）　受益証券</t>
  </si>
  <si>
    <t>Global X Nikkei 225 Covered Call ETF (option premium reinvestment type)</t>
  </si>
  <si>
    <t>2859</t>
  </si>
  <si>
    <t>ＮＥＸＴ　ＦＵＮＤＳ　ユーロ・ストックス５０指数（為替ヘッジあり）連動型上場投信　受益証券</t>
  </si>
  <si>
    <t>NEXT FUNDS EURO STOXX 50 (Yen-Hedged) Exchange Traded Fund</t>
  </si>
  <si>
    <t>2860</t>
  </si>
  <si>
    <t>ＮＥＸＴ　ＦＵＮＤＳ　ドイツ株式・ＤＡＸ（為替ヘッジあり）連動型上場投信　受益証券</t>
  </si>
  <si>
    <t>NEXT FUNDS German Equity DAX (Yen-Hedged) Exchange Traded Fund</t>
  </si>
  <si>
    <t>2861</t>
  </si>
  <si>
    <t>上場インデックスファンドフランス国債（為替ヘッジなし）　受益証券</t>
  </si>
  <si>
    <t>Listed Index Fund France Government Bond (No Currency Hedge)</t>
  </si>
  <si>
    <t>2862</t>
  </si>
  <si>
    <t>上場インデックスファンドフランス国債（為替ヘッジあり）　受益証券</t>
  </si>
  <si>
    <t>Listed Index Fund France Government Bond (Currency Hedge)</t>
  </si>
  <si>
    <t>2863</t>
  </si>
  <si>
    <t>ＮＥＸＴ　ＦＵＮＤＳ　Ｓ＆Ｐ米国株式・債券バランス保守型指数（為替ヘッジあり）連動型上場投信　受益証券</t>
  </si>
  <si>
    <t>NEXT FUNDS S&amp;P US Equity and Bond Balance Conservative Index (Yen-Hedged) Exchange Traded Fund</t>
  </si>
  <si>
    <t>2864</t>
  </si>
  <si>
    <t>グローバルＸ　ロジスティクス・ＲＥＩＴ　ＥＴＦ　受益証券</t>
  </si>
  <si>
    <t>Global X Logistics REIT ETF</t>
  </si>
  <si>
    <t>2865</t>
  </si>
  <si>
    <t>グローバルＸ　ＮＡＳＤＡＱ１００・カバード・コール　ＥＴＦ　受益証券</t>
  </si>
  <si>
    <t>Global X Nasdaq 100 Covered Call ETF</t>
  </si>
  <si>
    <t>2866</t>
  </si>
  <si>
    <t>グローバルＸ　米国優先証券　ＥＴＦ　受益証券</t>
  </si>
  <si>
    <t>Global X U.S. Preferred Security ETF</t>
  </si>
  <si>
    <t>2867</t>
  </si>
  <si>
    <t>グローバルＸ　自動運転＆ＥＶ　ＥＴＦ　受益証券</t>
  </si>
  <si>
    <t>Global X Autonomous &amp; EV ETF</t>
  </si>
  <si>
    <t>2868</t>
  </si>
  <si>
    <t>グローバルＸ　Ｓ＆Ｐ５００・カバード・コール　ＥＴＦ　受益証券</t>
  </si>
  <si>
    <t>Global X S&amp;P 500 Covered Call ETF</t>
  </si>
  <si>
    <t>2869</t>
  </si>
  <si>
    <t>ｉＦｒｅｅＥＴＦ　ＮＡＳＤＡＱ１００レバレッジ　受益証券</t>
  </si>
  <si>
    <t>iFreeETF NASDAQ100 Leveraged (2x)</t>
  </si>
  <si>
    <t>2870</t>
  </si>
  <si>
    <t>ｉＦｒｅｅＥＴＦ　ＮＡＳＤＡＱ１００ダブルインバース　受益証券</t>
  </si>
  <si>
    <t>iFreeETF NASDAQ100 Double Inverse (-2x)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</si>
  <si>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</si>
  <si>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</si>
  <si>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</si>
  <si>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</si>
  <si>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</si>
  <si>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</si>
  <si>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</si>
  <si>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</si>
  <si>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</si>
  <si>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2989</t>
  </si>
  <si>
    <t>東海道リート投資法人　投資証券</t>
  </si>
  <si>
    <t>Tokaido REIT,Inc.</t>
  </si>
  <si>
    <t>3226</t>
  </si>
  <si>
    <t>日本アコモデーションファンド投資法人　投資証券</t>
  </si>
  <si>
    <t>Nippon Accommodations Fund Inc.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</si>
  <si>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</si>
  <si>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</si>
  <si>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</si>
  <si>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</si>
  <si>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</si>
  <si>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</si>
  <si>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</si>
  <si>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</si>
  <si>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</si>
  <si>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3278</t>
  </si>
  <si>
    <t>ケネディクス・レジデンシャル・ネクスト投資法人　投資証券</t>
  </si>
  <si>
    <t>Kenedix Residential Next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</si>
  <si>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</si>
  <si>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</si>
  <si>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</si>
  <si>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</si>
  <si>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</si>
  <si>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</si>
  <si>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</si>
  <si>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</si>
  <si>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</si>
  <si>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</si>
  <si>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</si>
  <si>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</si>
  <si>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</si>
  <si>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</si>
  <si>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</si>
  <si>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</si>
  <si>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</si>
  <si>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</si>
  <si>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</si>
  <si>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</si>
  <si>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</si>
  <si>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</si>
  <si>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</si>
  <si>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</si>
  <si>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</si>
  <si>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</si>
  <si>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</si>
  <si>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</si>
  <si>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</si>
  <si>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</si>
  <si>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</si>
  <si>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</si>
  <si>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</si>
  <si>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3453</t>
  </si>
  <si>
    <t>ケネディクス商業リート投資法人　投資証券</t>
  </si>
  <si>
    <t>Kenedix Retail REIT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</si>
  <si>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</si>
  <si>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</si>
  <si>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</si>
  <si>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</si>
  <si>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</si>
  <si>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</si>
  <si>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</si>
  <si>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</si>
  <si>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</si>
  <si>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</si>
  <si>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</si>
  <si>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</si>
  <si>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</si>
  <si>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</si>
  <si>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</si>
  <si>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</si>
  <si>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</si>
  <si>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</si>
  <si>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</si>
  <si>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</si>
  <si>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</si>
  <si>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</si>
  <si>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</si>
  <si>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</si>
  <si>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</si>
  <si>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大江戸温泉リート投資法人　投資証券</t>
  </si>
  <si>
    <t>Ooedo Onsen Reit Investment Corporation</t>
  </si>
  <si>
    <t>3476</t>
  </si>
  <si>
    <t>投資法人みらい　投資証券</t>
  </si>
  <si>
    <t>MIRAI Corporation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</si>
  <si>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</si>
  <si>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</si>
  <si>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</si>
  <si>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</si>
  <si>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</si>
  <si>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</si>
  <si>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</si>
  <si>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ザイマックス・リート投資法人　投資証券</t>
  </si>
  <si>
    <t>XYMAX REIT Investment Corporation</t>
  </si>
  <si>
    <t>3492</t>
  </si>
  <si>
    <t>タカラレーベン不動産投資法人　投資証券</t>
  </si>
  <si>
    <t>Takara Leben Real Estate Investment Corporation</t>
  </si>
  <si>
    <t>3493</t>
  </si>
  <si>
    <t>アドバンス・ロジスティクス投資法人　投資証券</t>
  </si>
  <si>
    <t>Advance Logistics Investment Corporation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</si>
  <si>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</si>
  <si>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</si>
  <si>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</si>
  <si>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</si>
  <si>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</si>
  <si>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</si>
  <si>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</si>
  <si>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日本都市ファンド投資法人　投資証券</t>
  </si>
  <si>
    <t>Japan Metropolitan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</si>
  <si>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</si>
  <si>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</si>
  <si>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</si>
  <si>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</si>
  <si>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</si>
  <si>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</si>
  <si>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</si>
  <si>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ＮＴＴ都市開発リート投資法人　投資証券</t>
  </si>
  <si>
    <t>NTT UD REIT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</si>
  <si>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</si>
  <si>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</si>
  <si>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</si>
  <si>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</si>
  <si>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</si>
  <si>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</si>
  <si>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</si>
  <si>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</si>
  <si>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</si>
  <si>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</si>
  <si>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森トラストリート投資法人　投資証券</t>
  </si>
  <si>
    <t>MORI TRUST REIT,Inc.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</si>
  <si>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</si>
  <si>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</si>
  <si>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</si>
  <si>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</si>
  <si>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</si>
  <si>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</si>
  <si>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</si>
  <si>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</si>
  <si>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</si>
  <si>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</si>
  <si>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</si>
  <si>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</si>
  <si>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</si>
  <si>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</si>
  <si>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</si>
  <si>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</si>
  <si>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ケネディクス・オフィス投資法人　投資証券</t>
  </si>
  <si>
    <t>Kenedix Office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</si>
  <si>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</si>
  <si>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</si>
  <si>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</si>
  <si>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</si>
  <si>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</si>
  <si>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</si>
  <si>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</si>
  <si>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</si>
  <si>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</si>
  <si>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</si>
  <si>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</si>
  <si>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</si>
  <si>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</si>
  <si>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</si>
  <si>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</si>
  <si>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</si>
  <si>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</si>
  <si>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</si>
  <si>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</si>
  <si>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</si>
  <si>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</si>
  <si>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</si>
  <si>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</si>
  <si>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</si>
  <si>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9282</t>
  </si>
  <si>
    <t>いちごグリーンインフラ投資法人　投資証券</t>
  </si>
  <si>
    <t>Ichigo Green Infrastructure Investment Corporation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</si>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</sst>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8" numFmtId="0"/>
    <xf applyAlignment="0" applyBorder="0" applyFill="0" applyFont="0" applyProtection="0" borderId="0" fillId="0" fontId="2" numFmtId="9"/>
    <xf borderId="0" fillId="0" fontId="12" numFmtId="0"/>
    <xf borderId="0" fillId="0" fontId="8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8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9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applyAlignment="0" applyFill="0" applyNumberFormat="0" applyProtection="0" borderId="30" fillId="0" fontId="31" numFmtId="0"/>
    <xf applyAlignment="0" applyFill="0" applyNumberFormat="0" applyProtection="0" borderId="31" fillId="0" fontId="32" numFmtId="0"/>
    <xf applyAlignment="0" applyFill="0" applyNumberFormat="0" applyProtection="0" borderId="32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7" fillId="7" fontId="34" numFmtId="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borderId="0" fillId="0" fontId="7" numFmtId="0"/>
    <xf applyAlignment="0" applyFill="0" applyNumberFormat="0" applyProtection="0" borderId="33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6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8" numFmtId="9"/>
    <xf applyAlignment="0" applyBorder="0" applyFill="0" applyFont="0" applyProtection="0" borderId="0" fillId="0" fontId="8" numFmtId="9">
      <alignment vertical="center"/>
    </xf>
    <xf applyAlignment="0" applyBorder="0" applyFill="0" applyFont="0" applyProtection="0" borderId="0" fillId="0" fontId="8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7" fillId="27" fontId="71" numFmtId="49"/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8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8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8" numFmtId="6"/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64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9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8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8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/>
    <xf borderId="0" fillId="0" fontId="8" numFmtId="0"/>
    <xf borderId="0" fillId="0" fontId="14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" numFmtId="0"/>
    <xf borderId="0" fillId="0" fontId="8" numFmtId="0"/>
    <xf borderId="0" fillId="0" fontId="83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3" numFmtId="0"/>
    <xf borderId="0" fillId="0" fontId="8" numFmtId="0"/>
    <xf borderId="0" fillId="0" fontId="83" numFmtId="0"/>
    <xf borderId="0" fillId="0" fontId="1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4" numFmtId="0">
      <alignment vertical="center"/>
    </xf>
    <xf borderId="0" fillId="0" fontId="8" numFmtId="0"/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/>
    <xf borderId="0" fillId="0" fontId="7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8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Font="1" applyNumberFormat="1" borderId="0" fillId="0" fontId="4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1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2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3" fillId="0" fontId="2" numFmtId="0" xfId="1">
      <alignment horizontal="center" vertical="center"/>
    </xf>
    <xf applyAlignment="1" applyBorder="1" applyFill="1" applyFont="1" applyNumberFormat="1" borderId="4" fillId="0" fontId="2" numFmtId="0" xfId="1">
      <alignment horizontal="center" vertical="center"/>
    </xf>
    <xf applyAlignment="1" applyBorder="1" applyFill="1" applyFont="1" applyNumberFormat="1" borderId="14" fillId="0" fontId="2" numFmtId="0" xfId="1">
      <alignment horizontal="center" vertical="center"/>
    </xf>
    <xf applyAlignment="1" applyBorder="1" applyFill="1" applyFont="1" applyNumberFormat="1" borderId="15" fillId="0" fontId="2" numFmtId="49" xfId="2">
      <alignment horizontal="center" vertical="center"/>
    </xf>
    <xf applyAlignment="1" applyBorder="1" applyFill="1" applyFont="1" applyNumberFormat="1" borderId="13" fillId="0" fontId="7" numFmtId="49" xfId="2">
      <alignment horizontal="center" vertical="center"/>
    </xf>
    <xf applyAlignment="1" applyBorder="1" applyFill="1" applyFont="1" applyNumberFormat="1" borderId="16" fillId="0" fontId="2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borderId="17" fillId="0" fontId="2" numFmtId="0" xfId="1">
      <alignment horizontal="right" vertical="center"/>
    </xf>
    <xf applyAlignment="1" applyBorder="1" applyFill="1" applyFont="1" applyNumberFormat="1" borderId="6" fillId="0" fontId="2" numFmtId="0" xfId="1">
      <alignment horizontal="right" vertical="center"/>
    </xf>
    <xf applyAlignment="1" applyBorder="1" applyFill="1" applyFont="1" applyNumberFormat="1" borderId="18" fillId="0" fontId="2" numFmtId="0" xfId="1">
      <alignment horizontal="right" vertical="center"/>
    </xf>
    <xf applyAlignment="1" applyBorder="1" applyFill="1" applyFont="1" applyNumberFormat="1" borderId="19" fillId="0" fontId="2" numFmtId="0" xfId="1">
      <alignment horizontal="right" vertical="center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20" fillId="0" fontId="11" numFmtId="49" xfId="2">
      <alignment horizontal="right"/>
    </xf>
    <xf applyAlignment="1" applyBorder="1" applyFill="1" applyFont="1" applyNumberFormat="1" borderId="19" fillId="0" fontId="11" numFmtId="49" xfId="2">
      <alignment horizontal="right"/>
    </xf>
    <xf applyAlignment="1" applyBorder="1" applyFill="1" applyFont="1" applyNumberFormat="1" borderId="21" fillId="0" fontId="7" numFmtId="49" xfId="1">
      <alignment horizontal="left" vertical="center"/>
    </xf>
    <xf applyAlignment="1" applyBorder="1" applyFill="1" applyFont="1" applyNumberFormat="1" borderId="22" fillId="0" fontId="7" numFmtId="49" xfId="1">
      <alignment horizontal="left" vertical="center"/>
    </xf>
    <xf applyAlignment="1" applyBorder="1" applyFill="1" applyFont="1" applyNumberFormat="1" borderId="23" fillId="0" fontId="7" numFmtId="49" xfId="1">
      <alignment horizontal="left" vertical="center"/>
    </xf>
    <xf applyAlignment="1" applyBorder="1" applyFill="1" applyFont="1" applyNumberFormat="1" borderId="24" fillId="0" fontId="7" numFmtId="49" xfId="1">
      <alignment horizontal="left" vertical="center"/>
    </xf>
    <xf applyAlignment="1" applyBorder="1" applyFill="1" applyFont="1" applyNumberFormat="1" borderId="21" fillId="0" fontId="7" numFmtId="49" xfId="2">
      <alignment horizontal="left"/>
    </xf>
    <xf applyAlignment="1" applyBorder="1" applyFill="1" applyFont="1" applyNumberFormat="1" borderId="21" fillId="0" fontId="7" numFmtId="3" xfId="2">
      <alignment horizontal="right"/>
    </xf>
    <xf applyAlignment="1" applyBorder="1" applyFill="1" applyFont="1" applyNumberFormat="1" borderId="25" fillId="0" fontId="7" numFmtId="4" xfId="2">
      <alignment horizontal="right"/>
    </xf>
    <xf applyAlignment="1" applyBorder="1" applyFill="1" applyFont="1" applyNumberFormat="1" borderId="24" fillId="0" fontId="7" numFmtId="49" xfId="2">
      <alignment horizontal="right"/>
    </xf>
    <xf applyAlignment="1" applyBorder="1" applyFill="1" applyFont="1" applyNumberFormat="1" borderId="21" fillId="0" fontId="7" numFmtId="4" xfId="2">
      <alignment horizontal="right"/>
    </xf>
    <xf applyAlignment="1" applyBorder="1" applyFill="1" applyFont="1" applyNumberFormat="1" borderId="21" fillId="0" fontId="7" numFmtId="189" xfId="2">
      <alignment horizontal="right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382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customHeight="1" ht="13.5" r="1" spans="1:24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customHeight="1" ht="99" r="2" spans="1:24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customHeight="1" ht="39" r="3" spans="1:24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customFormat="1" customHeight="1" ht="13.5" r="4" s="2" spans="1:24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customFormat="1" customHeight="1" ht="13.5" r="7" s="2" spans="1:24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2437</f>
        <v>2437.0</v>
      </c>
      <c r="L7" s="34" t="s">
        <v>48</v>
      </c>
      <c r="M7" s="33" t="n">
        <f>2447</f>
        <v>2447.0</v>
      </c>
      <c r="N7" s="34" t="s">
        <v>48</v>
      </c>
      <c r="O7" s="33" t="n">
        <f>2330</f>
        <v>2330.0</v>
      </c>
      <c r="P7" s="34" t="s">
        <v>49</v>
      </c>
      <c r="Q7" s="33" t="n">
        <f>2438.5</f>
        <v>2438.5</v>
      </c>
      <c r="R7" s="34" t="s">
        <v>50</v>
      </c>
      <c r="S7" s="35" t="n">
        <f>2389.57</f>
        <v>2389.57</v>
      </c>
      <c r="T7" s="32" t="n">
        <f>4883100</f>
        <v>4883100.0</v>
      </c>
      <c r="U7" s="32" t="n">
        <f>734560</f>
        <v>734560.0</v>
      </c>
      <c r="V7" s="32" t="n">
        <f>11680680229</f>
        <v>1.1680680229E10</v>
      </c>
      <c r="W7" s="32" t="n">
        <f>1766842264</f>
        <v>1.766842264E9</v>
      </c>
      <c r="X7" s="36" t="n">
        <f>22</f>
        <v>22.0</v>
      </c>
    </row>
    <row r="8">
      <c r="A8" s="27" t="s">
        <v>42</v>
      </c>
      <c r="B8" s="27" t="s">
        <v>51</v>
      </c>
      <c r="C8" s="27" t="s">
        <v>52</v>
      </c>
      <c r="D8" s="27" t="s">
        <v>53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2409.5</f>
        <v>2409.5</v>
      </c>
      <c r="L8" s="34" t="s">
        <v>48</v>
      </c>
      <c r="M8" s="33" t="n">
        <f>2421</f>
        <v>2421.0</v>
      </c>
      <c r="N8" s="34" t="s">
        <v>48</v>
      </c>
      <c r="O8" s="33" t="n">
        <f>2306</f>
        <v>2306.0</v>
      </c>
      <c r="P8" s="34" t="s">
        <v>49</v>
      </c>
      <c r="Q8" s="33" t="n">
        <f>2409.5</f>
        <v>2409.5</v>
      </c>
      <c r="R8" s="34" t="s">
        <v>50</v>
      </c>
      <c r="S8" s="35" t="n">
        <f>2363.91</f>
        <v>2363.91</v>
      </c>
      <c r="T8" s="32" t="n">
        <f>51060010</f>
        <v>5.106001E7</v>
      </c>
      <c r="U8" s="32" t="n">
        <f>12902600</f>
        <v>1.29026E7</v>
      </c>
      <c r="V8" s="32" t="n">
        <f>121002246526</f>
        <v>1.21002246526E11</v>
      </c>
      <c r="W8" s="32" t="n">
        <f>30521751511</f>
        <v>3.0521751511E10</v>
      </c>
      <c r="X8" s="36" t="n">
        <f>22</f>
        <v>22.0</v>
      </c>
    </row>
    <row r="9">
      <c r="A9" s="27" t="s">
        <v>42</v>
      </c>
      <c r="B9" s="27" t="s">
        <v>54</v>
      </c>
      <c r="C9" s="27" t="s">
        <v>55</v>
      </c>
      <c r="D9" s="27" t="s">
        <v>56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1.0</v>
      </c>
      <c r="K9" s="33" t="n">
        <f>2383</f>
        <v>2383.0</v>
      </c>
      <c r="L9" s="34" t="s">
        <v>48</v>
      </c>
      <c r="M9" s="33" t="n">
        <f>2392</f>
        <v>2392.0</v>
      </c>
      <c r="N9" s="34" t="s">
        <v>48</v>
      </c>
      <c r="O9" s="33" t="n">
        <f>2279</f>
        <v>2279.0</v>
      </c>
      <c r="P9" s="34" t="s">
        <v>49</v>
      </c>
      <c r="Q9" s="33" t="n">
        <f>2384</f>
        <v>2384.0</v>
      </c>
      <c r="R9" s="34" t="s">
        <v>50</v>
      </c>
      <c r="S9" s="35" t="n">
        <f>2336.64</f>
        <v>2336.64</v>
      </c>
      <c r="T9" s="32" t="n">
        <f>7205797</f>
        <v>7205797.0</v>
      </c>
      <c r="U9" s="32" t="n">
        <f>116868</f>
        <v>116868.0</v>
      </c>
      <c r="V9" s="32" t="n">
        <f>16888380575</f>
        <v>1.6888380575E10</v>
      </c>
      <c r="W9" s="32" t="n">
        <f>266991074</f>
        <v>2.66991074E8</v>
      </c>
      <c r="X9" s="36" t="n">
        <f>22</f>
        <v>22.0</v>
      </c>
    </row>
    <row r="10">
      <c r="A10" s="27" t="s">
        <v>42</v>
      </c>
      <c r="B10" s="27" t="s">
        <v>57</v>
      </c>
      <c r="C10" s="27" t="s">
        <v>58</v>
      </c>
      <c r="D10" s="27" t="s">
        <v>59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41490</f>
        <v>41490.0</v>
      </c>
      <c r="L10" s="34" t="s">
        <v>48</v>
      </c>
      <c r="M10" s="33" t="n">
        <f>41500</f>
        <v>41500.0</v>
      </c>
      <c r="N10" s="34" t="s">
        <v>48</v>
      </c>
      <c r="O10" s="33" t="n">
        <f>38050</f>
        <v>38050.0</v>
      </c>
      <c r="P10" s="34" t="s">
        <v>60</v>
      </c>
      <c r="Q10" s="33" t="n">
        <f>38900</f>
        <v>38900.0</v>
      </c>
      <c r="R10" s="34" t="s">
        <v>50</v>
      </c>
      <c r="S10" s="35" t="n">
        <f>39520.45</f>
        <v>39520.45</v>
      </c>
      <c r="T10" s="32" t="n">
        <f>4828</f>
        <v>4828.0</v>
      </c>
      <c r="U10" s="32" t="n">
        <f>6</f>
        <v>6.0</v>
      </c>
      <c r="V10" s="32" t="n">
        <f>191411650</f>
        <v>1.9141165E8</v>
      </c>
      <c r="W10" s="32" t="n">
        <f>235600</f>
        <v>235600.0</v>
      </c>
      <c r="X10" s="36" t="n">
        <f>22</f>
        <v>22.0</v>
      </c>
    </row>
    <row r="11">
      <c r="A11" s="27" t="s">
        <v>42</v>
      </c>
      <c r="B11" s="27" t="s">
        <v>61</v>
      </c>
      <c r="C11" s="27" t="s">
        <v>62</v>
      </c>
      <c r="D11" s="27" t="s">
        <v>63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10.0</v>
      </c>
      <c r="K11" s="33" t="n">
        <f>1156.5</f>
        <v>1156.5</v>
      </c>
      <c r="L11" s="34" t="s">
        <v>48</v>
      </c>
      <c r="M11" s="33" t="n">
        <f>1162</f>
        <v>1162.0</v>
      </c>
      <c r="N11" s="34" t="s">
        <v>48</v>
      </c>
      <c r="O11" s="33" t="n">
        <f>1095</f>
        <v>1095.0</v>
      </c>
      <c r="P11" s="34" t="s">
        <v>49</v>
      </c>
      <c r="Q11" s="33" t="n">
        <f>1146.5</f>
        <v>1146.5</v>
      </c>
      <c r="R11" s="34" t="s">
        <v>50</v>
      </c>
      <c r="S11" s="35" t="n">
        <f>1128.11</f>
        <v>1128.11</v>
      </c>
      <c r="T11" s="32" t="n">
        <f>134470</f>
        <v>134470.0</v>
      </c>
      <c r="U11" s="32" t="n">
        <f>10</f>
        <v>10.0</v>
      </c>
      <c r="V11" s="32" t="n">
        <f>151764375</f>
        <v>1.51764375E8</v>
      </c>
      <c r="W11" s="32" t="n">
        <f>11210</f>
        <v>11210.0</v>
      </c>
      <c r="X11" s="36" t="n">
        <f>22</f>
        <v>22.0</v>
      </c>
    </row>
    <row r="12">
      <c r="A12" s="27" t="s">
        <v>42</v>
      </c>
      <c r="B12" s="27" t="s">
        <v>64</v>
      </c>
      <c r="C12" s="27" t="s">
        <v>65</v>
      </c>
      <c r="D12" s="27" t="s">
        <v>66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1000.0</v>
      </c>
      <c r="K12" s="33" t="n">
        <f>398.5</f>
        <v>398.5</v>
      </c>
      <c r="L12" s="34" t="s">
        <v>48</v>
      </c>
      <c r="M12" s="33" t="n">
        <f>403.2</f>
        <v>403.2</v>
      </c>
      <c r="N12" s="34" t="s">
        <v>67</v>
      </c>
      <c r="O12" s="33" t="n">
        <f>385.3</f>
        <v>385.3</v>
      </c>
      <c r="P12" s="34" t="s">
        <v>68</v>
      </c>
      <c r="Q12" s="33" t="n">
        <f>403.2</f>
        <v>403.2</v>
      </c>
      <c r="R12" s="34" t="s">
        <v>67</v>
      </c>
      <c r="S12" s="35" t="n">
        <f>395.52</f>
        <v>395.52</v>
      </c>
      <c r="T12" s="32" t="n">
        <f>48000</f>
        <v>48000.0</v>
      </c>
      <c r="U12" s="32" t="n">
        <f>3000</f>
        <v>3000.0</v>
      </c>
      <c r="V12" s="32" t="n">
        <f>19009600</f>
        <v>1.90096E7</v>
      </c>
      <c r="W12" s="32" t="n">
        <f>1192300</f>
        <v>1192300.0</v>
      </c>
      <c r="X12" s="36" t="n">
        <f>13</f>
        <v>13.0</v>
      </c>
    </row>
    <row r="13">
      <c r="A13" s="27" t="s">
        <v>42</v>
      </c>
      <c r="B13" s="27" t="s">
        <v>69</v>
      </c>
      <c r="C13" s="27" t="s">
        <v>70</v>
      </c>
      <c r="D13" s="27" t="s">
        <v>71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1.0</v>
      </c>
      <c r="K13" s="33" t="n">
        <f>34090</f>
        <v>34090.0</v>
      </c>
      <c r="L13" s="34" t="s">
        <v>48</v>
      </c>
      <c r="M13" s="33" t="n">
        <f>34300</f>
        <v>34300.0</v>
      </c>
      <c r="N13" s="34" t="s">
        <v>48</v>
      </c>
      <c r="O13" s="33" t="n">
        <f>32020</f>
        <v>32020.0</v>
      </c>
      <c r="P13" s="34" t="s">
        <v>72</v>
      </c>
      <c r="Q13" s="33" t="n">
        <f>33430</f>
        <v>33430.0</v>
      </c>
      <c r="R13" s="34" t="s">
        <v>50</v>
      </c>
      <c r="S13" s="35" t="n">
        <f>32957.27</f>
        <v>32957.27</v>
      </c>
      <c r="T13" s="32" t="n">
        <f>1800451</f>
        <v>1800451.0</v>
      </c>
      <c r="U13" s="32" t="n">
        <f>706577</f>
        <v>706577.0</v>
      </c>
      <c r="V13" s="32" t="n">
        <f>59403770385</f>
        <v>5.9403770385E10</v>
      </c>
      <c r="W13" s="32" t="n">
        <f>23347432805</f>
        <v>2.3347432805E10</v>
      </c>
      <c r="X13" s="36" t="n">
        <f>22</f>
        <v>22.0</v>
      </c>
    </row>
    <row r="14">
      <c r="A14" s="27" t="s">
        <v>42</v>
      </c>
      <c r="B14" s="27" t="s">
        <v>73</v>
      </c>
      <c r="C14" s="27" t="s">
        <v>74</v>
      </c>
      <c r="D14" s="27" t="s">
        <v>75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1.0</v>
      </c>
      <c r="K14" s="33" t="n">
        <f>34190</f>
        <v>34190.0</v>
      </c>
      <c r="L14" s="34" t="s">
        <v>48</v>
      </c>
      <c r="M14" s="33" t="n">
        <f>34420</f>
        <v>34420.0</v>
      </c>
      <c r="N14" s="34" t="s">
        <v>48</v>
      </c>
      <c r="O14" s="33" t="n">
        <f>32130</f>
        <v>32130.0</v>
      </c>
      <c r="P14" s="34" t="s">
        <v>72</v>
      </c>
      <c r="Q14" s="33" t="n">
        <f>33530</f>
        <v>33530.0</v>
      </c>
      <c r="R14" s="34" t="s">
        <v>50</v>
      </c>
      <c r="S14" s="35" t="n">
        <f>33069.55</f>
        <v>33069.55</v>
      </c>
      <c r="T14" s="32" t="n">
        <f>6181885</f>
        <v>6181885.0</v>
      </c>
      <c r="U14" s="32" t="n">
        <f>94317</f>
        <v>94317.0</v>
      </c>
      <c r="V14" s="32" t="n">
        <f>204286840944</f>
        <v>2.04286840944E11</v>
      </c>
      <c r="W14" s="32" t="n">
        <f>3127490304</f>
        <v>3.127490304E9</v>
      </c>
      <c r="X14" s="36" t="n">
        <f>22</f>
        <v>22.0</v>
      </c>
    </row>
    <row r="15">
      <c r="A15" s="27" t="s">
        <v>42</v>
      </c>
      <c r="B15" s="27" t="s">
        <v>76</v>
      </c>
      <c r="C15" s="27" t="s">
        <v>77</v>
      </c>
      <c r="D15" s="27" t="s">
        <v>78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10.0</v>
      </c>
      <c r="K15" s="33" t="n">
        <f>8047</f>
        <v>8047.0</v>
      </c>
      <c r="L15" s="34" t="s">
        <v>48</v>
      </c>
      <c r="M15" s="33" t="n">
        <f>8130</f>
        <v>8130.0</v>
      </c>
      <c r="N15" s="34" t="s">
        <v>79</v>
      </c>
      <c r="O15" s="33" t="n">
        <f>7500</f>
        <v>7500.0</v>
      </c>
      <c r="P15" s="34" t="s">
        <v>80</v>
      </c>
      <c r="Q15" s="33" t="n">
        <f>7600</f>
        <v>7600.0</v>
      </c>
      <c r="R15" s="34" t="s">
        <v>50</v>
      </c>
      <c r="S15" s="35" t="n">
        <f>7821.32</f>
        <v>7821.32</v>
      </c>
      <c r="T15" s="32" t="n">
        <f>13250</f>
        <v>13250.0</v>
      </c>
      <c r="U15" s="32" t="str">
        <f>"－"</f>
        <v>－</v>
      </c>
      <c r="V15" s="32" t="n">
        <f>103214800</f>
        <v>1.032148E8</v>
      </c>
      <c r="W15" s="32" t="str">
        <f>"－"</f>
        <v>－</v>
      </c>
      <c r="X15" s="36" t="n">
        <f>22</f>
        <v>22.0</v>
      </c>
    </row>
    <row r="16">
      <c r="A16" s="27" t="s">
        <v>42</v>
      </c>
      <c r="B16" s="27" t="s">
        <v>81</v>
      </c>
      <c r="C16" s="27" t="s">
        <v>82</v>
      </c>
      <c r="D16" s="27" t="s">
        <v>83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100.0</v>
      </c>
      <c r="K16" s="33" t="str">
        <f>"－"</f>
        <v>－</v>
      </c>
      <c r="L16" s="34"/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5" t="str">
        <f>"－"</f>
        <v>－</v>
      </c>
      <c r="T16" s="32" t="str">
        <f>"－"</f>
        <v>－</v>
      </c>
      <c r="U16" s="32" t="str">
        <f>"－"</f>
        <v>－</v>
      </c>
      <c r="V16" s="32" t="str">
        <f>"－"</f>
        <v>－</v>
      </c>
      <c r="W16" s="32" t="str">
        <f>"－"</f>
        <v>－</v>
      </c>
      <c r="X16" s="36" t="str">
        <f>"－"</f>
        <v>－</v>
      </c>
    </row>
    <row r="17">
      <c r="A17" s="27" t="s">
        <v>42</v>
      </c>
      <c r="B17" s="27" t="s">
        <v>84</v>
      </c>
      <c r="C17" s="27" t="s">
        <v>85</v>
      </c>
      <c r="D17" s="27" t="s">
        <v>86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100.0</v>
      </c>
      <c r="K17" s="33" t="n">
        <f>239.5</f>
        <v>239.5</v>
      </c>
      <c r="L17" s="34" t="s">
        <v>48</v>
      </c>
      <c r="M17" s="33" t="n">
        <f>239.5</f>
        <v>239.5</v>
      </c>
      <c r="N17" s="34" t="s">
        <v>48</v>
      </c>
      <c r="O17" s="33" t="n">
        <f>217</f>
        <v>217.0</v>
      </c>
      <c r="P17" s="34" t="s">
        <v>72</v>
      </c>
      <c r="Q17" s="33" t="n">
        <f>225</f>
        <v>225.0</v>
      </c>
      <c r="R17" s="34" t="s">
        <v>50</v>
      </c>
      <c r="S17" s="35" t="n">
        <f>224.4</f>
        <v>224.4</v>
      </c>
      <c r="T17" s="32" t="n">
        <f>671900</f>
        <v>671900.0</v>
      </c>
      <c r="U17" s="32" t="n">
        <f>100</f>
        <v>100.0</v>
      </c>
      <c r="V17" s="32" t="n">
        <f>150803290</f>
        <v>1.5080329E8</v>
      </c>
      <c r="W17" s="32" t="n">
        <f>22810</f>
        <v>22810.0</v>
      </c>
      <c r="X17" s="36" t="n">
        <f>22</f>
        <v>22.0</v>
      </c>
    </row>
    <row r="18">
      <c r="A18" s="27" t="s">
        <v>42</v>
      </c>
      <c r="B18" s="27" t="s">
        <v>87</v>
      </c>
      <c r="C18" s="27" t="s">
        <v>88</v>
      </c>
      <c r="D18" s="27" t="s">
        <v>89</v>
      </c>
      <c r="E18" s="28" t="s">
        <v>46</v>
      </c>
      <c r="F18" s="29" t="s">
        <v>46</v>
      </c>
      <c r="G18" s="30" t="s">
        <v>46</v>
      </c>
      <c r="H18" s="31"/>
      <c r="I18" s="31" t="s">
        <v>47</v>
      </c>
      <c r="J18" s="32" t="n">
        <v>1.0</v>
      </c>
      <c r="K18" s="33" t="n">
        <f>25955</f>
        <v>25955.0</v>
      </c>
      <c r="L18" s="34" t="s">
        <v>48</v>
      </c>
      <c r="M18" s="33" t="n">
        <f>26380</f>
        <v>26380.0</v>
      </c>
      <c r="N18" s="34" t="s">
        <v>50</v>
      </c>
      <c r="O18" s="33" t="n">
        <f>25435</f>
        <v>25435.0</v>
      </c>
      <c r="P18" s="34" t="s">
        <v>68</v>
      </c>
      <c r="Q18" s="33" t="n">
        <f>26355</f>
        <v>26355.0</v>
      </c>
      <c r="R18" s="34" t="s">
        <v>50</v>
      </c>
      <c r="S18" s="35" t="n">
        <f>25813.64</f>
        <v>25813.64</v>
      </c>
      <c r="T18" s="32" t="n">
        <f>181785</f>
        <v>181785.0</v>
      </c>
      <c r="U18" s="32" t="n">
        <f>78507</f>
        <v>78507.0</v>
      </c>
      <c r="V18" s="32" t="n">
        <f>4724541855</f>
        <v>4.724541855E9</v>
      </c>
      <c r="W18" s="32" t="n">
        <f>2059776945</f>
        <v>2.059776945E9</v>
      </c>
      <c r="X18" s="36" t="n">
        <f>22</f>
        <v>22.0</v>
      </c>
    </row>
    <row r="19">
      <c r="A19" s="27" t="s">
        <v>42</v>
      </c>
      <c r="B19" s="27" t="s">
        <v>90</v>
      </c>
      <c r="C19" s="27" t="s">
        <v>91</v>
      </c>
      <c r="D19" s="27" t="s">
        <v>92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10.0</v>
      </c>
      <c r="K19" s="33" t="n">
        <f>6918</f>
        <v>6918.0</v>
      </c>
      <c r="L19" s="34" t="s">
        <v>48</v>
      </c>
      <c r="M19" s="33" t="n">
        <f>7030</f>
        <v>7030.0</v>
      </c>
      <c r="N19" s="34" t="s">
        <v>50</v>
      </c>
      <c r="O19" s="33" t="n">
        <f>6778</f>
        <v>6778.0</v>
      </c>
      <c r="P19" s="34" t="s">
        <v>68</v>
      </c>
      <c r="Q19" s="33" t="n">
        <f>7023</f>
        <v>7023.0</v>
      </c>
      <c r="R19" s="34" t="s">
        <v>50</v>
      </c>
      <c r="S19" s="35" t="n">
        <f>6881.68</f>
        <v>6881.68</v>
      </c>
      <c r="T19" s="32" t="n">
        <f>318440</f>
        <v>318440.0</v>
      </c>
      <c r="U19" s="32" t="n">
        <f>195220</f>
        <v>195220.0</v>
      </c>
      <c r="V19" s="32" t="n">
        <f>2218239310</f>
        <v>2.21823931E9</v>
      </c>
      <c r="W19" s="32" t="n">
        <f>1368302630</f>
        <v>1.36830263E9</v>
      </c>
      <c r="X19" s="36" t="n">
        <f>22</f>
        <v>22.0</v>
      </c>
    </row>
    <row r="20">
      <c r="A20" s="27" t="s">
        <v>42</v>
      </c>
      <c r="B20" s="27" t="s">
        <v>93</v>
      </c>
      <c r="C20" s="27" t="s">
        <v>94</v>
      </c>
      <c r="D20" s="27" t="s">
        <v>95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1.0</v>
      </c>
      <c r="K20" s="33" t="n">
        <f>34680</f>
        <v>34680.0</v>
      </c>
      <c r="L20" s="34" t="s">
        <v>48</v>
      </c>
      <c r="M20" s="33" t="n">
        <f>34910</f>
        <v>34910.0</v>
      </c>
      <c r="N20" s="34" t="s">
        <v>48</v>
      </c>
      <c r="O20" s="33" t="n">
        <f>32270</f>
        <v>32270.0</v>
      </c>
      <c r="P20" s="34" t="s">
        <v>72</v>
      </c>
      <c r="Q20" s="33" t="n">
        <f>33720</f>
        <v>33720.0</v>
      </c>
      <c r="R20" s="34" t="s">
        <v>50</v>
      </c>
      <c r="S20" s="35" t="n">
        <f>33294.09</f>
        <v>33294.09</v>
      </c>
      <c r="T20" s="32" t="n">
        <f>1727045</f>
        <v>1727045.0</v>
      </c>
      <c r="U20" s="32" t="n">
        <f>811908</f>
        <v>811908.0</v>
      </c>
      <c r="V20" s="32" t="n">
        <f>57814221423</f>
        <v>5.7814221423E10</v>
      </c>
      <c r="W20" s="32" t="n">
        <f>27322061653</f>
        <v>2.7322061653E10</v>
      </c>
      <c r="X20" s="36" t="n">
        <f>22</f>
        <v>22.0</v>
      </c>
    </row>
    <row r="21">
      <c r="A21" s="27" t="s">
        <v>42</v>
      </c>
      <c r="B21" s="27" t="s">
        <v>96</v>
      </c>
      <c r="C21" s="27" t="s">
        <v>97</v>
      </c>
      <c r="D21" s="27" t="s">
        <v>98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1.0</v>
      </c>
      <c r="K21" s="33" t="n">
        <f>34250</f>
        <v>34250.0</v>
      </c>
      <c r="L21" s="34" t="s">
        <v>48</v>
      </c>
      <c r="M21" s="33" t="n">
        <f>34460</f>
        <v>34460.0</v>
      </c>
      <c r="N21" s="34" t="s">
        <v>48</v>
      </c>
      <c r="O21" s="33" t="n">
        <f>32170</f>
        <v>32170.0</v>
      </c>
      <c r="P21" s="34" t="s">
        <v>72</v>
      </c>
      <c r="Q21" s="33" t="n">
        <f>33560</f>
        <v>33560.0</v>
      </c>
      <c r="R21" s="34" t="s">
        <v>50</v>
      </c>
      <c r="S21" s="35" t="n">
        <f>33109.09</f>
        <v>33109.09</v>
      </c>
      <c r="T21" s="32" t="n">
        <f>539516</f>
        <v>539516.0</v>
      </c>
      <c r="U21" s="32" t="n">
        <f>88220</f>
        <v>88220.0</v>
      </c>
      <c r="V21" s="32" t="n">
        <f>17859431161</f>
        <v>1.7859431161E10</v>
      </c>
      <c r="W21" s="32" t="n">
        <f>2922686991</f>
        <v>2.922686991E9</v>
      </c>
      <c r="X21" s="36" t="n">
        <f>22</f>
        <v>22.0</v>
      </c>
    </row>
    <row r="22">
      <c r="A22" s="27" t="s">
        <v>42</v>
      </c>
      <c r="B22" s="27" t="s">
        <v>99</v>
      </c>
      <c r="C22" s="27" t="s">
        <v>100</v>
      </c>
      <c r="D22" s="27" t="s">
        <v>101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10.0</v>
      </c>
      <c r="K22" s="33" t="n">
        <f>2030.5</f>
        <v>2030.5</v>
      </c>
      <c r="L22" s="34" t="s">
        <v>48</v>
      </c>
      <c r="M22" s="33" t="n">
        <f>2056</f>
        <v>2056.0</v>
      </c>
      <c r="N22" s="34" t="s">
        <v>50</v>
      </c>
      <c r="O22" s="33" t="n">
        <f>1978.5</f>
        <v>1978.5</v>
      </c>
      <c r="P22" s="34" t="s">
        <v>72</v>
      </c>
      <c r="Q22" s="33" t="n">
        <f>2037.5</f>
        <v>2037.5</v>
      </c>
      <c r="R22" s="34" t="s">
        <v>50</v>
      </c>
      <c r="S22" s="35" t="n">
        <f>2012.09</f>
        <v>2012.09</v>
      </c>
      <c r="T22" s="32" t="n">
        <f>10670150</f>
        <v>1.067015E7</v>
      </c>
      <c r="U22" s="32" t="n">
        <f>3393010</f>
        <v>3393010.0</v>
      </c>
      <c r="V22" s="32" t="n">
        <f>21493810266</f>
        <v>2.1493810266E10</v>
      </c>
      <c r="W22" s="32" t="n">
        <f>6838600821</f>
        <v>6.838600821E9</v>
      </c>
      <c r="X22" s="36" t="n">
        <f>22</f>
        <v>22.0</v>
      </c>
    </row>
    <row r="23">
      <c r="A23" s="27" t="s">
        <v>42</v>
      </c>
      <c r="B23" s="27" t="s">
        <v>102</v>
      </c>
      <c r="C23" s="27" t="s">
        <v>103</v>
      </c>
      <c r="D23" s="27" t="s">
        <v>104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100.0</v>
      </c>
      <c r="K23" s="33" t="n">
        <f>1908.5</f>
        <v>1908.5</v>
      </c>
      <c r="L23" s="34" t="s">
        <v>48</v>
      </c>
      <c r="M23" s="33" t="n">
        <f>1944</f>
        <v>1944.0</v>
      </c>
      <c r="N23" s="34" t="s">
        <v>50</v>
      </c>
      <c r="O23" s="33" t="n">
        <f>1873</f>
        <v>1873.0</v>
      </c>
      <c r="P23" s="34" t="s">
        <v>72</v>
      </c>
      <c r="Q23" s="33" t="n">
        <f>1929.5</f>
        <v>1929.5</v>
      </c>
      <c r="R23" s="34" t="s">
        <v>50</v>
      </c>
      <c r="S23" s="35" t="n">
        <f>1899.5</f>
        <v>1899.5</v>
      </c>
      <c r="T23" s="32" t="n">
        <f>2534700</f>
        <v>2534700.0</v>
      </c>
      <c r="U23" s="32" t="n">
        <f>1718700</f>
        <v>1718700.0</v>
      </c>
      <c r="V23" s="32" t="n">
        <f>4796086714</f>
        <v>4.796086714E9</v>
      </c>
      <c r="W23" s="32" t="n">
        <f>3248906014</f>
        <v>3.248906014E9</v>
      </c>
      <c r="X23" s="36" t="n">
        <f>22</f>
        <v>22.0</v>
      </c>
    </row>
    <row r="24">
      <c r="A24" s="27" t="s">
        <v>42</v>
      </c>
      <c r="B24" s="27" t="s">
        <v>105</v>
      </c>
      <c r="C24" s="27" t="s">
        <v>106</v>
      </c>
      <c r="D24" s="27" t="s">
        <v>107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1.0</v>
      </c>
      <c r="K24" s="33" t="n">
        <f>34290</f>
        <v>34290.0</v>
      </c>
      <c r="L24" s="34" t="s">
        <v>48</v>
      </c>
      <c r="M24" s="33" t="n">
        <f>34520</f>
        <v>34520.0</v>
      </c>
      <c r="N24" s="34" t="s">
        <v>48</v>
      </c>
      <c r="O24" s="33" t="n">
        <f>32220</f>
        <v>32220.0</v>
      </c>
      <c r="P24" s="34" t="s">
        <v>72</v>
      </c>
      <c r="Q24" s="33" t="n">
        <f>33630</f>
        <v>33630.0</v>
      </c>
      <c r="R24" s="34" t="s">
        <v>50</v>
      </c>
      <c r="S24" s="35" t="n">
        <f>33169.09</f>
        <v>33169.09</v>
      </c>
      <c r="T24" s="32" t="n">
        <f>878859</f>
        <v>878859.0</v>
      </c>
      <c r="U24" s="32" t="n">
        <f>439696</f>
        <v>439696.0</v>
      </c>
      <c r="V24" s="32" t="n">
        <f>29529578222</f>
        <v>2.9529578222E10</v>
      </c>
      <c r="W24" s="32" t="n">
        <f>14990586272</f>
        <v>1.4990586272E10</v>
      </c>
      <c r="X24" s="36" t="n">
        <f>22</f>
        <v>22.0</v>
      </c>
    </row>
    <row r="25">
      <c r="A25" s="27" t="s">
        <v>42</v>
      </c>
      <c r="B25" s="27" t="s">
        <v>108</v>
      </c>
      <c r="C25" s="27" t="s">
        <v>109</v>
      </c>
      <c r="D25" s="27" t="s">
        <v>110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10.0</v>
      </c>
      <c r="K25" s="33" t="n">
        <f>2405.5</f>
        <v>2405.5</v>
      </c>
      <c r="L25" s="34" t="s">
        <v>48</v>
      </c>
      <c r="M25" s="33" t="n">
        <f>2417</f>
        <v>2417.0</v>
      </c>
      <c r="N25" s="34" t="s">
        <v>50</v>
      </c>
      <c r="O25" s="33" t="n">
        <f>2303</f>
        <v>2303.0</v>
      </c>
      <c r="P25" s="34" t="s">
        <v>49</v>
      </c>
      <c r="Q25" s="33" t="n">
        <f>2410</f>
        <v>2410.0</v>
      </c>
      <c r="R25" s="34" t="s">
        <v>50</v>
      </c>
      <c r="S25" s="35" t="n">
        <f>2361.14</f>
        <v>2361.14</v>
      </c>
      <c r="T25" s="32" t="n">
        <f>3431680</f>
        <v>3431680.0</v>
      </c>
      <c r="U25" s="32" t="n">
        <f>115380</f>
        <v>115380.0</v>
      </c>
      <c r="V25" s="32" t="n">
        <f>8121260555</f>
        <v>8.121260555E9</v>
      </c>
      <c r="W25" s="32" t="n">
        <f>270348325</f>
        <v>2.70348325E8</v>
      </c>
      <c r="X25" s="36" t="n">
        <f>22</f>
        <v>22.0</v>
      </c>
    </row>
    <row r="26">
      <c r="A26" s="27" t="s">
        <v>42</v>
      </c>
      <c r="B26" s="27" t="s">
        <v>111</v>
      </c>
      <c r="C26" s="27" t="s">
        <v>112</v>
      </c>
      <c r="D26" s="27" t="s">
        <v>113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1.0</v>
      </c>
      <c r="K26" s="33" t="n">
        <f>15235</f>
        <v>15235.0</v>
      </c>
      <c r="L26" s="34" t="s">
        <v>48</v>
      </c>
      <c r="M26" s="33" t="n">
        <f>15415</f>
        <v>15415.0</v>
      </c>
      <c r="N26" s="34" t="s">
        <v>114</v>
      </c>
      <c r="O26" s="33" t="n">
        <f>15135</f>
        <v>15135.0</v>
      </c>
      <c r="P26" s="34" t="s">
        <v>68</v>
      </c>
      <c r="Q26" s="33" t="n">
        <f>15375</f>
        <v>15375.0</v>
      </c>
      <c r="R26" s="34" t="s">
        <v>50</v>
      </c>
      <c r="S26" s="35" t="n">
        <f>15312.86</f>
        <v>15312.86</v>
      </c>
      <c r="T26" s="32" t="n">
        <f>614</f>
        <v>614.0</v>
      </c>
      <c r="U26" s="32" t="str">
        <f>"－"</f>
        <v>－</v>
      </c>
      <c r="V26" s="32" t="n">
        <f>9379795</f>
        <v>9379795.0</v>
      </c>
      <c r="W26" s="32" t="str">
        <f>"－"</f>
        <v>－</v>
      </c>
      <c r="X26" s="36" t="n">
        <f>21</f>
        <v>21.0</v>
      </c>
    </row>
    <row r="27">
      <c r="A27" s="27" t="s">
        <v>42</v>
      </c>
      <c r="B27" s="27" t="s">
        <v>115</v>
      </c>
      <c r="C27" s="27" t="s">
        <v>116</v>
      </c>
      <c r="D27" s="27" t="s">
        <v>117</v>
      </c>
      <c r="E27" s="28" t="s">
        <v>46</v>
      </c>
      <c r="F27" s="29" t="s">
        <v>46</v>
      </c>
      <c r="G27" s="30" t="s">
        <v>46</v>
      </c>
      <c r="H27" s="31"/>
      <c r="I27" s="31" t="s">
        <v>47</v>
      </c>
      <c r="J27" s="32" t="n">
        <v>10.0</v>
      </c>
      <c r="K27" s="33" t="n">
        <f>591.4</f>
        <v>591.4</v>
      </c>
      <c r="L27" s="34" t="s">
        <v>48</v>
      </c>
      <c r="M27" s="33" t="n">
        <f>644</f>
        <v>644.0</v>
      </c>
      <c r="N27" s="34" t="s">
        <v>49</v>
      </c>
      <c r="O27" s="33" t="n">
        <f>583.1</f>
        <v>583.1</v>
      </c>
      <c r="P27" s="34" t="s">
        <v>50</v>
      </c>
      <c r="Q27" s="33" t="n">
        <f>586.4</f>
        <v>586.4</v>
      </c>
      <c r="R27" s="34" t="s">
        <v>50</v>
      </c>
      <c r="S27" s="35" t="n">
        <f>612.6</f>
        <v>612.6</v>
      </c>
      <c r="T27" s="32" t="n">
        <f>14597700</f>
        <v>1.45977E7</v>
      </c>
      <c r="U27" s="32" t="n">
        <f>10</f>
        <v>10.0</v>
      </c>
      <c r="V27" s="32" t="n">
        <f>8952658267</f>
        <v>8.952658267E9</v>
      </c>
      <c r="W27" s="32" t="n">
        <f>6433</f>
        <v>6433.0</v>
      </c>
      <c r="X27" s="36" t="n">
        <f>22</f>
        <v>22.0</v>
      </c>
    </row>
    <row r="28">
      <c r="A28" s="27" t="s">
        <v>42</v>
      </c>
      <c r="B28" s="27" t="s">
        <v>118</v>
      </c>
      <c r="C28" s="27" t="s">
        <v>119</v>
      </c>
      <c r="D28" s="27" t="s">
        <v>120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1.0</v>
      </c>
      <c r="K28" s="33" t="n">
        <f>224</f>
        <v>224.0</v>
      </c>
      <c r="L28" s="34" t="s">
        <v>48</v>
      </c>
      <c r="M28" s="33" t="n">
        <f>254</f>
        <v>254.0</v>
      </c>
      <c r="N28" s="34" t="s">
        <v>72</v>
      </c>
      <c r="O28" s="33" t="n">
        <f>221</f>
        <v>221.0</v>
      </c>
      <c r="P28" s="34" t="s">
        <v>48</v>
      </c>
      <c r="Q28" s="33" t="n">
        <f>231</f>
        <v>231.0</v>
      </c>
      <c r="R28" s="34" t="s">
        <v>50</v>
      </c>
      <c r="S28" s="35" t="n">
        <f>239.14</f>
        <v>239.14</v>
      </c>
      <c r="T28" s="32" t="n">
        <f>1505045259</f>
        <v>1.505045259E9</v>
      </c>
      <c r="U28" s="32" t="n">
        <f>5764453</f>
        <v>5764453.0</v>
      </c>
      <c r="V28" s="32" t="n">
        <f>360299097247</f>
        <v>3.60299097247E11</v>
      </c>
      <c r="W28" s="32" t="n">
        <f>1339616175</f>
        <v>1.339616175E9</v>
      </c>
      <c r="X28" s="36" t="n">
        <f>22</f>
        <v>22.0</v>
      </c>
    </row>
    <row r="29">
      <c r="A29" s="27" t="s">
        <v>42</v>
      </c>
      <c r="B29" s="27" t="s">
        <v>121</v>
      </c>
      <c r="C29" s="27" t="s">
        <v>122</v>
      </c>
      <c r="D29" s="27" t="s">
        <v>123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1.0</v>
      </c>
      <c r="K29" s="33" t="n">
        <f>38670</f>
        <v>38670.0</v>
      </c>
      <c r="L29" s="34" t="s">
        <v>48</v>
      </c>
      <c r="M29" s="33" t="n">
        <f>39150</f>
        <v>39150.0</v>
      </c>
      <c r="N29" s="34" t="s">
        <v>48</v>
      </c>
      <c r="O29" s="33" t="n">
        <f>34040</f>
        <v>34040.0</v>
      </c>
      <c r="P29" s="34" t="s">
        <v>72</v>
      </c>
      <c r="Q29" s="33" t="n">
        <f>37050</f>
        <v>37050.0</v>
      </c>
      <c r="R29" s="34" t="s">
        <v>50</v>
      </c>
      <c r="S29" s="35" t="n">
        <f>36102.73</f>
        <v>36102.73</v>
      </c>
      <c r="T29" s="32" t="n">
        <f>342042</f>
        <v>342042.0</v>
      </c>
      <c r="U29" s="32" t="n">
        <f>16</f>
        <v>16.0</v>
      </c>
      <c r="V29" s="32" t="n">
        <f>12355394800</f>
        <v>1.23553948E10</v>
      </c>
      <c r="W29" s="32" t="n">
        <f>582420</f>
        <v>582420.0</v>
      </c>
      <c r="X29" s="36" t="n">
        <f>22</f>
        <v>22.0</v>
      </c>
    </row>
    <row r="30">
      <c r="A30" s="27" t="s">
        <v>42</v>
      </c>
      <c r="B30" s="27" t="s">
        <v>124</v>
      </c>
      <c r="C30" s="27" t="s">
        <v>125</v>
      </c>
      <c r="D30" s="27" t="s">
        <v>126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10.0</v>
      </c>
      <c r="K30" s="33" t="n">
        <f>548.4</f>
        <v>548.4</v>
      </c>
      <c r="L30" s="34" t="s">
        <v>48</v>
      </c>
      <c r="M30" s="33" t="n">
        <f>617.7</f>
        <v>617.7</v>
      </c>
      <c r="N30" s="34" t="s">
        <v>72</v>
      </c>
      <c r="O30" s="33" t="n">
        <f>541.1</f>
        <v>541.1</v>
      </c>
      <c r="P30" s="34" t="s">
        <v>48</v>
      </c>
      <c r="Q30" s="33" t="n">
        <f>565</f>
        <v>565.0</v>
      </c>
      <c r="R30" s="34" t="s">
        <v>50</v>
      </c>
      <c r="S30" s="35" t="n">
        <f>584.14</f>
        <v>584.14</v>
      </c>
      <c r="T30" s="32" t="n">
        <f>305415190</f>
        <v>3.0541519E8</v>
      </c>
      <c r="U30" s="32" t="n">
        <f>153140</f>
        <v>153140.0</v>
      </c>
      <c r="V30" s="32" t="n">
        <f>178870032483</f>
        <v>1.78870032483E11</v>
      </c>
      <c r="W30" s="32" t="n">
        <f>87092848</f>
        <v>8.7092848E7</v>
      </c>
      <c r="X30" s="36" t="n">
        <f>22</f>
        <v>22.0</v>
      </c>
    </row>
    <row r="31">
      <c r="A31" s="27" t="s">
        <v>42</v>
      </c>
      <c r="B31" s="27" t="s">
        <v>127</v>
      </c>
      <c r="C31" s="27" t="s">
        <v>128</v>
      </c>
      <c r="D31" s="27" t="s">
        <v>129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1.0</v>
      </c>
      <c r="K31" s="33" t="n">
        <f>21770</f>
        <v>21770.0</v>
      </c>
      <c r="L31" s="34" t="s">
        <v>48</v>
      </c>
      <c r="M31" s="33" t="n">
        <f>21860</f>
        <v>21860.0</v>
      </c>
      <c r="N31" s="34" t="s">
        <v>48</v>
      </c>
      <c r="O31" s="33" t="n">
        <f>20505</f>
        <v>20505.0</v>
      </c>
      <c r="P31" s="34" t="s">
        <v>72</v>
      </c>
      <c r="Q31" s="33" t="n">
        <f>21545</f>
        <v>21545.0</v>
      </c>
      <c r="R31" s="34" t="s">
        <v>50</v>
      </c>
      <c r="S31" s="35" t="n">
        <f>21114.77</f>
        <v>21114.77</v>
      </c>
      <c r="T31" s="32" t="n">
        <f>649746</f>
        <v>649746.0</v>
      </c>
      <c r="U31" s="32" t="n">
        <f>637681</f>
        <v>637681.0</v>
      </c>
      <c r="V31" s="32" t="n">
        <f>13722231990</f>
        <v>1.372223199E10</v>
      </c>
      <c r="W31" s="32" t="n">
        <f>13466530520</f>
        <v>1.346653052E10</v>
      </c>
      <c r="X31" s="36" t="n">
        <f>22</f>
        <v>22.0</v>
      </c>
    </row>
    <row r="32">
      <c r="A32" s="27" t="s">
        <v>42</v>
      </c>
      <c r="B32" s="27" t="s">
        <v>130</v>
      </c>
      <c r="C32" s="27" t="s">
        <v>131</v>
      </c>
      <c r="D32" s="27" t="s">
        <v>132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1.0</v>
      </c>
      <c r="K32" s="33" t="n">
        <f>32140</f>
        <v>32140.0</v>
      </c>
      <c r="L32" s="34" t="s">
        <v>48</v>
      </c>
      <c r="M32" s="33" t="n">
        <f>32580</f>
        <v>32580.0</v>
      </c>
      <c r="N32" s="34" t="s">
        <v>48</v>
      </c>
      <c r="O32" s="33" t="n">
        <f>28335</f>
        <v>28335.0</v>
      </c>
      <c r="P32" s="34" t="s">
        <v>72</v>
      </c>
      <c r="Q32" s="33" t="n">
        <f>30800</f>
        <v>30800.0</v>
      </c>
      <c r="R32" s="34" t="s">
        <v>50</v>
      </c>
      <c r="S32" s="35" t="n">
        <f>30010.91</f>
        <v>30010.91</v>
      </c>
      <c r="T32" s="32" t="n">
        <f>783796</f>
        <v>783796.0</v>
      </c>
      <c r="U32" s="32" t="str">
        <f>"－"</f>
        <v>－</v>
      </c>
      <c r="V32" s="32" t="n">
        <f>23447089135</f>
        <v>2.3447089135E10</v>
      </c>
      <c r="W32" s="32" t="str">
        <f>"－"</f>
        <v>－</v>
      </c>
      <c r="X32" s="36" t="n">
        <f>22</f>
        <v>22.0</v>
      </c>
    </row>
    <row r="33">
      <c r="A33" s="27" t="s">
        <v>42</v>
      </c>
      <c r="B33" s="27" t="s">
        <v>133</v>
      </c>
      <c r="C33" s="27" t="s">
        <v>134</v>
      </c>
      <c r="D33" s="27" t="s">
        <v>135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1.0</v>
      </c>
      <c r="K33" s="33" t="n">
        <f>584</f>
        <v>584.0</v>
      </c>
      <c r="L33" s="34" t="s">
        <v>48</v>
      </c>
      <c r="M33" s="33" t="n">
        <f>658</f>
        <v>658.0</v>
      </c>
      <c r="N33" s="34" t="s">
        <v>72</v>
      </c>
      <c r="O33" s="33" t="n">
        <f>576</f>
        <v>576.0</v>
      </c>
      <c r="P33" s="34" t="s">
        <v>48</v>
      </c>
      <c r="Q33" s="33" t="n">
        <f>603</f>
        <v>603.0</v>
      </c>
      <c r="R33" s="34" t="s">
        <v>50</v>
      </c>
      <c r="S33" s="35" t="n">
        <f>622.18</f>
        <v>622.18</v>
      </c>
      <c r="T33" s="32" t="n">
        <f>26879758</f>
        <v>2.6879758E7</v>
      </c>
      <c r="U33" s="32" t="n">
        <f>40</f>
        <v>40.0</v>
      </c>
      <c r="V33" s="32" t="n">
        <f>16772443172</f>
        <v>1.6772443172E10</v>
      </c>
      <c r="W33" s="32" t="n">
        <f>24880</f>
        <v>24880.0</v>
      </c>
      <c r="X33" s="36" t="n">
        <f>22</f>
        <v>22.0</v>
      </c>
    </row>
    <row r="34">
      <c r="A34" s="27" t="s">
        <v>42</v>
      </c>
      <c r="B34" s="27" t="s">
        <v>136</v>
      </c>
      <c r="C34" s="27" t="s">
        <v>137</v>
      </c>
      <c r="D34" s="27" t="s">
        <v>138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27185</f>
        <v>27185.0</v>
      </c>
      <c r="L34" s="34" t="s">
        <v>48</v>
      </c>
      <c r="M34" s="33" t="n">
        <f>27430</f>
        <v>27430.0</v>
      </c>
      <c r="N34" s="34" t="s">
        <v>48</v>
      </c>
      <c r="O34" s="33" t="n">
        <f>24830</f>
        <v>24830.0</v>
      </c>
      <c r="P34" s="34" t="s">
        <v>49</v>
      </c>
      <c r="Q34" s="33" t="n">
        <f>27155</f>
        <v>27155.0</v>
      </c>
      <c r="R34" s="34" t="s">
        <v>50</v>
      </c>
      <c r="S34" s="35" t="n">
        <f>26140.91</f>
        <v>26140.91</v>
      </c>
      <c r="T34" s="32" t="n">
        <f>322411</f>
        <v>322411.0</v>
      </c>
      <c r="U34" s="32" t="str">
        <f>"－"</f>
        <v>－</v>
      </c>
      <c r="V34" s="32" t="n">
        <f>8440821200</f>
        <v>8.4408212E9</v>
      </c>
      <c r="W34" s="32" t="str">
        <f>"－"</f>
        <v>－</v>
      </c>
      <c r="X34" s="36" t="n">
        <f>22</f>
        <v>22.0</v>
      </c>
    </row>
    <row r="35">
      <c r="A35" s="27" t="s">
        <v>42</v>
      </c>
      <c r="B35" s="27" t="s">
        <v>139</v>
      </c>
      <c r="C35" s="27" t="s">
        <v>140</v>
      </c>
      <c r="D35" s="27" t="s">
        <v>141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1.0</v>
      </c>
      <c r="K35" s="33" t="n">
        <f>860</f>
        <v>860.0</v>
      </c>
      <c r="L35" s="34" t="s">
        <v>48</v>
      </c>
      <c r="M35" s="33" t="n">
        <f>935</f>
        <v>935.0</v>
      </c>
      <c r="N35" s="34" t="s">
        <v>49</v>
      </c>
      <c r="O35" s="33" t="n">
        <f>847</f>
        <v>847.0</v>
      </c>
      <c r="P35" s="34" t="s">
        <v>50</v>
      </c>
      <c r="Q35" s="33" t="n">
        <f>853</f>
        <v>853.0</v>
      </c>
      <c r="R35" s="34" t="s">
        <v>50</v>
      </c>
      <c r="S35" s="35" t="n">
        <f>890.27</f>
        <v>890.27</v>
      </c>
      <c r="T35" s="32" t="n">
        <f>1427870</f>
        <v>1427870.0</v>
      </c>
      <c r="U35" s="32" t="str">
        <f>"－"</f>
        <v>－</v>
      </c>
      <c r="V35" s="32" t="n">
        <f>1273851025</f>
        <v>1.273851025E9</v>
      </c>
      <c r="W35" s="32" t="str">
        <f>"－"</f>
        <v>－</v>
      </c>
      <c r="X35" s="36" t="n">
        <f>22</f>
        <v>22.0</v>
      </c>
    </row>
    <row r="36">
      <c r="A36" s="27" t="s">
        <v>42</v>
      </c>
      <c r="B36" s="27" t="s">
        <v>142</v>
      </c>
      <c r="C36" s="27" t="s">
        <v>143</v>
      </c>
      <c r="D36" s="27" t="s">
        <v>144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33300</f>
        <v>33300.0</v>
      </c>
      <c r="L36" s="34" t="s">
        <v>48</v>
      </c>
      <c r="M36" s="33" t="n">
        <f>33510</f>
        <v>33510.0</v>
      </c>
      <c r="N36" s="34" t="s">
        <v>48</v>
      </c>
      <c r="O36" s="33" t="n">
        <f>31280</f>
        <v>31280.0</v>
      </c>
      <c r="P36" s="34" t="s">
        <v>72</v>
      </c>
      <c r="Q36" s="33" t="n">
        <f>32630</f>
        <v>32630.0</v>
      </c>
      <c r="R36" s="34" t="s">
        <v>50</v>
      </c>
      <c r="S36" s="35" t="n">
        <f>32197.73</f>
        <v>32197.73</v>
      </c>
      <c r="T36" s="32" t="n">
        <f>55368</f>
        <v>55368.0</v>
      </c>
      <c r="U36" s="32" t="n">
        <f>6317</f>
        <v>6317.0</v>
      </c>
      <c r="V36" s="32" t="n">
        <f>1779289738</f>
        <v>1.779289738E9</v>
      </c>
      <c r="W36" s="32" t="n">
        <f>204859678</f>
        <v>2.04859678E8</v>
      </c>
      <c r="X36" s="36" t="n">
        <f>22</f>
        <v>22.0</v>
      </c>
    </row>
    <row r="37">
      <c r="A37" s="27" t="s">
        <v>42</v>
      </c>
      <c r="B37" s="27" t="s">
        <v>145</v>
      </c>
      <c r="C37" s="27" t="s">
        <v>146</v>
      </c>
      <c r="D37" s="27" t="s">
        <v>147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33620</f>
        <v>33620.0</v>
      </c>
      <c r="L37" s="34" t="s">
        <v>48</v>
      </c>
      <c r="M37" s="33" t="n">
        <f>33830</f>
        <v>33830.0</v>
      </c>
      <c r="N37" s="34" t="s">
        <v>48</v>
      </c>
      <c r="O37" s="33" t="n">
        <f>31600</f>
        <v>31600.0</v>
      </c>
      <c r="P37" s="34" t="s">
        <v>72</v>
      </c>
      <c r="Q37" s="33" t="n">
        <f>32960</f>
        <v>32960.0</v>
      </c>
      <c r="R37" s="34" t="s">
        <v>50</v>
      </c>
      <c r="S37" s="35" t="n">
        <f>32497.73</f>
        <v>32497.73</v>
      </c>
      <c r="T37" s="32" t="n">
        <f>156533</f>
        <v>156533.0</v>
      </c>
      <c r="U37" s="32" t="n">
        <f>38465</f>
        <v>38465.0</v>
      </c>
      <c r="V37" s="32" t="n">
        <f>5095196165</f>
        <v>5.095196165E9</v>
      </c>
      <c r="W37" s="32" t="n">
        <f>1251041245</f>
        <v>1.251041245E9</v>
      </c>
      <c r="X37" s="36" t="n">
        <f>22</f>
        <v>22.0</v>
      </c>
    </row>
    <row r="38">
      <c r="A38" s="27" t="s">
        <v>42</v>
      </c>
      <c r="B38" s="27" t="s">
        <v>148</v>
      </c>
      <c r="C38" s="27" t="s">
        <v>149</v>
      </c>
      <c r="D38" s="27" t="s">
        <v>150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10.0</v>
      </c>
      <c r="K38" s="33" t="n">
        <f>1933.5</f>
        <v>1933.5</v>
      </c>
      <c r="L38" s="34" t="s">
        <v>48</v>
      </c>
      <c r="M38" s="33" t="n">
        <f>1971.5</f>
        <v>1971.5</v>
      </c>
      <c r="N38" s="34" t="s">
        <v>50</v>
      </c>
      <c r="O38" s="33" t="n">
        <f>1896.5</f>
        <v>1896.5</v>
      </c>
      <c r="P38" s="34" t="s">
        <v>60</v>
      </c>
      <c r="Q38" s="33" t="n">
        <f>1954.5</f>
        <v>1954.5</v>
      </c>
      <c r="R38" s="34" t="s">
        <v>50</v>
      </c>
      <c r="S38" s="35" t="n">
        <f>1925.32</f>
        <v>1925.32</v>
      </c>
      <c r="T38" s="32" t="n">
        <f>3903290</f>
        <v>3903290.0</v>
      </c>
      <c r="U38" s="32" t="n">
        <f>643970</f>
        <v>643970.0</v>
      </c>
      <c r="V38" s="32" t="n">
        <f>7478833990</f>
        <v>7.47883399E9</v>
      </c>
      <c r="W38" s="32" t="n">
        <f>1229018245</f>
        <v>1.229018245E9</v>
      </c>
      <c r="X38" s="36" t="n">
        <f>22</f>
        <v>22.0</v>
      </c>
    </row>
    <row r="39">
      <c r="A39" s="27" t="s">
        <v>42</v>
      </c>
      <c r="B39" s="27" t="s">
        <v>151</v>
      </c>
      <c r="C39" s="27" t="s">
        <v>152</v>
      </c>
      <c r="D39" s="27" t="s">
        <v>153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10.0</v>
      </c>
      <c r="K39" s="33" t="n">
        <f>1901</f>
        <v>1901.0</v>
      </c>
      <c r="L39" s="34" t="s">
        <v>48</v>
      </c>
      <c r="M39" s="33" t="n">
        <f>1943</f>
        <v>1943.0</v>
      </c>
      <c r="N39" s="34" t="s">
        <v>50</v>
      </c>
      <c r="O39" s="33" t="n">
        <f>1863</f>
        <v>1863.0</v>
      </c>
      <c r="P39" s="34" t="s">
        <v>154</v>
      </c>
      <c r="Q39" s="33" t="n">
        <f>1940.5</f>
        <v>1940.5</v>
      </c>
      <c r="R39" s="34" t="s">
        <v>50</v>
      </c>
      <c r="S39" s="35" t="n">
        <f>1895.66</f>
        <v>1895.66</v>
      </c>
      <c r="T39" s="32" t="n">
        <f>8180</f>
        <v>8180.0</v>
      </c>
      <c r="U39" s="32" t="str">
        <f>"－"</f>
        <v>－</v>
      </c>
      <c r="V39" s="32" t="n">
        <f>15569630</f>
        <v>1.556963E7</v>
      </c>
      <c r="W39" s="32" t="str">
        <f>"－"</f>
        <v>－</v>
      </c>
      <c r="X39" s="36" t="n">
        <f>22</f>
        <v>22.0</v>
      </c>
    </row>
    <row r="40">
      <c r="A40" s="27" t="s">
        <v>42</v>
      </c>
      <c r="B40" s="27" t="s">
        <v>155</v>
      </c>
      <c r="C40" s="27" t="s">
        <v>156</v>
      </c>
      <c r="D40" s="27" t="s">
        <v>157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1.0</v>
      </c>
      <c r="K40" s="33" t="n">
        <f>3290</f>
        <v>3290.0</v>
      </c>
      <c r="L40" s="34" t="s">
        <v>48</v>
      </c>
      <c r="M40" s="33" t="n">
        <f>3490</f>
        <v>3490.0</v>
      </c>
      <c r="N40" s="34" t="s">
        <v>72</v>
      </c>
      <c r="O40" s="33" t="n">
        <f>3265</f>
        <v>3265.0</v>
      </c>
      <c r="P40" s="34" t="s">
        <v>48</v>
      </c>
      <c r="Q40" s="33" t="n">
        <f>3345</f>
        <v>3345.0</v>
      </c>
      <c r="R40" s="34" t="s">
        <v>50</v>
      </c>
      <c r="S40" s="35" t="n">
        <f>3393.64</f>
        <v>3393.64</v>
      </c>
      <c r="T40" s="32" t="n">
        <f>970171</f>
        <v>970171.0</v>
      </c>
      <c r="U40" s="32" t="n">
        <f>396000</f>
        <v>396000.0</v>
      </c>
      <c r="V40" s="32" t="n">
        <f>3295301479</f>
        <v>3.295301479E9</v>
      </c>
      <c r="W40" s="32" t="n">
        <f>1342783724</f>
        <v>1.342783724E9</v>
      </c>
      <c r="X40" s="36" t="n">
        <f>22</f>
        <v>22.0</v>
      </c>
    </row>
    <row r="41">
      <c r="A41" s="27" t="s">
        <v>42</v>
      </c>
      <c r="B41" s="27" t="s">
        <v>158</v>
      </c>
      <c r="C41" s="27" t="s">
        <v>159</v>
      </c>
      <c r="D41" s="27" t="s">
        <v>160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3900</f>
        <v>3900.0</v>
      </c>
      <c r="L41" s="34" t="s">
        <v>48</v>
      </c>
      <c r="M41" s="33" t="n">
        <f>4075</f>
        <v>4075.0</v>
      </c>
      <c r="N41" s="34" t="s">
        <v>49</v>
      </c>
      <c r="O41" s="33" t="n">
        <f>3880</f>
        <v>3880.0</v>
      </c>
      <c r="P41" s="34" t="s">
        <v>50</v>
      </c>
      <c r="Q41" s="33" t="n">
        <f>3890</f>
        <v>3890.0</v>
      </c>
      <c r="R41" s="34" t="s">
        <v>50</v>
      </c>
      <c r="S41" s="35" t="n">
        <f>3973.41</f>
        <v>3973.41</v>
      </c>
      <c r="T41" s="32" t="n">
        <f>157988</f>
        <v>157988.0</v>
      </c>
      <c r="U41" s="32" t="n">
        <f>60000</f>
        <v>60000.0</v>
      </c>
      <c r="V41" s="32" t="n">
        <f>626125955</f>
        <v>6.26125955E8</v>
      </c>
      <c r="W41" s="32" t="n">
        <f>237444000</f>
        <v>2.37444E8</v>
      </c>
      <c r="X41" s="36" t="n">
        <f>22</f>
        <v>22.0</v>
      </c>
    </row>
    <row r="42">
      <c r="A42" s="27" t="s">
        <v>42</v>
      </c>
      <c r="B42" s="27" t="s">
        <v>161</v>
      </c>
      <c r="C42" s="27" t="s">
        <v>162</v>
      </c>
      <c r="D42" s="27" t="s">
        <v>163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24510</f>
        <v>24510.0</v>
      </c>
      <c r="L42" s="34" t="s">
        <v>48</v>
      </c>
      <c r="M42" s="33" t="n">
        <f>24815</f>
        <v>24815.0</v>
      </c>
      <c r="N42" s="34" t="s">
        <v>48</v>
      </c>
      <c r="O42" s="33" t="n">
        <f>21565</f>
        <v>21565.0</v>
      </c>
      <c r="P42" s="34" t="s">
        <v>72</v>
      </c>
      <c r="Q42" s="33" t="n">
        <f>23495</f>
        <v>23495.0</v>
      </c>
      <c r="R42" s="34" t="s">
        <v>50</v>
      </c>
      <c r="S42" s="35" t="n">
        <f>22867.05</f>
        <v>22867.05</v>
      </c>
      <c r="T42" s="32" t="n">
        <f>8469511</f>
        <v>8469511.0</v>
      </c>
      <c r="U42" s="32" t="n">
        <f>25</f>
        <v>25.0</v>
      </c>
      <c r="V42" s="32" t="n">
        <f>193663056175</f>
        <v>1.93663056175E11</v>
      </c>
      <c r="W42" s="32" t="n">
        <f>512125</f>
        <v>512125.0</v>
      </c>
      <c r="X42" s="36" t="n">
        <f>22</f>
        <v>22.0</v>
      </c>
    </row>
    <row r="43">
      <c r="A43" s="27" t="s">
        <v>42</v>
      </c>
      <c r="B43" s="27" t="s">
        <v>164</v>
      </c>
      <c r="C43" s="27" t="s">
        <v>165</v>
      </c>
      <c r="D43" s="27" t="s">
        <v>166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904</f>
        <v>904.0</v>
      </c>
      <c r="L43" s="34" t="s">
        <v>48</v>
      </c>
      <c r="M43" s="33" t="n">
        <f>1018</f>
        <v>1018.0</v>
      </c>
      <c r="N43" s="34" t="s">
        <v>72</v>
      </c>
      <c r="O43" s="33" t="n">
        <f>891</f>
        <v>891.0</v>
      </c>
      <c r="P43" s="34" t="s">
        <v>48</v>
      </c>
      <c r="Q43" s="33" t="n">
        <f>931</f>
        <v>931.0</v>
      </c>
      <c r="R43" s="34" t="s">
        <v>50</v>
      </c>
      <c r="S43" s="35" t="n">
        <f>962.23</f>
        <v>962.23</v>
      </c>
      <c r="T43" s="32" t="n">
        <f>198369840</f>
        <v>1.9836984E8</v>
      </c>
      <c r="U43" s="32" t="n">
        <f>174</f>
        <v>174.0</v>
      </c>
      <c r="V43" s="32" t="n">
        <f>191211113914</f>
        <v>1.91211113914E11</v>
      </c>
      <c r="W43" s="32" t="n">
        <f>154712</f>
        <v>154712.0</v>
      </c>
      <c r="X43" s="36" t="n">
        <f>22</f>
        <v>22.0</v>
      </c>
    </row>
    <row r="44">
      <c r="A44" s="27" t="s">
        <v>42</v>
      </c>
      <c r="B44" s="27" t="s">
        <v>167</v>
      </c>
      <c r="C44" s="27" t="s">
        <v>168</v>
      </c>
      <c r="D44" s="27" t="s">
        <v>169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21850</f>
        <v>21850.0</v>
      </c>
      <c r="L44" s="34" t="s">
        <v>48</v>
      </c>
      <c r="M44" s="33" t="n">
        <f>22000</f>
        <v>22000.0</v>
      </c>
      <c r="N44" s="34" t="s">
        <v>48</v>
      </c>
      <c r="O44" s="33" t="n">
        <f>19945</f>
        <v>19945.0</v>
      </c>
      <c r="P44" s="34" t="s">
        <v>49</v>
      </c>
      <c r="Q44" s="33" t="n">
        <f>21850</f>
        <v>21850.0</v>
      </c>
      <c r="R44" s="34" t="s">
        <v>50</v>
      </c>
      <c r="S44" s="35" t="n">
        <f>20936.14</f>
        <v>20936.14</v>
      </c>
      <c r="T44" s="32" t="n">
        <f>1964</f>
        <v>1964.0</v>
      </c>
      <c r="U44" s="32" t="str">
        <f>"－"</f>
        <v>－</v>
      </c>
      <c r="V44" s="32" t="n">
        <f>40968075</f>
        <v>4.0968075E7</v>
      </c>
      <c r="W44" s="32" t="str">
        <f>"－"</f>
        <v>－</v>
      </c>
      <c r="X44" s="36" t="n">
        <f>22</f>
        <v>22.0</v>
      </c>
    </row>
    <row r="45">
      <c r="A45" s="27" t="s">
        <v>42</v>
      </c>
      <c r="B45" s="27" t="s">
        <v>170</v>
      </c>
      <c r="C45" s="27" t="s">
        <v>171</v>
      </c>
      <c r="D45" s="27" t="s">
        <v>172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3885</f>
        <v>3885.0</v>
      </c>
      <c r="L45" s="34" t="s">
        <v>173</v>
      </c>
      <c r="M45" s="33" t="n">
        <f>3905</f>
        <v>3905.0</v>
      </c>
      <c r="N45" s="34" t="s">
        <v>154</v>
      </c>
      <c r="O45" s="33" t="n">
        <f>3750</f>
        <v>3750.0</v>
      </c>
      <c r="P45" s="34" t="s">
        <v>174</v>
      </c>
      <c r="Q45" s="33" t="n">
        <f>3750</f>
        <v>3750.0</v>
      </c>
      <c r="R45" s="34" t="s">
        <v>174</v>
      </c>
      <c r="S45" s="35" t="n">
        <f>3841.67</f>
        <v>3841.67</v>
      </c>
      <c r="T45" s="32" t="n">
        <f>92</f>
        <v>92.0</v>
      </c>
      <c r="U45" s="32" t="str">
        <f>"－"</f>
        <v>－</v>
      </c>
      <c r="V45" s="32" t="n">
        <f>354185</f>
        <v>354185.0</v>
      </c>
      <c r="W45" s="32" t="str">
        <f>"－"</f>
        <v>－</v>
      </c>
      <c r="X45" s="36" t="n">
        <f>9</f>
        <v>9.0</v>
      </c>
    </row>
    <row r="46">
      <c r="A46" s="27" t="s">
        <v>42</v>
      </c>
      <c r="B46" s="27" t="s">
        <v>175</v>
      </c>
      <c r="C46" s="27" t="s">
        <v>176</v>
      </c>
      <c r="D46" s="27" t="s">
        <v>177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1.0</v>
      </c>
      <c r="K46" s="33" t="n">
        <f>1098</f>
        <v>1098.0</v>
      </c>
      <c r="L46" s="34" t="s">
        <v>48</v>
      </c>
      <c r="M46" s="33" t="n">
        <f>1200</f>
        <v>1200.0</v>
      </c>
      <c r="N46" s="34" t="s">
        <v>72</v>
      </c>
      <c r="O46" s="33" t="n">
        <f>1084</f>
        <v>1084.0</v>
      </c>
      <c r="P46" s="34" t="s">
        <v>48</v>
      </c>
      <c r="Q46" s="33" t="n">
        <f>1095</f>
        <v>1095.0</v>
      </c>
      <c r="R46" s="34" t="s">
        <v>50</v>
      </c>
      <c r="S46" s="35" t="n">
        <f>1139.59</f>
        <v>1139.59</v>
      </c>
      <c r="T46" s="32" t="n">
        <f>15812</f>
        <v>15812.0</v>
      </c>
      <c r="U46" s="32" t="str">
        <f>"－"</f>
        <v>－</v>
      </c>
      <c r="V46" s="32" t="n">
        <f>17938584</f>
        <v>1.7938584E7</v>
      </c>
      <c r="W46" s="32" t="str">
        <f>"－"</f>
        <v>－</v>
      </c>
      <c r="X46" s="36" t="n">
        <f>22</f>
        <v>22.0</v>
      </c>
    </row>
    <row r="47">
      <c r="A47" s="27" t="s">
        <v>42</v>
      </c>
      <c r="B47" s="27" t="s">
        <v>178</v>
      </c>
      <c r="C47" s="27" t="s">
        <v>179</v>
      </c>
      <c r="D47" s="27" t="s">
        <v>180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10.0</v>
      </c>
      <c r="K47" s="33" t="n">
        <f>1076.5</f>
        <v>1076.5</v>
      </c>
      <c r="L47" s="34" t="s">
        <v>48</v>
      </c>
      <c r="M47" s="33" t="n">
        <f>1172</f>
        <v>1172.0</v>
      </c>
      <c r="N47" s="34" t="s">
        <v>72</v>
      </c>
      <c r="O47" s="33" t="n">
        <f>1063</f>
        <v>1063.0</v>
      </c>
      <c r="P47" s="34" t="s">
        <v>50</v>
      </c>
      <c r="Q47" s="33" t="n">
        <f>1070</f>
        <v>1070.0</v>
      </c>
      <c r="R47" s="34" t="s">
        <v>50</v>
      </c>
      <c r="S47" s="35" t="n">
        <f>1113.11</f>
        <v>1113.11</v>
      </c>
      <c r="T47" s="32" t="n">
        <f>92730</f>
        <v>92730.0</v>
      </c>
      <c r="U47" s="32" t="str">
        <f>"－"</f>
        <v>－</v>
      </c>
      <c r="V47" s="32" t="n">
        <f>103254430</f>
        <v>1.0325443E8</v>
      </c>
      <c r="W47" s="32" t="str">
        <f>"－"</f>
        <v>－</v>
      </c>
      <c r="X47" s="36" t="n">
        <f>22</f>
        <v>22.0</v>
      </c>
    </row>
    <row r="48">
      <c r="A48" s="27" t="s">
        <v>42</v>
      </c>
      <c r="B48" s="27" t="s">
        <v>181</v>
      </c>
      <c r="C48" s="27" t="s">
        <v>182</v>
      </c>
      <c r="D48" s="27" t="s">
        <v>183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1.0</v>
      </c>
      <c r="K48" s="33" t="n">
        <f>448</f>
        <v>448.0</v>
      </c>
      <c r="L48" s="34" t="s">
        <v>48</v>
      </c>
      <c r="M48" s="33" t="n">
        <f>483</f>
        <v>483.0</v>
      </c>
      <c r="N48" s="34" t="s">
        <v>68</v>
      </c>
      <c r="O48" s="33" t="n">
        <f>436</f>
        <v>436.0</v>
      </c>
      <c r="P48" s="34" t="s">
        <v>48</v>
      </c>
      <c r="Q48" s="33" t="n">
        <f>436</f>
        <v>436.0</v>
      </c>
      <c r="R48" s="34" t="s">
        <v>50</v>
      </c>
      <c r="S48" s="35" t="n">
        <f>454.64</f>
        <v>454.64</v>
      </c>
      <c r="T48" s="32" t="n">
        <f>67873</f>
        <v>67873.0</v>
      </c>
      <c r="U48" s="32" t="str">
        <f>"－"</f>
        <v>－</v>
      </c>
      <c r="V48" s="32" t="n">
        <f>30963146</f>
        <v>3.0963146E7</v>
      </c>
      <c r="W48" s="32" t="str">
        <f>"－"</f>
        <v>－</v>
      </c>
      <c r="X48" s="36" t="n">
        <f>22</f>
        <v>22.0</v>
      </c>
    </row>
    <row r="49">
      <c r="A49" s="27" t="s">
        <v>42</v>
      </c>
      <c r="B49" s="27" t="s">
        <v>184</v>
      </c>
      <c r="C49" s="27" t="s">
        <v>185</v>
      </c>
      <c r="D49" s="27" t="s">
        <v>186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10.0</v>
      </c>
      <c r="K49" s="33" t="n">
        <f>2360</f>
        <v>2360.0</v>
      </c>
      <c r="L49" s="34" t="s">
        <v>48</v>
      </c>
      <c r="M49" s="33" t="n">
        <f>2369</f>
        <v>2369.0</v>
      </c>
      <c r="N49" s="34" t="s">
        <v>48</v>
      </c>
      <c r="O49" s="33" t="n">
        <f>2259</f>
        <v>2259.0</v>
      </c>
      <c r="P49" s="34" t="s">
        <v>72</v>
      </c>
      <c r="Q49" s="33" t="n">
        <f>2360.5</f>
        <v>2360.5</v>
      </c>
      <c r="R49" s="34" t="s">
        <v>50</v>
      </c>
      <c r="S49" s="35" t="n">
        <f>2314.16</f>
        <v>2314.16</v>
      </c>
      <c r="T49" s="32" t="n">
        <f>831430</f>
        <v>831430.0</v>
      </c>
      <c r="U49" s="32" t="n">
        <f>112000</f>
        <v>112000.0</v>
      </c>
      <c r="V49" s="32" t="n">
        <f>1923724145</f>
        <v>1.923724145E9</v>
      </c>
      <c r="W49" s="32" t="n">
        <f>255454520</f>
        <v>2.5545452E8</v>
      </c>
      <c r="X49" s="36" t="n">
        <f>22</f>
        <v>22.0</v>
      </c>
    </row>
    <row r="50">
      <c r="A50" s="27" t="s">
        <v>42</v>
      </c>
      <c r="B50" s="27" t="s">
        <v>187</v>
      </c>
      <c r="C50" s="27" t="s">
        <v>188</v>
      </c>
      <c r="D50" s="27" t="s">
        <v>189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1.0</v>
      </c>
      <c r="K50" s="33" t="n">
        <f>21355</f>
        <v>21355.0</v>
      </c>
      <c r="L50" s="34" t="s">
        <v>48</v>
      </c>
      <c r="M50" s="33" t="n">
        <f>21370</f>
        <v>21370.0</v>
      </c>
      <c r="N50" s="34" t="s">
        <v>48</v>
      </c>
      <c r="O50" s="33" t="n">
        <f>20335</f>
        <v>20335.0</v>
      </c>
      <c r="P50" s="34" t="s">
        <v>72</v>
      </c>
      <c r="Q50" s="33" t="n">
        <f>21325</f>
        <v>21325.0</v>
      </c>
      <c r="R50" s="34" t="s">
        <v>50</v>
      </c>
      <c r="S50" s="35" t="n">
        <f>20847.95</f>
        <v>20847.95</v>
      </c>
      <c r="T50" s="32" t="n">
        <f>17924</f>
        <v>17924.0</v>
      </c>
      <c r="U50" s="32" t="n">
        <f>8000</f>
        <v>8000.0</v>
      </c>
      <c r="V50" s="32" t="n">
        <f>368564945</f>
        <v>3.68564945E8</v>
      </c>
      <c r="W50" s="32" t="n">
        <f>164740000</f>
        <v>1.6474E8</v>
      </c>
      <c r="X50" s="36" t="n">
        <f>22</f>
        <v>22.0</v>
      </c>
    </row>
    <row r="51">
      <c r="A51" s="27" t="s">
        <v>42</v>
      </c>
      <c r="B51" s="27" t="s">
        <v>190</v>
      </c>
      <c r="C51" s="27" t="s">
        <v>191</v>
      </c>
      <c r="D51" s="27" t="s">
        <v>192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1.0</v>
      </c>
      <c r="K51" s="33" t="n">
        <f>2408</f>
        <v>2408.0</v>
      </c>
      <c r="L51" s="34" t="s">
        <v>48</v>
      </c>
      <c r="M51" s="33" t="n">
        <f>2418</f>
        <v>2418.0</v>
      </c>
      <c r="N51" s="34" t="s">
        <v>48</v>
      </c>
      <c r="O51" s="33" t="n">
        <f>2278</f>
        <v>2278.0</v>
      </c>
      <c r="P51" s="34" t="s">
        <v>49</v>
      </c>
      <c r="Q51" s="33" t="n">
        <f>2384</f>
        <v>2384.0</v>
      </c>
      <c r="R51" s="34" t="s">
        <v>50</v>
      </c>
      <c r="S51" s="35" t="n">
        <f>2342.86</f>
        <v>2342.86</v>
      </c>
      <c r="T51" s="32" t="n">
        <f>9362632</f>
        <v>9362632.0</v>
      </c>
      <c r="U51" s="32" t="n">
        <f>3651567</f>
        <v>3651567.0</v>
      </c>
      <c r="V51" s="32" t="n">
        <f>22004223614</f>
        <v>2.2004223614E10</v>
      </c>
      <c r="W51" s="32" t="n">
        <f>8571071056</f>
        <v>8.571071056E9</v>
      </c>
      <c r="X51" s="36" t="n">
        <f>22</f>
        <v>22.0</v>
      </c>
    </row>
    <row r="52">
      <c r="A52" s="27" t="s">
        <v>42</v>
      </c>
      <c r="B52" s="27" t="s">
        <v>193</v>
      </c>
      <c r="C52" s="27" t="s">
        <v>194</v>
      </c>
      <c r="D52" s="27" t="s">
        <v>195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1.0</v>
      </c>
      <c r="K52" s="33" t="n">
        <f>1950</f>
        <v>1950.0</v>
      </c>
      <c r="L52" s="34" t="s">
        <v>48</v>
      </c>
      <c r="M52" s="33" t="n">
        <f>1970</f>
        <v>1970.0</v>
      </c>
      <c r="N52" s="34" t="s">
        <v>50</v>
      </c>
      <c r="O52" s="33" t="n">
        <f>1896</f>
        <v>1896.0</v>
      </c>
      <c r="P52" s="34" t="s">
        <v>72</v>
      </c>
      <c r="Q52" s="33" t="n">
        <f>1955</f>
        <v>1955.0</v>
      </c>
      <c r="R52" s="34" t="s">
        <v>50</v>
      </c>
      <c r="S52" s="35" t="n">
        <f>1928.14</f>
        <v>1928.14</v>
      </c>
      <c r="T52" s="32" t="n">
        <f>9420611</f>
        <v>9420611.0</v>
      </c>
      <c r="U52" s="32" t="n">
        <f>7257878</f>
        <v>7257878.0</v>
      </c>
      <c r="V52" s="32" t="n">
        <f>18111160220</f>
        <v>1.811116022E10</v>
      </c>
      <c r="W52" s="32" t="n">
        <f>13944874997</f>
        <v>1.3944874997E10</v>
      </c>
      <c r="X52" s="36" t="n">
        <f>22</f>
        <v>22.0</v>
      </c>
    </row>
    <row r="53">
      <c r="A53" s="27" t="s">
        <v>42</v>
      </c>
      <c r="B53" s="27" t="s">
        <v>196</v>
      </c>
      <c r="C53" s="27" t="s">
        <v>197</v>
      </c>
      <c r="D53" s="27" t="s">
        <v>198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1.0</v>
      </c>
      <c r="K53" s="33" t="n">
        <f>2225</f>
        <v>2225.0</v>
      </c>
      <c r="L53" s="34" t="s">
        <v>48</v>
      </c>
      <c r="M53" s="33" t="n">
        <f>2318</f>
        <v>2318.0</v>
      </c>
      <c r="N53" s="34" t="s">
        <v>48</v>
      </c>
      <c r="O53" s="33" t="n">
        <f>2148</f>
        <v>2148.0</v>
      </c>
      <c r="P53" s="34" t="s">
        <v>72</v>
      </c>
      <c r="Q53" s="33" t="n">
        <f>2235</f>
        <v>2235.0</v>
      </c>
      <c r="R53" s="34" t="s">
        <v>50</v>
      </c>
      <c r="S53" s="35" t="n">
        <f>2195.41</f>
        <v>2195.41</v>
      </c>
      <c r="T53" s="32" t="n">
        <f>79118</f>
        <v>79118.0</v>
      </c>
      <c r="U53" s="32" t="n">
        <f>12244</f>
        <v>12244.0</v>
      </c>
      <c r="V53" s="32" t="n">
        <f>177327958</f>
        <v>1.77327958E8</v>
      </c>
      <c r="W53" s="32" t="n">
        <f>27380796</f>
        <v>2.7380796E7</v>
      </c>
      <c r="X53" s="36" t="n">
        <f>22</f>
        <v>22.0</v>
      </c>
    </row>
    <row r="54">
      <c r="A54" s="27" t="s">
        <v>42</v>
      </c>
      <c r="B54" s="27" t="s">
        <v>199</v>
      </c>
      <c r="C54" s="27" t="s">
        <v>200</v>
      </c>
      <c r="D54" s="27" t="s">
        <v>201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1.0</v>
      </c>
      <c r="K54" s="33" t="n">
        <f>3005</f>
        <v>3005.0</v>
      </c>
      <c r="L54" s="34" t="s">
        <v>48</v>
      </c>
      <c r="M54" s="33" t="n">
        <f>3025</f>
        <v>3025.0</v>
      </c>
      <c r="N54" s="34" t="s">
        <v>48</v>
      </c>
      <c r="O54" s="33" t="n">
        <f>2856</f>
        <v>2856.0</v>
      </c>
      <c r="P54" s="34" t="s">
        <v>49</v>
      </c>
      <c r="Q54" s="33" t="n">
        <f>2988</f>
        <v>2988.0</v>
      </c>
      <c r="R54" s="34" t="s">
        <v>50</v>
      </c>
      <c r="S54" s="35" t="n">
        <f>2936.91</f>
        <v>2936.91</v>
      </c>
      <c r="T54" s="32" t="n">
        <f>3253002</f>
        <v>3253002.0</v>
      </c>
      <c r="U54" s="32" t="n">
        <f>1843559</f>
        <v>1843559.0</v>
      </c>
      <c r="V54" s="32" t="n">
        <f>9541196516</f>
        <v>9.541196516E9</v>
      </c>
      <c r="W54" s="32" t="n">
        <f>5379497743</f>
        <v>5.379497743E9</v>
      </c>
      <c r="X54" s="36" t="n">
        <f>22</f>
        <v>22.0</v>
      </c>
    </row>
    <row r="55">
      <c r="A55" s="27" t="s">
        <v>42</v>
      </c>
      <c r="B55" s="27" t="s">
        <v>202</v>
      </c>
      <c r="C55" s="27" t="s">
        <v>203</v>
      </c>
      <c r="D55" s="27" t="s">
        <v>204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28805</f>
        <v>28805.0</v>
      </c>
      <c r="L55" s="34" t="s">
        <v>48</v>
      </c>
      <c r="M55" s="33" t="n">
        <f>29000</f>
        <v>29000.0</v>
      </c>
      <c r="N55" s="34" t="s">
        <v>48</v>
      </c>
      <c r="O55" s="33" t="n">
        <f>27910</f>
        <v>27910.0</v>
      </c>
      <c r="P55" s="34" t="s">
        <v>205</v>
      </c>
      <c r="Q55" s="33" t="n">
        <f>28720</f>
        <v>28720.0</v>
      </c>
      <c r="R55" s="34" t="s">
        <v>50</v>
      </c>
      <c r="S55" s="35" t="n">
        <f>28390.56</f>
        <v>28390.56</v>
      </c>
      <c r="T55" s="32" t="n">
        <f>482</f>
        <v>482.0</v>
      </c>
      <c r="U55" s="32" t="str">
        <f>"－"</f>
        <v>－</v>
      </c>
      <c r="V55" s="32" t="n">
        <f>13814450</f>
        <v>1.381445E7</v>
      </c>
      <c r="W55" s="32" t="str">
        <f>"－"</f>
        <v>－</v>
      </c>
      <c r="X55" s="36" t="n">
        <f>9</f>
        <v>9.0</v>
      </c>
    </row>
    <row r="56">
      <c r="A56" s="27" t="s">
        <v>42</v>
      </c>
      <c r="B56" s="27" t="s">
        <v>206</v>
      </c>
      <c r="C56" s="27" t="s">
        <v>207</v>
      </c>
      <c r="D56" s="27" t="s">
        <v>208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23165</f>
        <v>23165.0</v>
      </c>
      <c r="L56" s="34" t="s">
        <v>209</v>
      </c>
      <c r="M56" s="33" t="n">
        <f>23200</f>
        <v>23200.0</v>
      </c>
      <c r="N56" s="34" t="s">
        <v>209</v>
      </c>
      <c r="O56" s="33" t="n">
        <f>22245</f>
        <v>22245.0</v>
      </c>
      <c r="P56" s="34" t="s">
        <v>72</v>
      </c>
      <c r="Q56" s="33" t="n">
        <f>23180</f>
        <v>23180.0</v>
      </c>
      <c r="R56" s="34" t="s">
        <v>50</v>
      </c>
      <c r="S56" s="35" t="n">
        <f>22928.57</f>
        <v>22928.57</v>
      </c>
      <c r="T56" s="32" t="n">
        <f>105</f>
        <v>105.0</v>
      </c>
      <c r="U56" s="32" t="str">
        <f>"－"</f>
        <v>－</v>
      </c>
      <c r="V56" s="32" t="n">
        <f>2415095</f>
        <v>2415095.0</v>
      </c>
      <c r="W56" s="32" t="str">
        <f>"－"</f>
        <v>－</v>
      </c>
      <c r="X56" s="36" t="n">
        <f>7</f>
        <v>7.0</v>
      </c>
    </row>
    <row r="57">
      <c r="A57" s="27" t="s">
        <v>42</v>
      </c>
      <c r="B57" s="27" t="s">
        <v>210</v>
      </c>
      <c r="C57" s="27" t="s">
        <v>211</v>
      </c>
      <c r="D57" s="27" t="s">
        <v>212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2373</f>
        <v>2373.0</v>
      </c>
      <c r="L57" s="34" t="s">
        <v>48</v>
      </c>
      <c r="M57" s="33" t="n">
        <f>2425</f>
        <v>2425.0</v>
      </c>
      <c r="N57" s="34" t="s">
        <v>213</v>
      </c>
      <c r="O57" s="33" t="n">
        <f>2280</f>
        <v>2280.0</v>
      </c>
      <c r="P57" s="34" t="s">
        <v>68</v>
      </c>
      <c r="Q57" s="33" t="n">
        <f>2362</f>
        <v>2362.0</v>
      </c>
      <c r="R57" s="34" t="s">
        <v>50</v>
      </c>
      <c r="S57" s="35" t="n">
        <f>2337.83</f>
        <v>2337.83</v>
      </c>
      <c r="T57" s="32" t="n">
        <f>1104</f>
        <v>1104.0</v>
      </c>
      <c r="U57" s="32" t="str">
        <f>"－"</f>
        <v>－</v>
      </c>
      <c r="V57" s="32" t="n">
        <f>2586471</f>
        <v>2586471.0</v>
      </c>
      <c r="W57" s="32" t="str">
        <f>"－"</f>
        <v>－</v>
      </c>
      <c r="X57" s="36" t="n">
        <f>18</f>
        <v>18.0</v>
      </c>
    </row>
    <row r="58">
      <c r="A58" s="27" t="s">
        <v>42</v>
      </c>
      <c r="B58" s="27" t="s">
        <v>214</v>
      </c>
      <c r="C58" s="27" t="s">
        <v>215</v>
      </c>
      <c r="D58" s="27" t="s">
        <v>216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1832</f>
        <v>1832.0</v>
      </c>
      <c r="L58" s="34" t="s">
        <v>48</v>
      </c>
      <c r="M58" s="33" t="n">
        <f>1833</f>
        <v>1833.0</v>
      </c>
      <c r="N58" s="34" t="s">
        <v>48</v>
      </c>
      <c r="O58" s="33" t="n">
        <f>1774</f>
        <v>1774.0</v>
      </c>
      <c r="P58" s="34" t="s">
        <v>60</v>
      </c>
      <c r="Q58" s="33" t="n">
        <f>1807</f>
        <v>1807.0</v>
      </c>
      <c r="R58" s="34" t="s">
        <v>50</v>
      </c>
      <c r="S58" s="35" t="n">
        <f>1802.95</f>
        <v>1802.95</v>
      </c>
      <c r="T58" s="32" t="n">
        <f>9167914</f>
        <v>9167914.0</v>
      </c>
      <c r="U58" s="32" t="n">
        <f>7202192</f>
        <v>7202192.0</v>
      </c>
      <c r="V58" s="32" t="n">
        <f>16591165131</f>
        <v>1.6591165131E10</v>
      </c>
      <c r="W58" s="32" t="n">
        <f>13042486469</f>
        <v>1.3042486469E10</v>
      </c>
      <c r="X58" s="36" t="n">
        <f>22</f>
        <v>22.0</v>
      </c>
    </row>
    <row r="59">
      <c r="A59" s="27" t="s">
        <v>42</v>
      </c>
      <c r="B59" s="27" t="s">
        <v>217</v>
      </c>
      <c r="C59" s="27" t="s">
        <v>218</v>
      </c>
      <c r="D59" s="27" t="s">
        <v>219</v>
      </c>
      <c r="E59" s="28" t="s">
        <v>46</v>
      </c>
      <c r="F59" s="29" t="s">
        <v>46</v>
      </c>
      <c r="G59" s="30" t="s">
        <v>46</v>
      </c>
      <c r="H59" s="31"/>
      <c r="I59" s="31" t="s">
        <v>47</v>
      </c>
      <c r="J59" s="32" t="n">
        <v>1.0</v>
      </c>
      <c r="K59" s="33" t="n">
        <f>2398</f>
        <v>2398.0</v>
      </c>
      <c r="L59" s="34" t="s">
        <v>48</v>
      </c>
      <c r="M59" s="33" t="n">
        <f>2402</f>
        <v>2402.0</v>
      </c>
      <c r="N59" s="34" t="s">
        <v>48</v>
      </c>
      <c r="O59" s="33" t="n">
        <f>2276</f>
        <v>2276.0</v>
      </c>
      <c r="P59" s="34" t="s">
        <v>49</v>
      </c>
      <c r="Q59" s="33" t="n">
        <f>2371</f>
        <v>2371.0</v>
      </c>
      <c r="R59" s="34" t="s">
        <v>50</v>
      </c>
      <c r="S59" s="35" t="n">
        <f>2344.76</f>
        <v>2344.76</v>
      </c>
      <c r="T59" s="32" t="n">
        <f>709</f>
        <v>709.0</v>
      </c>
      <c r="U59" s="32" t="str">
        <f>"－"</f>
        <v>－</v>
      </c>
      <c r="V59" s="32" t="n">
        <f>1661302</f>
        <v>1661302.0</v>
      </c>
      <c r="W59" s="32" t="str">
        <f>"－"</f>
        <v>－</v>
      </c>
      <c r="X59" s="36" t="n">
        <f>21</f>
        <v>21.0</v>
      </c>
    </row>
    <row r="60">
      <c r="A60" s="27" t="s">
        <v>42</v>
      </c>
      <c r="B60" s="27" t="s">
        <v>220</v>
      </c>
      <c r="C60" s="27" t="s">
        <v>221</v>
      </c>
      <c r="D60" s="27" t="s">
        <v>222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10.0</v>
      </c>
      <c r="K60" s="33" t="n">
        <f>2334</f>
        <v>2334.0</v>
      </c>
      <c r="L60" s="34" t="s">
        <v>48</v>
      </c>
      <c r="M60" s="33" t="n">
        <f>2344</f>
        <v>2344.0</v>
      </c>
      <c r="N60" s="34" t="s">
        <v>48</v>
      </c>
      <c r="O60" s="33" t="n">
        <f>2243</f>
        <v>2243.0</v>
      </c>
      <c r="P60" s="34" t="s">
        <v>72</v>
      </c>
      <c r="Q60" s="33" t="n">
        <f>2338</f>
        <v>2338.0</v>
      </c>
      <c r="R60" s="34" t="s">
        <v>50</v>
      </c>
      <c r="S60" s="35" t="n">
        <f>2295.16</f>
        <v>2295.16</v>
      </c>
      <c r="T60" s="32" t="n">
        <f>12400</f>
        <v>12400.0</v>
      </c>
      <c r="U60" s="32" t="str">
        <f>"－"</f>
        <v>－</v>
      </c>
      <c r="V60" s="32" t="n">
        <f>28430460</f>
        <v>2.843046E7</v>
      </c>
      <c r="W60" s="32" t="str">
        <f>"－"</f>
        <v>－</v>
      </c>
      <c r="X60" s="36" t="n">
        <f>22</f>
        <v>22.0</v>
      </c>
    </row>
    <row r="61">
      <c r="A61" s="27" t="s">
        <v>42</v>
      </c>
      <c r="B61" s="27" t="s">
        <v>223</v>
      </c>
      <c r="C61" s="27" t="s">
        <v>224</v>
      </c>
      <c r="D61" s="27" t="s">
        <v>225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1.0</v>
      </c>
      <c r="K61" s="33" t="n">
        <f>35940</f>
        <v>35940.0</v>
      </c>
      <c r="L61" s="34" t="s">
        <v>79</v>
      </c>
      <c r="M61" s="33" t="n">
        <f>35940</f>
        <v>35940.0</v>
      </c>
      <c r="N61" s="34" t="s">
        <v>79</v>
      </c>
      <c r="O61" s="33" t="n">
        <f>34770</f>
        <v>34770.0</v>
      </c>
      <c r="P61" s="34" t="s">
        <v>79</v>
      </c>
      <c r="Q61" s="33" t="n">
        <f>34770</f>
        <v>34770.0</v>
      </c>
      <c r="R61" s="34" t="s">
        <v>79</v>
      </c>
      <c r="S61" s="35" t="n">
        <f>34770</f>
        <v>34770.0</v>
      </c>
      <c r="T61" s="32" t="n">
        <f>3</f>
        <v>3.0</v>
      </c>
      <c r="U61" s="32" t="str">
        <f>"－"</f>
        <v>－</v>
      </c>
      <c r="V61" s="32" t="n">
        <f>105520</f>
        <v>105520.0</v>
      </c>
      <c r="W61" s="32" t="str">
        <f>"－"</f>
        <v>－</v>
      </c>
      <c r="X61" s="36" t="n">
        <f>1</f>
        <v>1.0</v>
      </c>
    </row>
    <row r="62">
      <c r="A62" s="27" t="s">
        <v>42</v>
      </c>
      <c r="B62" s="27" t="s">
        <v>226</v>
      </c>
      <c r="C62" s="27" t="s">
        <v>227</v>
      </c>
      <c r="D62" s="27" t="s">
        <v>228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1.0</v>
      </c>
      <c r="K62" s="33" t="n">
        <f>22455</f>
        <v>22455.0</v>
      </c>
      <c r="L62" s="34" t="s">
        <v>48</v>
      </c>
      <c r="M62" s="33" t="n">
        <f>22795</f>
        <v>22795.0</v>
      </c>
      <c r="N62" s="34" t="s">
        <v>50</v>
      </c>
      <c r="O62" s="33" t="n">
        <f>22085</f>
        <v>22085.0</v>
      </c>
      <c r="P62" s="34" t="s">
        <v>154</v>
      </c>
      <c r="Q62" s="33" t="n">
        <f>22765</f>
        <v>22765.0</v>
      </c>
      <c r="R62" s="34" t="s">
        <v>50</v>
      </c>
      <c r="S62" s="35" t="n">
        <f>22470.45</f>
        <v>22470.45</v>
      </c>
      <c r="T62" s="32" t="n">
        <f>212866</f>
        <v>212866.0</v>
      </c>
      <c r="U62" s="32" t="n">
        <f>105400</f>
        <v>105400.0</v>
      </c>
      <c r="V62" s="32" t="n">
        <f>4786362081</f>
        <v>4.786362081E9</v>
      </c>
      <c r="W62" s="32" t="n">
        <f>2371113086</f>
        <v>2.371113086E9</v>
      </c>
      <c r="X62" s="36" t="n">
        <f>22</f>
        <v>22.0</v>
      </c>
    </row>
    <row r="63">
      <c r="A63" s="27" t="s">
        <v>42</v>
      </c>
      <c r="B63" s="27" t="s">
        <v>229</v>
      </c>
      <c r="C63" s="27" t="s">
        <v>230</v>
      </c>
      <c r="D63" s="27" t="s">
        <v>231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1.0</v>
      </c>
      <c r="K63" s="33" t="n">
        <f>14085</f>
        <v>14085.0</v>
      </c>
      <c r="L63" s="34" t="s">
        <v>48</v>
      </c>
      <c r="M63" s="33" t="n">
        <f>14085</f>
        <v>14085.0</v>
      </c>
      <c r="N63" s="34" t="s">
        <v>48</v>
      </c>
      <c r="O63" s="33" t="n">
        <f>13595</f>
        <v>13595.0</v>
      </c>
      <c r="P63" s="34" t="s">
        <v>60</v>
      </c>
      <c r="Q63" s="33" t="n">
        <f>13835</f>
        <v>13835.0</v>
      </c>
      <c r="R63" s="34" t="s">
        <v>50</v>
      </c>
      <c r="S63" s="35" t="n">
        <f>13821.14</f>
        <v>13821.14</v>
      </c>
      <c r="T63" s="32" t="n">
        <f>1215678</f>
        <v>1215678.0</v>
      </c>
      <c r="U63" s="32" t="n">
        <f>1052724</f>
        <v>1052724.0</v>
      </c>
      <c r="V63" s="32" t="n">
        <f>16830604753</f>
        <v>1.6830604753E10</v>
      </c>
      <c r="W63" s="32" t="n">
        <f>14578586918</f>
        <v>1.4578586918E10</v>
      </c>
      <c r="X63" s="36" t="n">
        <f>22</f>
        <v>22.0</v>
      </c>
    </row>
    <row r="64">
      <c r="A64" s="27" t="s">
        <v>42</v>
      </c>
      <c r="B64" s="27" t="s">
        <v>232</v>
      </c>
      <c r="C64" s="27" t="s">
        <v>233</v>
      </c>
      <c r="D64" s="27" t="s">
        <v>234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10.0</v>
      </c>
      <c r="K64" s="33" t="n">
        <f>1946</f>
        <v>1946.0</v>
      </c>
      <c r="L64" s="34" t="s">
        <v>48</v>
      </c>
      <c r="M64" s="33" t="n">
        <f>1984</f>
        <v>1984.0</v>
      </c>
      <c r="N64" s="34" t="s">
        <v>50</v>
      </c>
      <c r="O64" s="33" t="n">
        <f>1911</f>
        <v>1911.0</v>
      </c>
      <c r="P64" s="34" t="s">
        <v>72</v>
      </c>
      <c r="Q64" s="33" t="n">
        <f>1969.5</f>
        <v>1969.5</v>
      </c>
      <c r="R64" s="34" t="s">
        <v>50</v>
      </c>
      <c r="S64" s="35" t="n">
        <f>1938.8</f>
        <v>1938.8</v>
      </c>
      <c r="T64" s="32" t="n">
        <f>1025510</f>
        <v>1025510.0</v>
      </c>
      <c r="U64" s="32" t="n">
        <f>114940</f>
        <v>114940.0</v>
      </c>
      <c r="V64" s="32" t="n">
        <f>1989531066</f>
        <v>1.989531066E9</v>
      </c>
      <c r="W64" s="32" t="n">
        <f>221119331</f>
        <v>2.21119331E8</v>
      </c>
      <c r="X64" s="36" t="n">
        <f>22</f>
        <v>22.0</v>
      </c>
    </row>
    <row r="65">
      <c r="A65" s="27" t="s">
        <v>42</v>
      </c>
      <c r="B65" s="27" t="s">
        <v>235</v>
      </c>
      <c r="C65" s="27" t="s">
        <v>236</v>
      </c>
      <c r="D65" s="27" t="s">
        <v>237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1.0</v>
      </c>
      <c r="K65" s="33" t="n">
        <f>54500</f>
        <v>54500.0</v>
      </c>
      <c r="L65" s="34" t="s">
        <v>48</v>
      </c>
      <c r="M65" s="33" t="n">
        <f>55780</f>
        <v>55780.0</v>
      </c>
      <c r="N65" s="34" t="s">
        <v>50</v>
      </c>
      <c r="O65" s="33" t="n">
        <f>52700</f>
        <v>52700.0</v>
      </c>
      <c r="P65" s="34" t="s">
        <v>49</v>
      </c>
      <c r="Q65" s="33" t="n">
        <f>55670</f>
        <v>55670.0</v>
      </c>
      <c r="R65" s="34" t="s">
        <v>50</v>
      </c>
      <c r="S65" s="35" t="n">
        <f>54262.27</f>
        <v>54262.27</v>
      </c>
      <c r="T65" s="32" t="n">
        <f>522025</f>
        <v>522025.0</v>
      </c>
      <c r="U65" s="32" t="n">
        <f>44517</f>
        <v>44517.0</v>
      </c>
      <c r="V65" s="32" t="n">
        <f>28288307635</f>
        <v>2.8288307635E10</v>
      </c>
      <c r="W65" s="32" t="n">
        <f>2415643535</f>
        <v>2.415643535E9</v>
      </c>
      <c r="X65" s="36" t="n">
        <f>22</f>
        <v>22.0</v>
      </c>
    </row>
    <row r="66">
      <c r="A66" s="27" t="s">
        <v>42</v>
      </c>
      <c r="B66" s="27" t="s">
        <v>238</v>
      </c>
      <c r="C66" s="27" t="s">
        <v>239</v>
      </c>
      <c r="D66" s="27" t="s">
        <v>240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10.0</v>
      </c>
      <c r="K66" s="33" t="n">
        <f>7653</f>
        <v>7653.0</v>
      </c>
      <c r="L66" s="34" t="s">
        <v>154</v>
      </c>
      <c r="M66" s="33" t="n">
        <f>7796</f>
        <v>7796.0</v>
      </c>
      <c r="N66" s="34" t="s">
        <v>114</v>
      </c>
      <c r="O66" s="33" t="n">
        <f>7653</f>
        <v>7653.0</v>
      </c>
      <c r="P66" s="34" t="s">
        <v>154</v>
      </c>
      <c r="Q66" s="33" t="n">
        <f>7771</f>
        <v>7771.0</v>
      </c>
      <c r="R66" s="34" t="s">
        <v>241</v>
      </c>
      <c r="S66" s="35" t="n">
        <f>7740</f>
        <v>7740.0</v>
      </c>
      <c r="T66" s="32" t="n">
        <f>40</f>
        <v>40.0</v>
      </c>
      <c r="U66" s="32" t="str">
        <f>"－"</f>
        <v>－</v>
      </c>
      <c r="V66" s="32" t="n">
        <f>309890</f>
        <v>309890.0</v>
      </c>
      <c r="W66" s="32" t="str">
        <f>"－"</f>
        <v>－</v>
      </c>
      <c r="X66" s="36" t="n">
        <f>3</f>
        <v>3.0</v>
      </c>
    </row>
    <row r="67">
      <c r="A67" s="27" t="s">
        <v>42</v>
      </c>
      <c r="B67" s="27" t="s">
        <v>242</v>
      </c>
      <c r="C67" s="27" t="s">
        <v>243</v>
      </c>
      <c r="D67" s="27" t="s">
        <v>244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17270</f>
        <v>17270.0</v>
      </c>
      <c r="L67" s="34" t="s">
        <v>48</v>
      </c>
      <c r="M67" s="33" t="n">
        <f>17300</f>
        <v>17300.0</v>
      </c>
      <c r="N67" s="34" t="s">
        <v>209</v>
      </c>
      <c r="O67" s="33" t="n">
        <f>16670</f>
        <v>16670.0</v>
      </c>
      <c r="P67" s="34" t="s">
        <v>245</v>
      </c>
      <c r="Q67" s="33" t="n">
        <f>17135</f>
        <v>17135.0</v>
      </c>
      <c r="R67" s="34" t="s">
        <v>50</v>
      </c>
      <c r="S67" s="35" t="n">
        <f>17035.45</f>
        <v>17035.45</v>
      </c>
      <c r="T67" s="32" t="n">
        <f>1709</f>
        <v>1709.0</v>
      </c>
      <c r="U67" s="32" t="n">
        <f>1000</f>
        <v>1000.0</v>
      </c>
      <c r="V67" s="32" t="n">
        <f>28658300</f>
        <v>2.86583E7</v>
      </c>
      <c r="W67" s="32" t="n">
        <f>16522990</f>
        <v>1.652299E7</v>
      </c>
      <c r="X67" s="36" t="n">
        <f>22</f>
        <v>22.0</v>
      </c>
    </row>
    <row r="68">
      <c r="A68" s="27" t="s">
        <v>42</v>
      </c>
      <c r="B68" s="27" t="s">
        <v>246</v>
      </c>
      <c r="C68" s="27" t="s">
        <v>247</v>
      </c>
      <c r="D68" s="27" t="s">
        <v>248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1.0</v>
      </c>
      <c r="K68" s="33" t="n">
        <f>16950</f>
        <v>16950.0</v>
      </c>
      <c r="L68" s="34" t="s">
        <v>48</v>
      </c>
      <c r="M68" s="33" t="n">
        <f>16950</f>
        <v>16950.0</v>
      </c>
      <c r="N68" s="34" t="s">
        <v>48</v>
      </c>
      <c r="O68" s="33" t="n">
        <f>16025</f>
        <v>16025.0</v>
      </c>
      <c r="P68" s="34" t="s">
        <v>72</v>
      </c>
      <c r="Q68" s="33" t="n">
        <f>16890</f>
        <v>16890.0</v>
      </c>
      <c r="R68" s="34" t="s">
        <v>50</v>
      </c>
      <c r="S68" s="35" t="n">
        <f>16522.27</f>
        <v>16522.27</v>
      </c>
      <c r="T68" s="32" t="n">
        <f>4620</f>
        <v>4620.0</v>
      </c>
      <c r="U68" s="32" t="str">
        <f>"－"</f>
        <v>－</v>
      </c>
      <c r="V68" s="32" t="n">
        <f>76122570</f>
        <v>7.612257E7</v>
      </c>
      <c r="W68" s="32" t="str">
        <f>"－"</f>
        <v>－</v>
      </c>
      <c r="X68" s="36" t="n">
        <f>22</f>
        <v>22.0</v>
      </c>
    </row>
    <row r="69">
      <c r="A69" s="27" t="s">
        <v>42</v>
      </c>
      <c r="B69" s="27" t="s">
        <v>249</v>
      </c>
      <c r="C69" s="27" t="s">
        <v>250</v>
      </c>
      <c r="D69" s="27" t="s">
        <v>251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1.0</v>
      </c>
      <c r="K69" s="33" t="n">
        <f>25755</f>
        <v>25755.0</v>
      </c>
      <c r="L69" s="34" t="s">
        <v>48</v>
      </c>
      <c r="M69" s="33" t="n">
        <f>26330</f>
        <v>26330.0</v>
      </c>
      <c r="N69" s="34" t="s">
        <v>50</v>
      </c>
      <c r="O69" s="33" t="n">
        <f>24900</f>
        <v>24900.0</v>
      </c>
      <c r="P69" s="34" t="s">
        <v>154</v>
      </c>
      <c r="Q69" s="33" t="n">
        <f>26255</f>
        <v>26255.0</v>
      </c>
      <c r="R69" s="34" t="s">
        <v>50</v>
      </c>
      <c r="S69" s="35" t="n">
        <f>25516.36</f>
        <v>25516.36</v>
      </c>
      <c r="T69" s="32" t="n">
        <f>26902</f>
        <v>26902.0</v>
      </c>
      <c r="U69" s="32" t="n">
        <f>5000</f>
        <v>5000.0</v>
      </c>
      <c r="V69" s="32" t="n">
        <f>690755410</f>
        <v>6.9075541E8</v>
      </c>
      <c r="W69" s="32" t="n">
        <f>129403250</f>
        <v>1.2940325E8</v>
      </c>
      <c r="X69" s="36" t="n">
        <f>22</f>
        <v>22.0</v>
      </c>
    </row>
    <row r="70">
      <c r="A70" s="27" t="s">
        <v>42</v>
      </c>
      <c r="B70" s="27" t="s">
        <v>252</v>
      </c>
      <c r="C70" s="27" t="s">
        <v>253</v>
      </c>
      <c r="D70" s="27" t="s">
        <v>254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10.0</v>
      </c>
      <c r="K70" s="33" t="n">
        <f>10560</f>
        <v>10560.0</v>
      </c>
      <c r="L70" s="34" t="s">
        <v>48</v>
      </c>
      <c r="M70" s="33" t="n">
        <f>10685</f>
        <v>10685.0</v>
      </c>
      <c r="N70" s="34" t="s">
        <v>209</v>
      </c>
      <c r="O70" s="33" t="n">
        <f>10155</f>
        <v>10155.0</v>
      </c>
      <c r="P70" s="34" t="s">
        <v>68</v>
      </c>
      <c r="Q70" s="33" t="n">
        <f>10395</f>
        <v>10395.0</v>
      </c>
      <c r="R70" s="34" t="s">
        <v>50</v>
      </c>
      <c r="S70" s="35" t="n">
        <f>10399.32</f>
        <v>10399.32</v>
      </c>
      <c r="T70" s="32" t="n">
        <f>9670</f>
        <v>9670.0</v>
      </c>
      <c r="U70" s="32" t="n">
        <f>20</f>
        <v>20.0</v>
      </c>
      <c r="V70" s="32" t="n">
        <f>100424350</f>
        <v>1.0042435E8</v>
      </c>
      <c r="W70" s="32" t="n">
        <f>207750</f>
        <v>207750.0</v>
      </c>
      <c r="X70" s="36" t="n">
        <f>22</f>
        <v>22.0</v>
      </c>
    </row>
    <row r="71">
      <c r="A71" s="27" t="s">
        <v>42</v>
      </c>
      <c r="B71" s="27" t="s">
        <v>255</v>
      </c>
      <c r="C71" s="27" t="s">
        <v>256</v>
      </c>
      <c r="D71" s="27" t="s">
        <v>257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1935</f>
        <v>1935.0</v>
      </c>
      <c r="L71" s="34" t="s">
        <v>48</v>
      </c>
      <c r="M71" s="33" t="n">
        <f>1938</f>
        <v>1938.0</v>
      </c>
      <c r="N71" s="34" t="s">
        <v>48</v>
      </c>
      <c r="O71" s="33" t="n">
        <f>1848</f>
        <v>1848.0</v>
      </c>
      <c r="P71" s="34" t="s">
        <v>60</v>
      </c>
      <c r="Q71" s="33" t="n">
        <f>1899</f>
        <v>1899.0</v>
      </c>
      <c r="R71" s="34" t="s">
        <v>50</v>
      </c>
      <c r="S71" s="35" t="n">
        <f>1889</f>
        <v>1889.0</v>
      </c>
      <c r="T71" s="32" t="n">
        <f>1539617</f>
        <v>1539617.0</v>
      </c>
      <c r="U71" s="32" t="n">
        <f>937484</f>
        <v>937484.0</v>
      </c>
      <c r="V71" s="32" t="n">
        <f>2909513071</f>
        <v>2.909513071E9</v>
      </c>
      <c r="W71" s="32" t="n">
        <f>1770825952</f>
        <v>1.770825952E9</v>
      </c>
      <c r="X71" s="36" t="n">
        <f>22</f>
        <v>22.0</v>
      </c>
    </row>
    <row r="72">
      <c r="A72" s="27" t="s">
        <v>42</v>
      </c>
      <c r="B72" s="27" t="s">
        <v>258</v>
      </c>
      <c r="C72" s="27" t="s">
        <v>259</v>
      </c>
      <c r="D72" s="27" t="s">
        <v>260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1900</f>
        <v>1900.0</v>
      </c>
      <c r="L72" s="34" t="s">
        <v>48</v>
      </c>
      <c r="M72" s="33" t="n">
        <f>1905</f>
        <v>1905.0</v>
      </c>
      <c r="N72" s="34" t="s">
        <v>48</v>
      </c>
      <c r="O72" s="33" t="n">
        <f>1865</f>
        <v>1865.0</v>
      </c>
      <c r="P72" s="34" t="s">
        <v>68</v>
      </c>
      <c r="Q72" s="33" t="n">
        <f>1892</f>
        <v>1892.0</v>
      </c>
      <c r="R72" s="34" t="s">
        <v>50</v>
      </c>
      <c r="S72" s="35" t="n">
        <f>1886.36</f>
        <v>1886.36</v>
      </c>
      <c r="T72" s="32" t="n">
        <f>560446</f>
        <v>560446.0</v>
      </c>
      <c r="U72" s="32" t="str">
        <f>"－"</f>
        <v>－</v>
      </c>
      <c r="V72" s="32" t="n">
        <f>1055641822</f>
        <v>1.055641822E9</v>
      </c>
      <c r="W72" s="32" t="str">
        <f>"－"</f>
        <v>－</v>
      </c>
      <c r="X72" s="36" t="n">
        <f>22</f>
        <v>22.0</v>
      </c>
    </row>
    <row r="73">
      <c r="A73" s="27" t="s">
        <v>42</v>
      </c>
      <c r="B73" s="27" t="s">
        <v>261</v>
      </c>
      <c r="C73" s="27" t="s">
        <v>262</v>
      </c>
      <c r="D73" s="27" t="s">
        <v>263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18090</f>
        <v>18090.0</v>
      </c>
      <c r="L73" s="34" t="s">
        <v>48</v>
      </c>
      <c r="M73" s="33" t="n">
        <f>18160</f>
        <v>18160.0</v>
      </c>
      <c r="N73" s="34" t="s">
        <v>48</v>
      </c>
      <c r="O73" s="33" t="n">
        <f>17250</f>
        <v>17250.0</v>
      </c>
      <c r="P73" s="34" t="s">
        <v>72</v>
      </c>
      <c r="Q73" s="33" t="n">
        <f>18075</f>
        <v>18075.0</v>
      </c>
      <c r="R73" s="34" t="s">
        <v>50</v>
      </c>
      <c r="S73" s="35" t="n">
        <f>17702.05</f>
        <v>17702.05</v>
      </c>
      <c r="T73" s="32" t="n">
        <f>2559</f>
        <v>2559.0</v>
      </c>
      <c r="U73" s="32" t="n">
        <f>2</f>
        <v>2.0</v>
      </c>
      <c r="V73" s="32" t="n">
        <f>45151175</f>
        <v>4.5151175E7</v>
      </c>
      <c r="W73" s="32" t="n">
        <f>35410</f>
        <v>35410.0</v>
      </c>
      <c r="X73" s="36" t="n">
        <f>22</f>
        <v>22.0</v>
      </c>
    </row>
    <row r="74">
      <c r="A74" s="27" t="s">
        <v>42</v>
      </c>
      <c r="B74" s="27" t="s">
        <v>264</v>
      </c>
      <c r="C74" s="27" t="s">
        <v>265</v>
      </c>
      <c r="D74" s="27" t="s">
        <v>266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1.0</v>
      </c>
      <c r="K74" s="33" t="n">
        <f>9035</f>
        <v>9035.0</v>
      </c>
      <c r="L74" s="34" t="s">
        <v>48</v>
      </c>
      <c r="M74" s="33" t="n">
        <f>9380</f>
        <v>9380.0</v>
      </c>
      <c r="N74" s="34" t="s">
        <v>67</v>
      </c>
      <c r="O74" s="33" t="n">
        <f>9000</f>
        <v>9000.0</v>
      </c>
      <c r="P74" s="34" t="s">
        <v>209</v>
      </c>
      <c r="Q74" s="33" t="n">
        <f>9254</f>
        <v>9254.0</v>
      </c>
      <c r="R74" s="34" t="s">
        <v>50</v>
      </c>
      <c r="S74" s="35" t="n">
        <f>9136.27</f>
        <v>9136.27</v>
      </c>
      <c r="T74" s="32" t="n">
        <f>1596</f>
        <v>1596.0</v>
      </c>
      <c r="U74" s="32" t="str">
        <f>"－"</f>
        <v>－</v>
      </c>
      <c r="V74" s="32" t="n">
        <f>14589226</f>
        <v>1.4589226E7</v>
      </c>
      <c r="W74" s="32" t="str">
        <f>"－"</f>
        <v>－</v>
      </c>
      <c r="X74" s="36" t="n">
        <f>22</f>
        <v>22.0</v>
      </c>
    </row>
    <row r="75">
      <c r="A75" s="27" t="s">
        <v>42</v>
      </c>
      <c r="B75" s="27" t="s">
        <v>267</v>
      </c>
      <c r="C75" s="27" t="s">
        <v>268</v>
      </c>
      <c r="D75" s="27" t="s">
        <v>269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1.0</v>
      </c>
      <c r="K75" s="33" t="n">
        <f>8498</f>
        <v>8498.0</v>
      </c>
      <c r="L75" s="34" t="s">
        <v>48</v>
      </c>
      <c r="M75" s="33" t="n">
        <f>8659</f>
        <v>8659.0</v>
      </c>
      <c r="N75" s="34" t="s">
        <v>50</v>
      </c>
      <c r="O75" s="33" t="n">
        <f>8375</f>
        <v>8375.0</v>
      </c>
      <c r="P75" s="34" t="s">
        <v>68</v>
      </c>
      <c r="Q75" s="33" t="n">
        <f>8635</f>
        <v>8635.0</v>
      </c>
      <c r="R75" s="34" t="s">
        <v>50</v>
      </c>
      <c r="S75" s="35" t="n">
        <f>8465.86</f>
        <v>8465.86</v>
      </c>
      <c r="T75" s="32" t="n">
        <f>1814593</f>
        <v>1814593.0</v>
      </c>
      <c r="U75" s="32" t="n">
        <f>88208</f>
        <v>88208.0</v>
      </c>
      <c r="V75" s="32" t="n">
        <f>15387214834</f>
        <v>1.5387214834E10</v>
      </c>
      <c r="W75" s="32" t="n">
        <f>744460954</f>
        <v>7.44460954E8</v>
      </c>
      <c r="X75" s="36" t="n">
        <f>22</f>
        <v>22.0</v>
      </c>
    </row>
    <row r="76">
      <c r="A76" s="27" t="s">
        <v>42</v>
      </c>
      <c r="B76" s="27" t="s">
        <v>270</v>
      </c>
      <c r="C76" s="27" t="s">
        <v>271</v>
      </c>
      <c r="D76" s="27" t="s">
        <v>272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1.0</v>
      </c>
      <c r="K76" s="33" t="n">
        <f>4015</f>
        <v>4015.0</v>
      </c>
      <c r="L76" s="34" t="s">
        <v>48</v>
      </c>
      <c r="M76" s="33" t="n">
        <f>4210</f>
        <v>4210.0</v>
      </c>
      <c r="N76" s="34" t="s">
        <v>67</v>
      </c>
      <c r="O76" s="33" t="n">
        <f>3845</f>
        <v>3845.0</v>
      </c>
      <c r="P76" s="34" t="s">
        <v>205</v>
      </c>
      <c r="Q76" s="33" t="n">
        <f>4170</f>
        <v>4170.0</v>
      </c>
      <c r="R76" s="34" t="s">
        <v>50</v>
      </c>
      <c r="S76" s="35" t="n">
        <f>3976.82</f>
        <v>3976.82</v>
      </c>
      <c r="T76" s="32" t="n">
        <f>664943</f>
        <v>664943.0</v>
      </c>
      <c r="U76" s="32" t="n">
        <f>114</f>
        <v>114.0</v>
      </c>
      <c r="V76" s="32" t="n">
        <f>2643596955</f>
        <v>2.643596955E9</v>
      </c>
      <c r="W76" s="32" t="n">
        <f>446635</f>
        <v>446635.0</v>
      </c>
      <c r="X76" s="36" t="n">
        <f>22</f>
        <v>22.0</v>
      </c>
    </row>
    <row r="77">
      <c r="A77" s="27" t="s">
        <v>42</v>
      </c>
      <c r="B77" s="27" t="s">
        <v>273</v>
      </c>
      <c r="C77" s="27" t="s">
        <v>274</v>
      </c>
      <c r="D77" s="27" t="s">
        <v>275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1.0</v>
      </c>
      <c r="K77" s="33" t="n">
        <f>10060</f>
        <v>10060.0</v>
      </c>
      <c r="L77" s="34" t="s">
        <v>48</v>
      </c>
      <c r="M77" s="33" t="n">
        <f>10350</f>
        <v>10350.0</v>
      </c>
      <c r="N77" s="34" t="s">
        <v>67</v>
      </c>
      <c r="O77" s="33" t="n">
        <f>9484</f>
        <v>9484.0</v>
      </c>
      <c r="P77" s="34" t="s">
        <v>276</v>
      </c>
      <c r="Q77" s="33" t="n">
        <f>10240</f>
        <v>10240.0</v>
      </c>
      <c r="R77" s="34" t="s">
        <v>50</v>
      </c>
      <c r="S77" s="35" t="n">
        <f>9846.18</f>
        <v>9846.18</v>
      </c>
      <c r="T77" s="32" t="n">
        <f>101498</f>
        <v>101498.0</v>
      </c>
      <c r="U77" s="32" t="str">
        <f>"－"</f>
        <v>－</v>
      </c>
      <c r="V77" s="32" t="n">
        <f>1002226740</f>
        <v>1.00222674E9</v>
      </c>
      <c r="W77" s="32" t="str">
        <f>"－"</f>
        <v>－</v>
      </c>
      <c r="X77" s="36" t="n">
        <f>22</f>
        <v>22.0</v>
      </c>
    </row>
    <row r="78">
      <c r="A78" s="27" t="s">
        <v>42</v>
      </c>
      <c r="B78" s="27" t="s">
        <v>277</v>
      </c>
      <c r="C78" s="27" t="s">
        <v>278</v>
      </c>
      <c r="D78" s="27" t="s">
        <v>279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1.0</v>
      </c>
      <c r="K78" s="33" t="n">
        <f>53520</f>
        <v>53520.0</v>
      </c>
      <c r="L78" s="34" t="s">
        <v>48</v>
      </c>
      <c r="M78" s="33" t="n">
        <f>55190</f>
        <v>55190.0</v>
      </c>
      <c r="N78" s="34" t="s">
        <v>114</v>
      </c>
      <c r="O78" s="33" t="n">
        <f>51700</f>
        <v>51700.0</v>
      </c>
      <c r="P78" s="34" t="s">
        <v>72</v>
      </c>
      <c r="Q78" s="33" t="n">
        <f>53130</f>
        <v>53130.0</v>
      </c>
      <c r="R78" s="34" t="s">
        <v>50</v>
      </c>
      <c r="S78" s="35" t="n">
        <f>52995.91</f>
        <v>52995.91</v>
      </c>
      <c r="T78" s="32" t="n">
        <f>5087</f>
        <v>5087.0</v>
      </c>
      <c r="U78" s="32" t="n">
        <f>4</f>
        <v>4.0</v>
      </c>
      <c r="V78" s="32" t="n">
        <f>271979340</f>
        <v>2.7197934E8</v>
      </c>
      <c r="W78" s="32" t="n">
        <f>199710</f>
        <v>199710.0</v>
      </c>
      <c r="X78" s="36" t="n">
        <f>22</f>
        <v>22.0</v>
      </c>
    </row>
    <row r="79">
      <c r="A79" s="27" t="s">
        <v>42</v>
      </c>
      <c r="B79" s="27" t="s">
        <v>280</v>
      </c>
      <c r="C79" s="27" t="s">
        <v>281</v>
      </c>
      <c r="D79" s="27" t="s">
        <v>282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1.0</v>
      </c>
      <c r="K79" s="33" t="n">
        <f>22795</f>
        <v>22795.0</v>
      </c>
      <c r="L79" s="34" t="s">
        <v>48</v>
      </c>
      <c r="M79" s="33" t="n">
        <f>22915</f>
        <v>22915.0</v>
      </c>
      <c r="N79" s="34" t="s">
        <v>48</v>
      </c>
      <c r="O79" s="33" t="n">
        <f>21560</f>
        <v>21560.0</v>
      </c>
      <c r="P79" s="34" t="s">
        <v>68</v>
      </c>
      <c r="Q79" s="33" t="n">
        <f>22835</f>
        <v>22835.0</v>
      </c>
      <c r="R79" s="34" t="s">
        <v>50</v>
      </c>
      <c r="S79" s="35" t="n">
        <f>22245.91</f>
        <v>22245.91</v>
      </c>
      <c r="T79" s="32" t="n">
        <f>1257440</f>
        <v>1257440.0</v>
      </c>
      <c r="U79" s="32" t="n">
        <f>30028</f>
        <v>30028.0</v>
      </c>
      <c r="V79" s="32" t="n">
        <f>28058702230</f>
        <v>2.805870223E10</v>
      </c>
      <c r="W79" s="32" t="n">
        <f>667952520</f>
        <v>6.6795252E8</v>
      </c>
      <c r="X79" s="36" t="n">
        <f>22</f>
        <v>22.0</v>
      </c>
    </row>
    <row r="80">
      <c r="A80" s="27" t="s">
        <v>42</v>
      </c>
      <c r="B80" s="27" t="s">
        <v>283</v>
      </c>
      <c r="C80" s="27" t="s">
        <v>284</v>
      </c>
      <c r="D80" s="27" t="s">
        <v>285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1.0</v>
      </c>
      <c r="K80" s="33" t="n">
        <f>49770</f>
        <v>49770.0</v>
      </c>
      <c r="L80" s="34" t="s">
        <v>48</v>
      </c>
      <c r="M80" s="33" t="n">
        <f>50180</f>
        <v>50180.0</v>
      </c>
      <c r="N80" s="34" t="s">
        <v>209</v>
      </c>
      <c r="O80" s="33" t="n">
        <f>48320</f>
        <v>48320.0</v>
      </c>
      <c r="P80" s="34" t="s">
        <v>241</v>
      </c>
      <c r="Q80" s="33" t="n">
        <f>49580</f>
        <v>49580.0</v>
      </c>
      <c r="R80" s="34" t="s">
        <v>50</v>
      </c>
      <c r="S80" s="35" t="n">
        <f>49244.09</f>
        <v>49244.09</v>
      </c>
      <c r="T80" s="32" t="n">
        <f>87001</f>
        <v>87001.0</v>
      </c>
      <c r="U80" s="32" t="n">
        <f>2500</f>
        <v>2500.0</v>
      </c>
      <c r="V80" s="32" t="n">
        <f>4298096910</f>
        <v>4.29809691E9</v>
      </c>
      <c r="W80" s="32" t="n">
        <f>123625250</f>
        <v>1.2362525E8</v>
      </c>
      <c r="X80" s="36" t="n">
        <f>22</f>
        <v>22.0</v>
      </c>
    </row>
    <row r="81">
      <c r="A81" s="27" t="s">
        <v>42</v>
      </c>
      <c r="B81" s="27" t="s">
        <v>286</v>
      </c>
      <c r="C81" s="27" t="s">
        <v>287</v>
      </c>
      <c r="D81" s="27" t="s">
        <v>288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10.0</v>
      </c>
      <c r="K81" s="33" t="n">
        <f>7130</f>
        <v>7130.0</v>
      </c>
      <c r="L81" s="34" t="s">
        <v>48</v>
      </c>
      <c r="M81" s="33" t="n">
        <f>7216</f>
        <v>7216.0</v>
      </c>
      <c r="N81" s="34" t="s">
        <v>50</v>
      </c>
      <c r="O81" s="33" t="n">
        <f>6923</f>
        <v>6923.0</v>
      </c>
      <c r="P81" s="34" t="s">
        <v>68</v>
      </c>
      <c r="Q81" s="33" t="n">
        <f>7210</f>
        <v>7210.0</v>
      </c>
      <c r="R81" s="34" t="s">
        <v>50</v>
      </c>
      <c r="S81" s="35" t="n">
        <f>7061.45</f>
        <v>7061.45</v>
      </c>
      <c r="T81" s="32" t="n">
        <f>1478280</f>
        <v>1478280.0</v>
      </c>
      <c r="U81" s="32" t="n">
        <f>30510</f>
        <v>30510.0</v>
      </c>
      <c r="V81" s="32" t="n">
        <f>10428790409</f>
        <v>1.0428790409E10</v>
      </c>
      <c r="W81" s="32" t="n">
        <f>218296409</f>
        <v>2.18296409E8</v>
      </c>
      <c r="X81" s="36" t="n">
        <f>22</f>
        <v>22.0</v>
      </c>
    </row>
    <row r="82">
      <c r="A82" s="27" t="s">
        <v>42</v>
      </c>
      <c r="B82" s="27" t="s">
        <v>289</v>
      </c>
      <c r="C82" s="27" t="s">
        <v>290</v>
      </c>
      <c r="D82" s="27" t="s">
        <v>291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10.0</v>
      </c>
      <c r="K82" s="33" t="n">
        <f>4498</f>
        <v>4498.0</v>
      </c>
      <c r="L82" s="34" t="s">
        <v>48</v>
      </c>
      <c r="M82" s="33" t="n">
        <f>4545</f>
        <v>4545.0</v>
      </c>
      <c r="N82" s="34" t="s">
        <v>50</v>
      </c>
      <c r="O82" s="33" t="n">
        <f>4365</f>
        <v>4365.0</v>
      </c>
      <c r="P82" s="34" t="s">
        <v>68</v>
      </c>
      <c r="Q82" s="33" t="n">
        <f>4540</f>
        <v>4540.0</v>
      </c>
      <c r="R82" s="34" t="s">
        <v>50</v>
      </c>
      <c r="S82" s="35" t="n">
        <f>4447.68</f>
        <v>4447.68</v>
      </c>
      <c r="T82" s="32" t="n">
        <f>94040</f>
        <v>94040.0</v>
      </c>
      <c r="U82" s="32" t="str">
        <f>"－"</f>
        <v>－</v>
      </c>
      <c r="V82" s="32" t="n">
        <f>418786410</f>
        <v>4.1878641E8</v>
      </c>
      <c r="W82" s="32" t="str">
        <f>"－"</f>
        <v>－</v>
      </c>
      <c r="X82" s="36" t="n">
        <f>22</f>
        <v>22.0</v>
      </c>
    </row>
    <row r="83">
      <c r="A83" s="27" t="s">
        <v>42</v>
      </c>
      <c r="B83" s="27" t="s">
        <v>292</v>
      </c>
      <c r="C83" s="27" t="s">
        <v>293</v>
      </c>
      <c r="D83" s="27" t="s">
        <v>294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10.0</v>
      </c>
      <c r="K83" s="33" t="n">
        <f>4533</f>
        <v>4533.0</v>
      </c>
      <c r="L83" s="34" t="s">
        <v>48</v>
      </c>
      <c r="M83" s="33" t="n">
        <f>4589</f>
        <v>4589.0</v>
      </c>
      <c r="N83" s="34" t="s">
        <v>245</v>
      </c>
      <c r="O83" s="33" t="n">
        <f>4429</f>
        <v>4429.0</v>
      </c>
      <c r="P83" s="34" t="s">
        <v>68</v>
      </c>
      <c r="Q83" s="33" t="n">
        <f>4580</f>
        <v>4580.0</v>
      </c>
      <c r="R83" s="34" t="s">
        <v>50</v>
      </c>
      <c r="S83" s="35" t="n">
        <f>4512.8</f>
        <v>4512.8</v>
      </c>
      <c r="T83" s="32" t="n">
        <f>2880</f>
        <v>2880.0</v>
      </c>
      <c r="U83" s="32" t="str">
        <f>"－"</f>
        <v>－</v>
      </c>
      <c r="V83" s="32" t="n">
        <f>12977780</f>
        <v>1.297778E7</v>
      </c>
      <c r="W83" s="32" t="str">
        <f>"－"</f>
        <v>－</v>
      </c>
      <c r="X83" s="36" t="n">
        <f>20</f>
        <v>20.0</v>
      </c>
    </row>
    <row r="84">
      <c r="A84" s="27" t="s">
        <v>42</v>
      </c>
      <c r="B84" s="27" t="s">
        <v>295</v>
      </c>
      <c r="C84" s="27" t="s">
        <v>296</v>
      </c>
      <c r="D84" s="27" t="s">
        <v>297</v>
      </c>
      <c r="E84" s="28" t="s">
        <v>46</v>
      </c>
      <c r="F84" s="29" t="s">
        <v>46</v>
      </c>
      <c r="G84" s="30" t="s">
        <v>46</v>
      </c>
      <c r="H84" s="31" t="s">
        <v>298</v>
      </c>
      <c r="I84" s="31" t="s">
        <v>47</v>
      </c>
      <c r="J84" s="32" t="n">
        <v>1.0</v>
      </c>
      <c r="K84" s="33" t="n">
        <f>641</f>
        <v>641.0</v>
      </c>
      <c r="L84" s="34" t="s">
        <v>48</v>
      </c>
      <c r="M84" s="33" t="n">
        <f>763</f>
        <v>763.0</v>
      </c>
      <c r="N84" s="34" t="s">
        <v>72</v>
      </c>
      <c r="O84" s="33" t="n">
        <f>631</f>
        <v>631.0</v>
      </c>
      <c r="P84" s="34" t="s">
        <v>50</v>
      </c>
      <c r="Q84" s="33" t="n">
        <f>633</f>
        <v>633.0</v>
      </c>
      <c r="R84" s="34" t="s">
        <v>50</v>
      </c>
      <c r="S84" s="35" t="n">
        <f>697.82</f>
        <v>697.82</v>
      </c>
      <c r="T84" s="32" t="n">
        <f>40134122</f>
        <v>4.0134122E7</v>
      </c>
      <c r="U84" s="32" t="n">
        <f>330</f>
        <v>330.0</v>
      </c>
      <c r="V84" s="32" t="n">
        <f>28274846562</f>
        <v>2.8274846562E10</v>
      </c>
      <c r="W84" s="32" t="n">
        <f>219287</f>
        <v>219287.0</v>
      </c>
      <c r="X84" s="36" t="n">
        <f>22</f>
        <v>22.0</v>
      </c>
    </row>
    <row r="85">
      <c r="A85" s="27" t="s">
        <v>42</v>
      </c>
      <c r="B85" s="27" t="s">
        <v>299</v>
      </c>
      <c r="C85" s="27" t="s">
        <v>300</v>
      </c>
      <c r="D85" s="27" t="s">
        <v>301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10.0</v>
      </c>
      <c r="K85" s="33" t="n">
        <f>3786</f>
        <v>3786.0</v>
      </c>
      <c r="L85" s="34" t="s">
        <v>48</v>
      </c>
      <c r="M85" s="33" t="n">
        <f>3810</f>
        <v>3810.0</v>
      </c>
      <c r="N85" s="34" t="s">
        <v>48</v>
      </c>
      <c r="O85" s="33" t="n">
        <f>3652</f>
        <v>3652.0</v>
      </c>
      <c r="P85" s="34" t="s">
        <v>68</v>
      </c>
      <c r="Q85" s="33" t="n">
        <f>3794</f>
        <v>3794.0</v>
      </c>
      <c r="R85" s="34" t="s">
        <v>50</v>
      </c>
      <c r="S85" s="35" t="n">
        <f>3727.86</f>
        <v>3727.86</v>
      </c>
      <c r="T85" s="32" t="n">
        <f>115700</f>
        <v>115700.0</v>
      </c>
      <c r="U85" s="32" t="str">
        <f>"－"</f>
        <v>－</v>
      </c>
      <c r="V85" s="32" t="n">
        <f>431731900</f>
        <v>4.317319E8</v>
      </c>
      <c r="W85" s="32" t="str">
        <f>"－"</f>
        <v>－</v>
      </c>
      <c r="X85" s="36" t="n">
        <f>22</f>
        <v>22.0</v>
      </c>
    </row>
    <row r="86">
      <c r="A86" s="27" t="s">
        <v>42</v>
      </c>
      <c r="B86" s="27" t="s">
        <v>302</v>
      </c>
      <c r="C86" s="27" t="s">
        <v>303</v>
      </c>
      <c r="D86" s="27" t="s">
        <v>304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10.0</v>
      </c>
      <c r="K86" s="33" t="n">
        <f>1757.5</f>
        <v>1757.5</v>
      </c>
      <c r="L86" s="34" t="s">
        <v>48</v>
      </c>
      <c r="M86" s="33" t="n">
        <f>1794.5</f>
        <v>1794.5</v>
      </c>
      <c r="N86" s="34" t="s">
        <v>67</v>
      </c>
      <c r="O86" s="33" t="n">
        <f>1661</f>
        <v>1661.0</v>
      </c>
      <c r="P86" s="34" t="s">
        <v>49</v>
      </c>
      <c r="Q86" s="33" t="n">
        <f>1769.5</f>
        <v>1769.5</v>
      </c>
      <c r="R86" s="34" t="s">
        <v>50</v>
      </c>
      <c r="S86" s="35" t="n">
        <f>1722.91</f>
        <v>1722.91</v>
      </c>
      <c r="T86" s="32" t="n">
        <f>143900</f>
        <v>143900.0</v>
      </c>
      <c r="U86" s="32" t="str">
        <f>"－"</f>
        <v>－</v>
      </c>
      <c r="V86" s="32" t="n">
        <f>248883190</f>
        <v>2.4888319E8</v>
      </c>
      <c r="W86" s="32" t="str">
        <f>"－"</f>
        <v>－</v>
      </c>
      <c r="X86" s="36" t="n">
        <f>22</f>
        <v>22.0</v>
      </c>
    </row>
    <row r="87">
      <c r="A87" s="27" t="s">
        <v>42</v>
      </c>
      <c r="B87" s="27" t="s">
        <v>305</v>
      </c>
      <c r="C87" s="27" t="s">
        <v>306</v>
      </c>
      <c r="D87" s="27" t="s">
        <v>307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65160</f>
        <v>65160.0</v>
      </c>
      <c r="L87" s="34" t="s">
        <v>48</v>
      </c>
      <c r="M87" s="33" t="n">
        <f>65990</f>
        <v>65990.0</v>
      </c>
      <c r="N87" s="34" t="s">
        <v>50</v>
      </c>
      <c r="O87" s="33" t="n">
        <f>63300</f>
        <v>63300.0</v>
      </c>
      <c r="P87" s="34" t="s">
        <v>68</v>
      </c>
      <c r="Q87" s="33" t="n">
        <f>65900</f>
        <v>65900.0</v>
      </c>
      <c r="R87" s="34" t="s">
        <v>50</v>
      </c>
      <c r="S87" s="35" t="n">
        <f>64545.91</f>
        <v>64545.91</v>
      </c>
      <c r="T87" s="32" t="n">
        <f>140368</f>
        <v>140368.0</v>
      </c>
      <c r="U87" s="32" t="str">
        <f>"－"</f>
        <v>－</v>
      </c>
      <c r="V87" s="32" t="n">
        <f>9078023580</f>
        <v>9.07802358E9</v>
      </c>
      <c r="W87" s="32" t="str">
        <f>"－"</f>
        <v>－</v>
      </c>
      <c r="X87" s="36" t="n">
        <f>22</f>
        <v>22.0</v>
      </c>
    </row>
    <row r="88">
      <c r="A88" s="27" t="s">
        <v>42</v>
      </c>
      <c r="B88" s="27" t="s">
        <v>308</v>
      </c>
      <c r="C88" s="27" t="s">
        <v>309</v>
      </c>
      <c r="D88" s="27" t="s">
        <v>310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3445</f>
        <v>3445.0</v>
      </c>
      <c r="L88" s="34" t="s">
        <v>48</v>
      </c>
      <c r="M88" s="33" t="n">
        <f>3495</f>
        <v>3495.0</v>
      </c>
      <c r="N88" s="34" t="s">
        <v>48</v>
      </c>
      <c r="O88" s="33" t="n">
        <f>3375</f>
        <v>3375.0</v>
      </c>
      <c r="P88" s="34" t="s">
        <v>276</v>
      </c>
      <c r="Q88" s="33" t="n">
        <f>3450</f>
        <v>3450.0</v>
      </c>
      <c r="R88" s="34" t="s">
        <v>50</v>
      </c>
      <c r="S88" s="35" t="n">
        <f>3427.27</f>
        <v>3427.27</v>
      </c>
      <c r="T88" s="32" t="n">
        <f>8138</f>
        <v>8138.0</v>
      </c>
      <c r="U88" s="32" t="str">
        <f>"－"</f>
        <v>－</v>
      </c>
      <c r="V88" s="32" t="n">
        <f>27822215</f>
        <v>2.7822215E7</v>
      </c>
      <c r="W88" s="32" t="str">
        <f>"－"</f>
        <v>－</v>
      </c>
      <c r="X88" s="36" t="n">
        <f>22</f>
        <v>22.0</v>
      </c>
    </row>
    <row r="89">
      <c r="A89" s="27" t="s">
        <v>42</v>
      </c>
      <c r="B89" s="27" t="s">
        <v>311</v>
      </c>
      <c r="C89" s="27" t="s">
        <v>312</v>
      </c>
      <c r="D89" s="27" t="s">
        <v>313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1.0</v>
      </c>
      <c r="K89" s="33" t="n">
        <f>4550</f>
        <v>4550.0</v>
      </c>
      <c r="L89" s="34" t="s">
        <v>48</v>
      </c>
      <c r="M89" s="33" t="n">
        <f>4695</f>
        <v>4695.0</v>
      </c>
      <c r="N89" s="34" t="s">
        <v>79</v>
      </c>
      <c r="O89" s="33" t="n">
        <f>4320</f>
        <v>4320.0</v>
      </c>
      <c r="P89" s="34" t="s">
        <v>314</v>
      </c>
      <c r="Q89" s="33" t="n">
        <f>4400</f>
        <v>4400.0</v>
      </c>
      <c r="R89" s="34" t="s">
        <v>50</v>
      </c>
      <c r="S89" s="35" t="n">
        <f>4470.68</f>
        <v>4470.68</v>
      </c>
      <c r="T89" s="32" t="n">
        <f>8564</f>
        <v>8564.0</v>
      </c>
      <c r="U89" s="32" t="str">
        <f>"－"</f>
        <v>－</v>
      </c>
      <c r="V89" s="32" t="n">
        <f>38520210</f>
        <v>3.852021E7</v>
      </c>
      <c r="W89" s="32" t="str">
        <f>"－"</f>
        <v>－</v>
      </c>
      <c r="X89" s="36" t="n">
        <f>22</f>
        <v>22.0</v>
      </c>
    </row>
    <row r="90">
      <c r="A90" s="27" t="s">
        <v>42</v>
      </c>
      <c r="B90" s="27" t="s">
        <v>315</v>
      </c>
      <c r="C90" s="27" t="s">
        <v>316</v>
      </c>
      <c r="D90" s="27" t="s">
        <v>317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1.0</v>
      </c>
      <c r="K90" s="33" t="n">
        <f>2657</f>
        <v>2657.0</v>
      </c>
      <c r="L90" s="34" t="s">
        <v>48</v>
      </c>
      <c r="M90" s="33" t="n">
        <f>2749</f>
        <v>2749.0</v>
      </c>
      <c r="N90" s="34" t="s">
        <v>67</v>
      </c>
      <c r="O90" s="33" t="n">
        <f>2455</f>
        <v>2455.0</v>
      </c>
      <c r="P90" s="34" t="s">
        <v>72</v>
      </c>
      <c r="Q90" s="33" t="n">
        <f>2694</f>
        <v>2694.0</v>
      </c>
      <c r="R90" s="34" t="s">
        <v>50</v>
      </c>
      <c r="S90" s="35" t="n">
        <f>2598.05</f>
        <v>2598.05</v>
      </c>
      <c r="T90" s="32" t="n">
        <f>1094759</f>
        <v>1094759.0</v>
      </c>
      <c r="U90" s="32" t="n">
        <f>40000</f>
        <v>40000.0</v>
      </c>
      <c r="V90" s="32" t="n">
        <f>2839707915</f>
        <v>2.839707915E9</v>
      </c>
      <c r="W90" s="32" t="n">
        <f>103990000</f>
        <v>1.0399E8</v>
      </c>
      <c r="X90" s="36" t="n">
        <f>22</f>
        <v>22.0</v>
      </c>
    </row>
    <row r="91">
      <c r="A91" s="27" t="s">
        <v>42</v>
      </c>
      <c r="B91" s="27" t="s">
        <v>318</v>
      </c>
      <c r="C91" s="27" t="s">
        <v>319</v>
      </c>
      <c r="D91" s="27" t="s">
        <v>320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1.0</v>
      </c>
      <c r="K91" s="33" t="n">
        <f>47750</f>
        <v>47750.0</v>
      </c>
      <c r="L91" s="34" t="s">
        <v>48</v>
      </c>
      <c r="M91" s="33" t="n">
        <f>47890</f>
        <v>47890.0</v>
      </c>
      <c r="N91" s="34" t="s">
        <v>48</v>
      </c>
      <c r="O91" s="33" t="n">
        <f>46730</f>
        <v>46730.0</v>
      </c>
      <c r="P91" s="34" t="s">
        <v>213</v>
      </c>
      <c r="Q91" s="33" t="n">
        <f>47780</f>
        <v>47780.0</v>
      </c>
      <c r="R91" s="34" t="s">
        <v>50</v>
      </c>
      <c r="S91" s="35" t="n">
        <f>47392.73</f>
        <v>47392.73</v>
      </c>
      <c r="T91" s="32" t="n">
        <f>10120</f>
        <v>10120.0</v>
      </c>
      <c r="U91" s="32" t="n">
        <f>2483</f>
        <v>2483.0</v>
      </c>
      <c r="V91" s="32" t="n">
        <f>480369024</f>
        <v>4.80369024E8</v>
      </c>
      <c r="W91" s="32" t="n">
        <f>118562044</f>
        <v>1.18562044E8</v>
      </c>
      <c r="X91" s="36" t="n">
        <f>22</f>
        <v>22.0</v>
      </c>
    </row>
    <row r="92">
      <c r="A92" s="27" t="s">
        <v>42</v>
      </c>
      <c r="B92" s="27" t="s">
        <v>321</v>
      </c>
      <c r="C92" s="27" t="s">
        <v>322</v>
      </c>
      <c r="D92" s="27" t="s">
        <v>323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10.0</v>
      </c>
      <c r="K92" s="33" t="n">
        <f>35020</f>
        <v>35020.0</v>
      </c>
      <c r="L92" s="34" t="s">
        <v>48</v>
      </c>
      <c r="M92" s="33" t="n">
        <f>35350</f>
        <v>35350.0</v>
      </c>
      <c r="N92" s="34" t="s">
        <v>48</v>
      </c>
      <c r="O92" s="33" t="n">
        <f>32010</f>
        <v>32010.0</v>
      </c>
      <c r="P92" s="34" t="s">
        <v>49</v>
      </c>
      <c r="Q92" s="33" t="n">
        <f>35060</f>
        <v>35060.0</v>
      </c>
      <c r="R92" s="34" t="s">
        <v>50</v>
      </c>
      <c r="S92" s="35" t="n">
        <f>33684.09</f>
        <v>33684.09</v>
      </c>
      <c r="T92" s="32" t="n">
        <f>2234690</f>
        <v>2234690.0</v>
      </c>
      <c r="U92" s="32" t="n">
        <f>200</f>
        <v>200.0</v>
      </c>
      <c r="V92" s="32" t="n">
        <f>75581250500</f>
        <v>7.55812505E10</v>
      </c>
      <c r="W92" s="32" t="n">
        <f>6210000</f>
        <v>6210000.0</v>
      </c>
      <c r="X92" s="36" t="n">
        <f>22</f>
        <v>22.0</v>
      </c>
    </row>
    <row r="93">
      <c r="A93" s="27" t="s">
        <v>42</v>
      </c>
      <c r="B93" s="27" t="s">
        <v>324</v>
      </c>
      <c r="C93" s="27" t="s">
        <v>325</v>
      </c>
      <c r="D93" s="27" t="s">
        <v>326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10.0</v>
      </c>
      <c r="K93" s="33" t="n">
        <f>1633.5</f>
        <v>1633.5</v>
      </c>
      <c r="L93" s="34" t="s">
        <v>48</v>
      </c>
      <c r="M93" s="33" t="n">
        <f>1703.5</f>
        <v>1703.5</v>
      </c>
      <c r="N93" s="34" t="s">
        <v>49</v>
      </c>
      <c r="O93" s="33" t="n">
        <f>1623</f>
        <v>1623.0</v>
      </c>
      <c r="P93" s="34" t="s">
        <v>50</v>
      </c>
      <c r="Q93" s="33" t="n">
        <f>1628.5</f>
        <v>1628.5</v>
      </c>
      <c r="R93" s="34" t="s">
        <v>50</v>
      </c>
      <c r="S93" s="35" t="n">
        <f>1662.39</f>
        <v>1662.39</v>
      </c>
      <c r="T93" s="32" t="n">
        <f>440190</f>
        <v>440190.0</v>
      </c>
      <c r="U93" s="32" t="str">
        <f>"－"</f>
        <v>－</v>
      </c>
      <c r="V93" s="32" t="n">
        <f>734294130</f>
        <v>7.3429413E8</v>
      </c>
      <c r="W93" s="32" t="str">
        <f>"－"</f>
        <v>－</v>
      </c>
      <c r="X93" s="36" t="n">
        <f>22</f>
        <v>22.0</v>
      </c>
    </row>
    <row r="94">
      <c r="A94" s="27" t="s">
        <v>42</v>
      </c>
      <c r="B94" s="27" t="s">
        <v>327</v>
      </c>
      <c r="C94" s="27" t="s">
        <v>328</v>
      </c>
      <c r="D94" s="27" t="s">
        <v>329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1.0</v>
      </c>
      <c r="K94" s="33" t="n">
        <f>20830</f>
        <v>20830.0</v>
      </c>
      <c r="L94" s="34" t="s">
        <v>48</v>
      </c>
      <c r="M94" s="33" t="n">
        <f>21110</f>
        <v>21110.0</v>
      </c>
      <c r="N94" s="34" t="s">
        <v>48</v>
      </c>
      <c r="O94" s="33" t="n">
        <f>18355</f>
        <v>18355.0</v>
      </c>
      <c r="P94" s="34" t="s">
        <v>72</v>
      </c>
      <c r="Q94" s="33" t="n">
        <f>19980</f>
        <v>19980.0</v>
      </c>
      <c r="R94" s="34" t="s">
        <v>50</v>
      </c>
      <c r="S94" s="35" t="n">
        <f>19452.95</f>
        <v>19452.95</v>
      </c>
      <c r="T94" s="32" t="n">
        <f>110593577</f>
        <v>1.10593577E8</v>
      </c>
      <c r="U94" s="32" t="n">
        <f>54215</f>
        <v>54215.0</v>
      </c>
      <c r="V94" s="32" t="n">
        <f>2155155665629</f>
        <v>2.155155665629E12</v>
      </c>
      <c r="W94" s="32" t="n">
        <f>1053911464</f>
        <v>1.053911464E9</v>
      </c>
      <c r="X94" s="36" t="n">
        <f>22</f>
        <v>22.0</v>
      </c>
    </row>
    <row r="95">
      <c r="A95" s="27" t="s">
        <v>42</v>
      </c>
      <c r="B95" s="27" t="s">
        <v>330</v>
      </c>
      <c r="C95" s="27" t="s">
        <v>331</v>
      </c>
      <c r="D95" s="27" t="s">
        <v>332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1.0</v>
      </c>
      <c r="K95" s="33" t="n">
        <f>767</f>
        <v>767.0</v>
      </c>
      <c r="L95" s="34" t="s">
        <v>48</v>
      </c>
      <c r="M95" s="33" t="n">
        <f>814</f>
        <v>814.0</v>
      </c>
      <c r="N95" s="34" t="s">
        <v>72</v>
      </c>
      <c r="O95" s="33" t="n">
        <f>761</f>
        <v>761.0</v>
      </c>
      <c r="P95" s="34" t="s">
        <v>48</v>
      </c>
      <c r="Q95" s="33" t="n">
        <f>779</f>
        <v>779.0</v>
      </c>
      <c r="R95" s="34" t="s">
        <v>50</v>
      </c>
      <c r="S95" s="35" t="n">
        <f>791.27</f>
        <v>791.27</v>
      </c>
      <c r="T95" s="32" t="n">
        <f>32186795</f>
        <v>3.2186795E7</v>
      </c>
      <c r="U95" s="32" t="n">
        <f>1010000</f>
        <v>1010000.0</v>
      </c>
      <c r="V95" s="32" t="n">
        <f>25446618847</f>
        <v>2.5446618847E10</v>
      </c>
      <c r="W95" s="32" t="n">
        <f>798322000</f>
        <v>7.98322E8</v>
      </c>
      <c r="X95" s="36" t="n">
        <f>22</f>
        <v>22.0</v>
      </c>
    </row>
    <row r="96">
      <c r="A96" s="27" t="s">
        <v>42</v>
      </c>
      <c r="B96" s="27" t="s">
        <v>333</v>
      </c>
      <c r="C96" s="27" t="s">
        <v>334</v>
      </c>
      <c r="D96" s="27" t="s">
        <v>335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10.0</v>
      </c>
      <c r="K96" s="33" t="n">
        <f>5221</f>
        <v>5221.0</v>
      </c>
      <c r="L96" s="34" t="s">
        <v>48</v>
      </c>
      <c r="M96" s="33" t="n">
        <f>5339</f>
        <v>5339.0</v>
      </c>
      <c r="N96" s="34" t="s">
        <v>48</v>
      </c>
      <c r="O96" s="33" t="n">
        <f>3978</f>
        <v>3978.0</v>
      </c>
      <c r="P96" s="34" t="s">
        <v>60</v>
      </c>
      <c r="Q96" s="33" t="n">
        <f>4415</f>
        <v>4415.0</v>
      </c>
      <c r="R96" s="34" t="s">
        <v>50</v>
      </c>
      <c r="S96" s="35" t="n">
        <f>4518.59</f>
        <v>4518.59</v>
      </c>
      <c r="T96" s="32" t="n">
        <f>284680</f>
        <v>284680.0</v>
      </c>
      <c r="U96" s="32" t="n">
        <f>10</f>
        <v>10.0</v>
      </c>
      <c r="V96" s="32" t="n">
        <f>1273255390</f>
        <v>1.27325539E9</v>
      </c>
      <c r="W96" s="32" t="n">
        <f>48700</f>
        <v>48700.0</v>
      </c>
      <c r="X96" s="36" t="n">
        <f>22</f>
        <v>22.0</v>
      </c>
    </row>
    <row r="97">
      <c r="A97" s="27" t="s">
        <v>42</v>
      </c>
      <c r="B97" s="27" t="s">
        <v>336</v>
      </c>
      <c r="C97" s="27" t="s">
        <v>337</v>
      </c>
      <c r="D97" s="27" t="s">
        <v>338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10.0</v>
      </c>
      <c r="K97" s="33" t="n">
        <f>10280</f>
        <v>10280.0</v>
      </c>
      <c r="L97" s="34" t="s">
        <v>48</v>
      </c>
      <c r="M97" s="33" t="n">
        <f>12370</f>
        <v>12370.0</v>
      </c>
      <c r="N97" s="34" t="s">
        <v>68</v>
      </c>
      <c r="O97" s="33" t="n">
        <f>10235</f>
        <v>10235.0</v>
      </c>
      <c r="P97" s="34" t="s">
        <v>48</v>
      </c>
      <c r="Q97" s="33" t="n">
        <f>11575</f>
        <v>11575.0</v>
      </c>
      <c r="R97" s="34" t="s">
        <v>50</v>
      </c>
      <c r="S97" s="35" t="n">
        <f>11389.32</f>
        <v>11389.32</v>
      </c>
      <c r="T97" s="32" t="n">
        <f>107010</f>
        <v>107010.0</v>
      </c>
      <c r="U97" s="32" t="str">
        <f>"－"</f>
        <v>－</v>
      </c>
      <c r="V97" s="32" t="n">
        <f>1255574750</f>
        <v>1.25557475E9</v>
      </c>
      <c r="W97" s="32" t="str">
        <f>"－"</f>
        <v>－</v>
      </c>
      <c r="X97" s="36" t="n">
        <f>22</f>
        <v>22.0</v>
      </c>
    </row>
    <row r="98">
      <c r="A98" s="27" t="s">
        <v>42</v>
      </c>
      <c r="B98" s="27" t="s">
        <v>339</v>
      </c>
      <c r="C98" s="27" t="s">
        <v>340</v>
      </c>
      <c r="D98" s="27" t="s">
        <v>341</v>
      </c>
      <c r="E98" s="28" t="s">
        <v>46</v>
      </c>
      <c r="F98" s="29" t="s">
        <v>46</v>
      </c>
      <c r="G98" s="30" t="s">
        <v>46</v>
      </c>
      <c r="H98" s="31"/>
      <c r="I98" s="31" t="s">
        <v>47</v>
      </c>
      <c r="J98" s="32" t="n">
        <v>1.0</v>
      </c>
      <c r="K98" s="33" t="n">
        <f>30510</f>
        <v>30510.0</v>
      </c>
      <c r="L98" s="34" t="s">
        <v>48</v>
      </c>
      <c r="M98" s="33" t="n">
        <f>31060</f>
        <v>31060.0</v>
      </c>
      <c r="N98" s="34" t="s">
        <v>50</v>
      </c>
      <c r="O98" s="33" t="n">
        <f>29395</f>
        <v>29395.0</v>
      </c>
      <c r="P98" s="34" t="s">
        <v>49</v>
      </c>
      <c r="Q98" s="33" t="n">
        <f>30950</f>
        <v>30950.0</v>
      </c>
      <c r="R98" s="34" t="s">
        <v>50</v>
      </c>
      <c r="S98" s="35" t="n">
        <f>30202.05</f>
        <v>30202.05</v>
      </c>
      <c r="T98" s="32" t="n">
        <f>115276</f>
        <v>115276.0</v>
      </c>
      <c r="U98" s="32" t="n">
        <f>41266</f>
        <v>41266.0</v>
      </c>
      <c r="V98" s="32" t="n">
        <f>3471818835</f>
        <v>3.471818835E9</v>
      </c>
      <c r="W98" s="32" t="n">
        <f>1244438780</f>
        <v>1.24443878E9</v>
      </c>
      <c r="X98" s="36" t="n">
        <f>22</f>
        <v>22.0</v>
      </c>
    </row>
    <row r="99">
      <c r="A99" s="27" t="s">
        <v>42</v>
      </c>
      <c r="B99" s="27" t="s">
        <v>342</v>
      </c>
      <c r="C99" s="27" t="s">
        <v>343</v>
      </c>
      <c r="D99" s="27" t="s">
        <v>344</v>
      </c>
      <c r="E99" s="28" t="s">
        <v>46</v>
      </c>
      <c r="F99" s="29" t="s">
        <v>46</v>
      </c>
      <c r="G99" s="30" t="s">
        <v>46</v>
      </c>
      <c r="H99" s="31"/>
      <c r="I99" s="31" t="s">
        <v>47</v>
      </c>
      <c r="J99" s="32" t="n">
        <v>1.0</v>
      </c>
      <c r="K99" s="33" t="n">
        <f>2651</f>
        <v>2651.0</v>
      </c>
      <c r="L99" s="34" t="s">
        <v>48</v>
      </c>
      <c r="M99" s="33" t="n">
        <f>2666</f>
        <v>2666.0</v>
      </c>
      <c r="N99" s="34" t="s">
        <v>48</v>
      </c>
      <c r="O99" s="33" t="n">
        <f>2489</f>
        <v>2489.0</v>
      </c>
      <c r="P99" s="34" t="s">
        <v>72</v>
      </c>
      <c r="Q99" s="33" t="n">
        <f>2599</f>
        <v>2599.0</v>
      </c>
      <c r="R99" s="34" t="s">
        <v>50</v>
      </c>
      <c r="S99" s="35" t="n">
        <f>2561.91</f>
        <v>2561.91</v>
      </c>
      <c r="T99" s="32" t="n">
        <f>255638</f>
        <v>255638.0</v>
      </c>
      <c r="U99" s="32" t="n">
        <f>127797</f>
        <v>127797.0</v>
      </c>
      <c r="V99" s="32" t="n">
        <f>656482453</f>
        <v>6.56482453E8</v>
      </c>
      <c r="W99" s="32" t="n">
        <f>329818497</f>
        <v>3.29818497E8</v>
      </c>
      <c r="X99" s="36" t="n">
        <f>22</f>
        <v>22.0</v>
      </c>
    </row>
    <row r="100">
      <c r="A100" s="27" t="s">
        <v>42</v>
      </c>
      <c r="B100" s="27" t="s">
        <v>345</v>
      </c>
      <c r="C100" s="27" t="s">
        <v>346</v>
      </c>
      <c r="D100" s="27" t="s">
        <v>347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10.0</v>
      </c>
      <c r="K100" s="33" t="n">
        <f>22270</f>
        <v>22270.0</v>
      </c>
      <c r="L100" s="34" t="s">
        <v>48</v>
      </c>
      <c r="M100" s="33" t="n">
        <f>22560</f>
        <v>22560.0</v>
      </c>
      <c r="N100" s="34" t="s">
        <v>48</v>
      </c>
      <c r="O100" s="33" t="n">
        <f>19605</f>
        <v>19605.0</v>
      </c>
      <c r="P100" s="34" t="s">
        <v>72</v>
      </c>
      <c r="Q100" s="33" t="n">
        <f>21370</f>
        <v>21370.0</v>
      </c>
      <c r="R100" s="34" t="s">
        <v>50</v>
      </c>
      <c r="S100" s="35" t="n">
        <f>20783.18</f>
        <v>20783.18</v>
      </c>
      <c r="T100" s="32" t="n">
        <f>8216890</f>
        <v>8216890.0</v>
      </c>
      <c r="U100" s="32" t="n">
        <f>250</f>
        <v>250.0</v>
      </c>
      <c r="V100" s="32" t="n">
        <f>171134280050</f>
        <v>1.7113428005E11</v>
      </c>
      <c r="W100" s="32" t="n">
        <f>5269700</f>
        <v>5269700.0</v>
      </c>
      <c r="X100" s="36" t="n">
        <f>22</f>
        <v>22.0</v>
      </c>
    </row>
    <row r="101">
      <c r="A101" s="27" t="s">
        <v>42</v>
      </c>
      <c r="B101" s="27" t="s">
        <v>348</v>
      </c>
      <c r="C101" s="27" t="s">
        <v>349</v>
      </c>
      <c r="D101" s="27" t="s">
        <v>350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10.0</v>
      </c>
      <c r="K101" s="33" t="n">
        <f>2033</f>
        <v>2033.0</v>
      </c>
      <c r="L101" s="34" t="s">
        <v>48</v>
      </c>
      <c r="M101" s="33" t="n">
        <f>2161</f>
        <v>2161.0</v>
      </c>
      <c r="N101" s="34" t="s">
        <v>72</v>
      </c>
      <c r="O101" s="33" t="n">
        <f>2020.5</f>
        <v>2020.5</v>
      </c>
      <c r="P101" s="34" t="s">
        <v>48</v>
      </c>
      <c r="Q101" s="33" t="n">
        <f>2068</f>
        <v>2068.0</v>
      </c>
      <c r="R101" s="34" t="s">
        <v>50</v>
      </c>
      <c r="S101" s="35" t="n">
        <f>2100.93</f>
        <v>2100.93</v>
      </c>
      <c r="T101" s="32" t="n">
        <f>1720100</f>
        <v>1720100.0</v>
      </c>
      <c r="U101" s="32" t="n">
        <f>116000</f>
        <v>116000.0</v>
      </c>
      <c r="V101" s="32" t="n">
        <f>3625377195</f>
        <v>3.625377195E9</v>
      </c>
      <c r="W101" s="32" t="n">
        <f>245264740</f>
        <v>2.4526474E8</v>
      </c>
      <c r="X101" s="36" t="n">
        <f>22</f>
        <v>22.0</v>
      </c>
    </row>
    <row r="102">
      <c r="A102" s="27" t="s">
        <v>42</v>
      </c>
      <c r="B102" s="27" t="s">
        <v>351</v>
      </c>
      <c r="C102" s="27" t="s">
        <v>352</v>
      </c>
      <c r="D102" s="27" t="s">
        <v>353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10.0</v>
      </c>
      <c r="K102" s="33" t="n">
        <f>1643.5</f>
        <v>1643.5</v>
      </c>
      <c r="L102" s="34" t="s">
        <v>48</v>
      </c>
      <c r="M102" s="33" t="n">
        <f>1643.5</f>
        <v>1643.5</v>
      </c>
      <c r="N102" s="34" t="s">
        <v>48</v>
      </c>
      <c r="O102" s="33" t="n">
        <f>1574.5</f>
        <v>1574.5</v>
      </c>
      <c r="P102" s="34" t="s">
        <v>72</v>
      </c>
      <c r="Q102" s="33" t="n">
        <f>1639</f>
        <v>1639.0</v>
      </c>
      <c r="R102" s="34" t="s">
        <v>50</v>
      </c>
      <c r="S102" s="35" t="n">
        <f>1610.71</f>
        <v>1610.71</v>
      </c>
      <c r="T102" s="32" t="n">
        <f>27610</f>
        <v>27610.0</v>
      </c>
      <c r="U102" s="32" t="n">
        <f>20</f>
        <v>20.0</v>
      </c>
      <c r="V102" s="32" t="n">
        <f>44639910</f>
        <v>4.463991E7</v>
      </c>
      <c r="W102" s="32" t="n">
        <f>32080</f>
        <v>32080.0</v>
      </c>
      <c r="X102" s="36" t="n">
        <f>21</f>
        <v>21.0</v>
      </c>
    </row>
    <row r="103">
      <c r="A103" s="27" t="s">
        <v>42</v>
      </c>
      <c r="B103" s="27" t="s">
        <v>354</v>
      </c>
      <c r="C103" s="27" t="s">
        <v>355</v>
      </c>
      <c r="D103" s="27" t="s">
        <v>356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1.0</v>
      </c>
      <c r="K103" s="33" t="n">
        <f>1873</f>
        <v>1873.0</v>
      </c>
      <c r="L103" s="34" t="s">
        <v>48</v>
      </c>
      <c r="M103" s="33" t="n">
        <f>1950</f>
        <v>1950.0</v>
      </c>
      <c r="N103" s="34" t="s">
        <v>209</v>
      </c>
      <c r="O103" s="33" t="n">
        <f>1800</f>
        <v>1800.0</v>
      </c>
      <c r="P103" s="34" t="s">
        <v>72</v>
      </c>
      <c r="Q103" s="33" t="n">
        <f>1910</f>
        <v>1910.0</v>
      </c>
      <c r="R103" s="34" t="s">
        <v>50</v>
      </c>
      <c r="S103" s="35" t="n">
        <f>1861.32</f>
        <v>1861.32</v>
      </c>
      <c r="T103" s="32" t="n">
        <f>12592</f>
        <v>12592.0</v>
      </c>
      <c r="U103" s="32" t="str">
        <f>"－"</f>
        <v>－</v>
      </c>
      <c r="V103" s="32" t="n">
        <f>23506575</f>
        <v>2.3506575E7</v>
      </c>
      <c r="W103" s="32" t="str">
        <f>"－"</f>
        <v>－</v>
      </c>
      <c r="X103" s="36" t="n">
        <f>22</f>
        <v>22.0</v>
      </c>
    </row>
    <row r="104">
      <c r="A104" s="27" t="s">
        <v>42</v>
      </c>
      <c r="B104" s="27" t="s">
        <v>357</v>
      </c>
      <c r="C104" s="27" t="s">
        <v>358</v>
      </c>
      <c r="D104" s="27" t="s">
        <v>359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1.0</v>
      </c>
      <c r="K104" s="33" t="n">
        <f>21205</f>
        <v>21205.0</v>
      </c>
      <c r="L104" s="34" t="s">
        <v>48</v>
      </c>
      <c r="M104" s="33" t="n">
        <f>21265</f>
        <v>21265.0</v>
      </c>
      <c r="N104" s="34" t="s">
        <v>48</v>
      </c>
      <c r="O104" s="33" t="n">
        <f>20225</f>
        <v>20225.0</v>
      </c>
      <c r="P104" s="34" t="s">
        <v>49</v>
      </c>
      <c r="Q104" s="33" t="n">
        <f>21150</f>
        <v>21150.0</v>
      </c>
      <c r="R104" s="34" t="s">
        <v>50</v>
      </c>
      <c r="S104" s="35" t="n">
        <f>20746.14</f>
        <v>20746.14</v>
      </c>
      <c r="T104" s="32" t="n">
        <f>33657</f>
        <v>33657.0</v>
      </c>
      <c r="U104" s="32" t="n">
        <f>9390</f>
        <v>9390.0</v>
      </c>
      <c r="V104" s="32" t="n">
        <f>699623808</f>
        <v>6.99623808E8</v>
      </c>
      <c r="W104" s="32" t="n">
        <f>197114718</f>
        <v>1.97114718E8</v>
      </c>
      <c r="X104" s="36" t="n">
        <f>22</f>
        <v>22.0</v>
      </c>
    </row>
    <row r="105">
      <c r="A105" s="27" t="s">
        <v>42</v>
      </c>
      <c r="B105" s="27" t="s">
        <v>360</v>
      </c>
      <c r="C105" s="27" t="s">
        <v>361</v>
      </c>
      <c r="D105" s="27" t="s">
        <v>362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1.0</v>
      </c>
      <c r="K105" s="33" t="n">
        <f>1934</f>
        <v>1934.0</v>
      </c>
      <c r="L105" s="34" t="s">
        <v>48</v>
      </c>
      <c r="M105" s="33" t="n">
        <f>1940</f>
        <v>1940.0</v>
      </c>
      <c r="N105" s="34" t="s">
        <v>48</v>
      </c>
      <c r="O105" s="33" t="n">
        <f>1845</f>
        <v>1845.0</v>
      </c>
      <c r="P105" s="34" t="s">
        <v>49</v>
      </c>
      <c r="Q105" s="33" t="n">
        <f>1933</f>
        <v>1933.0</v>
      </c>
      <c r="R105" s="34" t="s">
        <v>50</v>
      </c>
      <c r="S105" s="35" t="n">
        <f>1893.41</f>
        <v>1893.41</v>
      </c>
      <c r="T105" s="32" t="n">
        <f>134598</f>
        <v>134598.0</v>
      </c>
      <c r="U105" s="32" t="str">
        <f>"－"</f>
        <v>－</v>
      </c>
      <c r="V105" s="32" t="n">
        <f>254734144</f>
        <v>2.54734144E8</v>
      </c>
      <c r="W105" s="32" t="str">
        <f>"－"</f>
        <v>－</v>
      </c>
      <c r="X105" s="36" t="n">
        <f>22</f>
        <v>22.0</v>
      </c>
    </row>
    <row r="106">
      <c r="A106" s="27" t="s">
        <v>42</v>
      </c>
      <c r="B106" s="27" t="s">
        <v>363</v>
      </c>
      <c r="C106" s="27" t="s">
        <v>364</v>
      </c>
      <c r="D106" s="27" t="s">
        <v>365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1.0</v>
      </c>
      <c r="K106" s="33" t="n">
        <f>21610</f>
        <v>21610.0</v>
      </c>
      <c r="L106" s="34" t="s">
        <v>48</v>
      </c>
      <c r="M106" s="33" t="n">
        <f>21705</f>
        <v>21705.0</v>
      </c>
      <c r="N106" s="34" t="s">
        <v>48</v>
      </c>
      <c r="O106" s="33" t="n">
        <f>20630</f>
        <v>20630.0</v>
      </c>
      <c r="P106" s="34" t="s">
        <v>49</v>
      </c>
      <c r="Q106" s="33" t="n">
        <f>21585</f>
        <v>21585.0</v>
      </c>
      <c r="R106" s="34" t="s">
        <v>50</v>
      </c>
      <c r="S106" s="35" t="n">
        <f>21177.73</f>
        <v>21177.73</v>
      </c>
      <c r="T106" s="32" t="n">
        <f>30167</f>
        <v>30167.0</v>
      </c>
      <c r="U106" s="32" t="n">
        <f>13060</f>
        <v>13060.0</v>
      </c>
      <c r="V106" s="32" t="n">
        <f>644142230</f>
        <v>6.4414223E8</v>
      </c>
      <c r="W106" s="32" t="n">
        <f>279824860</f>
        <v>2.7982486E8</v>
      </c>
      <c r="X106" s="36" t="n">
        <f>22</f>
        <v>22.0</v>
      </c>
    </row>
    <row r="107">
      <c r="A107" s="27" t="s">
        <v>42</v>
      </c>
      <c r="B107" s="27" t="s">
        <v>366</v>
      </c>
      <c r="C107" s="27" t="s">
        <v>367</v>
      </c>
      <c r="D107" s="27" t="s">
        <v>368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10.0</v>
      </c>
      <c r="K107" s="33" t="n">
        <f>1910</f>
        <v>1910.0</v>
      </c>
      <c r="L107" s="34" t="s">
        <v>48</v>
      </c>
      <c r="M107" s="33" t="n">
        <f>1954</f>
        <v>1954.0</v>
      </c>
      <c r="N107" s="34" t="s">
        <v>50</v>
      </c>
      <c r="O107" s="33" t="n">
        <f>1881</f>
        <v>1881.0</v>
      </c>
      <c r="P107" s="34" t="s">
        <v>72</v>
      </c>
      <c r="Q107" s="33" t="n">
        <f>1937</f>
        <v>1937.0</v>
      </c>
      <c r="R107" s="34" t="s">
        <v>50</v>
      </c>
      <c r="S107" s="35" t="n">
        <f>1907.66</f>
        <v>1907.66</v>
      </c>
      <c r="T107" s="32" t="n">
        <f>1401290</f>
        <v>1401290.0</v>
      </c>
      <c r="U107" s="32" t="n">
        <f>353000</f>
        <v>353000.0</v>
      </c>
      <c r="V107" s="32" t="n">
        <f>2671012933</f>
        <v>2.671012933E9</v>
      </c>
      <c r="W107" s="32" t="n">
        <f>670972143</f>
        <v>6.70972143E8</v>
      </c>
      <c r="X107" s="36" t="n">
        <f>22</f>
        <v>22.0</v>
      </c>
    </row>
    <row r="108">
      <c r="A108" s="27" t="s">
        <v>42</v>
      </c>
      <c r="B108" s="27" t="s">
        <v>369</v>
      </c>
      <c r="C108" s="27" t="s">
        <v>370</v>
      </c>
      <c r="D108" s="27" t="s">
        <v>371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10.0</v>
      </c>
      <c r="K108" s="33" t="n">
        <f>1936</f>
        <v>1936.0</v>
      </c>
      <c r="L108" s="34" t="s">
        <v>79</v>
      </c>
      <c r="M108" s="33" t="n">
        <f>1938</f>
        <v>1938.0</v>
      </c>
      <c r="N108" s="34" t="s">
        <v>114</v>
      </c>
      <c r="O108" s="33" t="n">
        <f>1913</f>
        <v>1913.0</v>
      </c>
      <c r="P108" s="34" t="s">
        <v>241</v>
      </c>
      <c r="Q108" s="33" t="n">
        <f>1918</f>
        <v>1918.0</v>
      </c>
      <c r="R108" s="34" t="s">
        <v>372</v>
      </c>
      <c r="S108" s="35" t="n">
        <f>1928</f>
        <v>1928.0</v>
      </c>
      <c r="T108" s="32" t="n">
        <f>60</f>
        <v>60.0</v>
      </c>
      <c r="U108" s="32" t="str">
        <f>"－"</f>
        <v>－</v>
      </c>
      <c r="V108" s="32" t="n">
        <f>115680</f>
        <v>115680.0</v>
      </c>
      <c r="W108" s="32" t="str">
        <f>"－"</f>
        <v>－</v>
      </c>
      <c r="X108" s="36" t="n">
        <f>6</f>
        <v>6.0</v>
      </c>
    </row>
    <row r="109">
      <c r="A109" s="27" t="s">
        <v>42</v>
      </c>
      <c r="B109" s="27" t="s">
        <v>373</v>
      </c>
      <c r="C109" s="27" t="s">
        <v>374</v>
      </c>
      <c r="D109" s="27" t="s">
        <v>375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10.0</v>
      </c>
      <c r="K109" s="33" t="n">
        <f>1936.5</f>
        <v>1936.5</v>
      </c>
      <c r="L109" s="34" t="s">
        <v>48</v>
      </c>
      <c r="M109" s="33" t="n">
        <f>1973.5</f>
        <v>1973.5</v>
      </c>
      <c r="N109" s="34" t="s">
        <v>50</v>
      </c>
      <c r="O109" s="33" t="n">
        <f>1900.5</f>
        <v>1900.5</v>
      </c>
      <c r="P109" s="34" t="s">
        <v>60</v>
      </c>
      <c r="Q109" s="33" t="n">
        <f>1956</f>
        <v>1956.0</v>
      </c>
      <c r="R109" s="34" t="s">
        <v>50</v>
      </c>
      <c r="S109" s="35" t="n">
        <f>1928.25</f>
        <v>1928.25</v>
      </c>
      <c r="T109" s="32" t="n">
        <f>1807110</f>
        <v>1807110.0</v>
      </c>
      <c r="U109" s="32" t="n">
        <f>794630</f>
        <v>794630.0</v>
      </c>
      <c r="V109" s="32" t="n">
        <f>3473385239</f>
        <v>3.473385239E9</v>
      </c>
      <c r="W109" s="32" t="n">
        <f>1522005024</f>
        <v>1.522005024E9</v>
      </c>
      <c r="X109" s="36" t="n">
        <f>22</f>
        <v>22.0</v>
      </c>
    </row>
    <row r="110">
      <c r="A110" s="27" t="s">
        <v>42</v>
      </c>
      <c r="B110" s="27" t="s">
        <v>376</v>
      </c>
      <c r="C110" s="27" t="s">
        <v>377</v>
      </c>
      <c r="D110" s="27" t="s">
        <v>378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1.0</v>
      </c>
      <c r="K110" s="33" t="n">
        <f>21270</f>
        <v>21270.0</v>
      </c>
      <c r="L110" s="34" t="s">
        <v>209</v>
      </c>
      <c r="M110" s="33" t="n">
        <f>21435</f>
        <v>21435.0</v>
      </c>
      <c r="N110" s="34" t="s">
        <v>50</v>
      </c>
      <c r="O110" s="33" t="n">
        <f>20460</f>
        <v>20460.0</v>
      </c>
      <c r="P110" s="34" t="s">
        <v>49</v>
      </c>
      <c r="Q110" s="33" t="n">
        <f>21435</f>
        <v>21435.0</v>
      </c>
      <c r="R110" s="34" t="s">
        <v>50</v>
      </c>
      <c r="S110" s="35" t="n">
        <f>20861.07</f>
        <v>20861.07</v>
      </c>
      <c r="T110" s="32" t="n">
        <f>201</f>
        <v>201.0</v>
      </c>
      <c r="U110" s="32" t="str">
        <f>"－"</f>
        <v>－</v>
      </c>
      <c r="V110" s="32" t="n">
        <f>4194730</f>
        <v>4194730.0</v>
      </c>
      <c r="W110" s="32" t="str">
        <f>"－"</f>
        <v>－</v>
      </c>
      <c r="X110" s="36" t="n">
        <f>14</f>
        <v>14.0</v>
      </c>
    </row>
    <row r="111">
      <c r="A111" s="27" t="s">
        <v>42</v>
      </c>
      <c r="B111" s="27" t="s">
        <v>379</v>
      </c>
      <c r="C111" s="27" t="s">
        <v>380</v>
      </c>
      <c r="D111" s="27" t="s">
        <v>381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100.0</v>
      </c>
      <c r="K111" s="33" t="n">
        <f>246.1</f>
        <v>246.1</v>
      </c>
      <c r="L111" s="34" t="s">
        <v>48</v>
      </c>
      <c r="M111" s="33" t="n">
        <f>250.8</f>
        <v>250.8</v>
      </c>
      <c r="N111" s="34" t="s">
        <v>50</v>
      </c>
      <c r="O111" s="33" t="n">
        <f>231.2</f>
        <v>231.2</v>
      </c>
      <c r="P111" s="34" t="s">
        <v>49</v>
      </c>
      <c r="Q111" s="33" t="n">
        <f>249.9</f>
        <v>249.9</v>
      </c>
      <c r="R111" s="34" t="s">
        <v>50</v>
      </c>
      <c r="S111" s="35" t="n">
        <f>242.01</f>
        <v>242.01</v>
      </c>
      <c r="T111" s="32" t="n">
        <f>72442500</f>
        <v>7.24425E7</v>
      </c>
      <c r="U111" s="32" t="n">
        <f>13956900</f>
        <v>1.39569E7</v>
      </c>
      <c r="V111" s="32" t="n">
        <f>17383560122</f>
        <v>1.7383560122E10</v>
      </c>
      <c r="W111" s="32" t="n">
        <f>3296995602</f>
        <v>3.296995602E9</v>
      </c>
      <c r="X111" s="36" t="n">
        <f>22</f>
        <v>22.0</v>
      </c>
    </row>
    <row r="112">
      <c r="A112" s="27" t="s">
        <v>42</v>
      </c>
      <c r="B112" s="27" t="s">
        <v>382</v>
      </c>
      <c r="C112" s="27" t="s">
        <v>383</v>
      </c>
      <c r="D112" s="27" t="s">
        <v>384</v>
      </c>
      <c r="E112" s="28" t="s">
        <v>46</v>
      </c>
      <c r="F112" s="29" t="s">
        <v>46</v>
      </c>
      <c r="G112" s="30" t="s">
        <v>46</v>
      </c>
      <c r="H112" s="31"/>
      <c r="I112" s="31" t="s">
        <v>47</v>
      </c>
      <c r="J112" s="32" t="n">
        <v>1.0</v>
      </c>
      <c r="K112" s="33" t="n">
        <f>33520</f>
        <v>33520.0</v>
      </c>
      <c r="L112" s="34" t="s">
        <v>48</v>
      </c>
      <c r="M112" s="33" t="n">
        <f>34830</f>
        <v>34830.0</v>
      </c>
      <c r="N112" s="34" t="s">
        <v>50</v>
      </c>
      <c r="O112" s="33" t="n">
        <f>32910</f>
        <v>32910.0</v>
      </c>
      <c r="P112" s="34" t="s">
        <v>154</v>
      </c>
      <c r="Q112" s="33" t="n">
        <f>34830</f>
        <v>34830.0</v>
      </c>
      <c r="R112" s="34" t="s">
        <v>50</v>
      </c>
      <c r="S112" s="35" t="n">
        <f>33862.27</f>
        <v>33862.27</v>
      </c>
      <c r="T112" s="32" t="n">
        <f>1348</f>
        <v>1348.0</v>
      </c>
      <c r="U112" s="32" t="str">
        <f>"－"</f>
        <v>－</v>
      </c>
      <c r="V112" s="32" t="n">
        <f>45773690</f>
        <v>4.577369E7</v>
      </c>
      <c r="W112" s="32" t="str">
        <f>"－"</f>
        <v>－</v>
      </c>
      <c r="X112" s="36" t="n">
        <f>22</f>
        <v>22.0</v>
      </c>
    </row>
    <row r="113">
      <c r="A113" s="27" t="s">
        <v>42</v>
      </c>
      <c r="B113" s="27" t="s">
        <v>385</v>
      </c>
      <c r="C113" s="27" t="s">
        <v>386</v>
      </c>
      <c r="D113" s="27" t="s">
        <v>387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1.0</v>
      </c>
      <c r="K113" s="33" t="n">
        <f>15405</f>
        <v>15405.0</v>
      </c>
      <c r="L113" s="34" t="s">
        <v>48</v>
      </c>
      <c r="M113" s="33" t="n">
        <f>16600</f>
        <v>16600.0</v>
      </c>
      <c r="N113" s="34" t="s">
        <v>205</v>
      </c>
      <c r="O113" s="33" t="n">
        <f>15010</f>
        <v>15010.0</v>
      </c>
      <c r="P113" s="34" t="s">
        <v>173</v>
      </c>
      <c r="Q113" s="33" t="n">
        <f>16475</f>
        <v>16475.0</v>
      </c>
      <c r="R113" s="34" t="s">
        <v>50</v>
      </c>
      <c r="S113" s="35" t="n">
        <f>15893.64</f>
        <v>15893.64</v>
      </c>
      <c r="T113" s="32" t="n">
        <f>19309</f>
        <v>19309.0</v>
      </c>
      <c r="U113" s="32" t="str">
        <f>"－"</f>
        <v>－</v>
      </c>
      <c r="V113" s="32" t="n">
        <f>308133470</f>
        <v>3.0813347E8</v>
      </c>
      <c r="W113" s="32" t="str">
        <f>"－"</f>
        <v>－</v>
      </c>
      <c r="X113" s="36" t="n">
        <f>22</f>
        <v>22.0</v>
      </c>
    </row>
    <row r="114">
      <c r="A114" s="27" t="s">
        <v>42</v>
      </c>
      <c r="B114" s="27" t="s">
        <v>388</v>
      </c>
      <c r="C114" s="27" t="s">
        <v>389</v>
      </c>
      <c r="D114" s="27" t="s">
        <v>390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1.0</v>
      </c>
      <c r="K114" s="33" t="n">
        <f>25380</f>
        <v>25380.0</v>
      </c>
      <c r="L114" s="34" t="s">
        <v>48</v>
      </c>
      <c r="M114" s="33" t="n">
        <f>25970</f>
        <v>25970.0</v>
      </c>
      <c r="N114" s="34" t="s">
        <v>50</v>
      </c>
      <c r="O114" s="33" t="n">
        <f>24625</f>
        <v>24625.0</v>
      </c>
      <c r="P114" s="34" t="s">
        <v>213</v>
      </c>
      <c r="Q114" s="33" t="n">
        <f>25915</f>
        <v>25915.0</v>
      </c>
      <c r="R114" s="34" t="s">
        <v>50</v>
      </c>
      <c r="S114" s="35" t="n">
        <f>25224.09</f>
        <v>25224.09</v>
      </c>
      <c r="T114" s="32" t="n">
        <f>1838</f>
        <v>1838.0</v>
      </c>
      <c r="U114" s="32" t="str">
        <f>"－"</f>
        <v>－</v>
      </c>
      <c r="V114" s="32" t="n">
        <f>46499570</f>
        <v>4.649957E7</v>
      </c>
      <c r="W114" s="32" t="str">
        <f>"－"</f>
        <v>－</v>
      </c>
      <c r="X114" s="36" t="n">
        <f>22</f>
        <v>22.0</v>
      </c>
    </row>
    <row r="115">
      <c r="A115" s="27" t="s">
        <v>42</v>
      </c>
      <c r="B115" s="27" t="s">
        <v>391</v>
      </c>
      <c r="C115" s="27" t="s">
        <v>392</v>
      </c>
      <c r="D115" s="27" t="s">
        <v>393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1.0</v>
      </c>
      <c r="K115" s="33" t="n">
        <f>27905</f>
        <v>27905.0</v>
      </c>
      <c r="L115" s="34" t="s">
        <v>48</v>
      </c>
      <c r="M115" s="33" t="n">
        <f>28090</f>
        <v>28090.0</v>
      </c>
      <c r="N115" s="34" t="s">
        <v>114</v>
      </c>
      <c r="O115" s="33" t="n">
        <f>26945</f>
        <v>26945.0</v>
      </c>
      <c r="P115" s="34" t="s">
        <v>154</v>
      </c>
      <c r="Q115" s="33" t="n">
        <f>27940</f>
        <v>27940.0</v>
      </c>
      <c r="R115" s="34" t="s">
        <v>50</v>
      </c>
      <c r="S115" s="35" t="n">
        <f>27490.68</f>
        <v>27490.68</v>
      </c>
      <c r="T115" s="32" t="n">
        <f>5624</f>
        <v>5624.0</v>
      </c>
      <c r="U115" s="32" t="n">
        <f>4000</f>
        <v>4000.0</v>
      </c>
      <c r="V115" s="32" t="n">
        <f>156384665</f>
        <v>1.56384665E8</v>
      </c>
      <c r="W115" s="32" t="n">
        <f>111688000</f>
        <v>1.11688E8</v>
      </c>
      <c r="X115" s="36" t="n">
        <f>22</f>
        <v>22.0</v>
      </c>
    </row>
    <row r="116">
      <c r="A116" s="27" t="s">
        <v>42</v>
      </c>
      <c r="B116" s="27" t="s">
        <v>394</v>
      </c>
      <c r="C116" s="27" t="s">
        <v>395</v>
      </c>
      <c r="D116" s="27" t="s">
        <v>396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1.0</v>
      </c>
      <c r="K116" s="33" t="n">
        <f>26680</f>
        <v>26680.0</v>
      </c>
      <c r="L116" s="34" t="s">
        <v>48</v>
      </c>
      <c r="M116" s="33" t="n">
        <f>27745</f>
        <v>27745.0</v>
      </c>
      <c r="N116" s="34" t="s">
        <v>114</v>
      </c>
      <c r="O116" s="33" t="n">
        <f>25950</f>
        <v>25950.0</v>
      </c>
      <c r="P116" s="34" t="s">
        <v>154</v>
      </c>
      <c r="Q116" s="33" t="n">
        <f>27530</f>
        <v>27530.0</v>
      </c>
      <c r="R116" s="34" t="s">
        <v>50</v>
      </c>
      <c r="S116" s="35" t="n">
        <f>27035.91</f>
        <v>27035.91</v>
      </c>
      <c r="T116" s="32" t="n">
        <f>6478</f>
        <v>6478.0</v>
      </c>
      <c r="U116" s="32" t="n">
        <f>1</f>
        <v>1.0</v>
      </c>
      <c r="V116" s="32" t="n">
        <f>175040275</f>
        <v>1.75040275E8</v>
      </c>
      <c r="W116" s="32" t="n">
        <f>27365</f>
        <v>27365.0</v>
      </c>
      <c r="X116" s="36" t="n">
        <f>22</f>
        <v>22.0</v>
      </c>
    </row>
    <row r="117">
      <c r="A117" s="27" t="s">
        <v>42</v>
      </c>
      <c r="B117" s="27" t="s">
        <v>397</v>
      </c>
      <c r="C117" s="27" t="s">
        <v>398</v>
      </c>
      <c r="D117" s="27" t="s">
        <v>399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1.0</v>
      </c>
      <c r="K117" s="33" t="n">
        <f>27775</f>
        <v>27775.0</v>
      </c>
      <c r="L117" s="34" t="s">
        <v>48</v>
      </c>
      <c r="M117" s="33" t="n">
        <f>28755</f>
        <v>28755.0</v>
      </c>
      <c r="N117" s="34" t="s">
        <v>209</v>
      </c>
      <c r="O117" s="33" t="n">
        <f>26630</f>
        <v>26630.0</v>
      </c>
      <c r="P117" s="34" t="s">
        <v>49</v>
      </c>
      <c r="Q117" s="33" t="n">
        <f>28385</f>
        <v>28385.0</v>
      </c>
      <c r="R117" s="34" t="s">
        <v>50</v>
      </c>
      <c r="S117" s="35" t="n">
        <f>27519.09</f>
        <v>27519.09</v>
      </c>
      <c r="T117" s="32" t="n">
        <f>11361</f>
        <v>11361.0</v>
      </c>
      <c r="U117" s="32" t="str">
        <f>"－"</f>
        <v>－</v>
      </c>
      <c r="V117" s="32" t="n">
        <f>313038700</f>
        <v>3.130387E8</v>
      </c>
      <c r="W117" s="32" t="str">
        <f>"－"</f>
        <v>－</v>
      </c>
      <c r="X117" s="36" t="n">
        <f>22</f>
        <v>22.0</v>
      </c>
    </row>
    <row r="118">
      <c r="A118" s="27" t="s">
        <v>42</v>
      </c>
      <c r="B118" s="27" t="s">
        <v>400</v>
      </c>
      <c r="C118" s="27" t="s">
        <v>401</v>
      </c>
      <c r="D118" s="27" t="s">
        <v>402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1.0</v>
      </c>
      <c r="K118" s="33" t="n">
        <f>22760</f>
        <v>22760.0</v>
      </c>
      <c r="L118" s="34" t="s">
        <v>48</v>
      </c>
      <c r="M118" s="33" t="n">
        <f>23215</f>
        <v>23215.0</v>
      </c>
      <c r="N118" s="34" t="s">
        <v>209</v>
      </c>
      <c r="O118" s="33" t="n">
        <f>21680</f>
        <v>21680.0</v>
      </c>
      <c r="P118" s="34" t="s">
        <v>49</v>
      </c>
      <c r="Q118" s="33" t="n">
        <f>23120</f>
        <v>23120.0</v>
      </c>
      <c r="R118" s="34" t="s">
        <v>50</v>
      </c>
      <c r="S118" s="35" t="n">
        <f>22581.59</f>
        <v>22581.59</v>
      </c>
      <c r="T118" s="32" t="n">
        <f>5960</f>
        <v>5960.0</v>
      </c>
      <c r="U118" s="32" t="str">
        <f>"－"</f>
        <v>－</v>
      </c>
      <c r="V118" s="32" t="n">
        <f>134959820</f>
        <v>1.3495982E8</v>
      </c>
      <c r="W118" s="32" t="str">
        <f>"－"</f>
        <v>－</v>
      </c>
      <c r="X118" s="36" t="n">
        <f>22</f>
        <v>22.0</v>
      </c>
    </row>
    <row r="119">
      <c r="A119" s="27" t="s">
        <v>42</v>
      </c>
      <c r="B119" s="27" t="s">
        <v>403</v>
      </c>
      <c r="C119" s="27" t="s">
        <v>404</v>
      </c>
      <c r="D119" s="27" t="s">
        <v>405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1.0</v>
      </c>
      <c r="K119" s="33" t="n">
        <f>48630</f>
        <v>48630.0</v>
      </c>
      <c r="L119" s="34" t="s">
        <v>48</v>
      </c>
      <c r="M119" s="33" t="n">
        <f>49070</f>
        <v>49070.0</v>
      </c>
      <c r="N119" s="34" t="s">
        <v>48</v>
      </c>
      <c r="O119" s="33" t="n">
        <f>45390</f>
        <v>45390.0</v>
      </c>
      <c r="P119" s="34" t="s">
        <v>49</v>
      </c>
      <c r="Q119" s="33" t="n">
        <f>48400</f>
        <v>48400.0</v>
      </c>
      <c r="R119" s="34" t="s">
        <v>50</v>
      </c>
      <c r="S119" s="35" t="n">
        <f>47072.27</f>
        <v>47072.27</v>
      </c>
      <c r="T119" s="32" t="n">
        <f>2451</f>
        <v>2451.0</v>
      </c>
      <c r="U119" s="32" t="n">
        <f>1000</f>
        <v>1000.0</v>
      </c>
      <c r="V119" s="32" t="n">
        <f>115160840</f>
        <v>1.1516084E8</v>
      </c>
      <c r="W119" s="32" t="n">
        <f>47175300</f>
        <v>4.71753E7</v>
      </c>
      <c r="X119" s="36" t="n">
        <f>22</f>
        <v>22.0</v>
      </c>
    </row>
    <row r="120">
      <c r="A120" s="27" t="s">
        <v>42</v>
      </c>
      <c r="B120" s="27" t="s">
        <v>406</v>
      </c>
      <c r="C120" s="27" t="s">
        <v>407</v>
      </c>
      <c r="D120" s="27" t="s">
        <v>408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1.0</v>
      </c>
      <c r="K120" s="33" t="n">
        <f>32650</f>
        <v>32650.0</v>
      </c>
      <c r="L120" s="34" t="s">
        <v>48</v>
      </c>
      <c r="M120" s="33" t="n">
        <f>32820</f>
        <v>32820.0</v>
      </c>
      <c r="N120" s="34" t="s">
        <v>48</v>
      </c>
      <c r="O120" s="33" t="n">
        <f>30150</f>
        <v>30150.0</v>
      </c>
      <c r="P120" s="34" t="s">
        <v>72</v>
      </c>
      <c r="Q120" s="33" t="n">
        <f>31510</f>
        <v>31510.0</v>
      </c>
      <c r="R120" s="34" t="s">
        <v>50</v>
      </c>
      <c r="S120" s="35" t="n">
        <f>31214.09</f>
        <v>31214.09</v>
      </c>
      <c r="T120" s="32" t="n">
        <f>11554</f>
        <v>11554.0</v>
      </c>
      <c r="U120" s="32" t="n">
        <f>1215</f>
        <v>1215.0</v>
      </c>
      <c r="V120" s="32" t="n">
        <f>361721563</f>
        <v>3.61721563E8</v>
      </c>
      <c r="W120" s="32" t="n">
        <f>37928533</f>
        <v>3.7928533E7</v>
      </c>
      <c r="X120" s="36" t="n">
        <f>22</f>
        <v>22.0</v>
      </c>
    </row>
    <row r="121">
      <c r="A121" s="27" t="s">
        <v>42</v>
      </c>
      <c r="B121" s="27" t="s">
        <v>409</v>
      </c>
      <c r="C121" s="27" t="s">
        <v>410</v>
      </c>
      <c r="D121" s="27" t="s">
        <v>411</v>
      </c>
      <c r="E121" s="28" t="s">
        <v>46</v>
      </c>
      <c r="F121" s="29" t="s">
        <v>46</v>
      </c>
      <c r="G121" s="30" t="s">
        <v>46</v>
      </c>
      <c r="H121" s="31"/>
      <c r="I121" s="31" t="s">
        <v>47</v>
      </c>
      <c r="J121" s="32" t="n">
        <v>1.0</v>
      </c>
      <c r="K121" s="33" t="n">
        <f>30820</f>
        <v>30820.0</v>
      </c>
      <c r="L121" s="34" t="s">
        <v>48</v>
      </c>
      <c r="M121" s="33" t="n">
        <f>30820</f>
        <v>30820.0</v>
      </c>
      <c r="N121" s="34" t="s">
        <v>48</v>
      </c>
      <c r="O121" s="33" t="n">
        <f>29335</f>
        <v>29335.0</v>
      </c>
      <c r="P121" s="34" t="s">
        <v>72</v>
      </c>
      <c r="Q121" s="33" t="n">
        <f>30670</f>
        <v>30670.0</v>
      </c>
      <c r="R121" s="34" t="s">
        <v>50</v>
      </c>
      <c r="S121" s="35" t="n">
        <f>29976.14</f>
        <v>29976.14</v>
      </c>
      <c r="T121" s="32" t="n">
        <f>1244</f>
        <v>1244.0</v>
      </c>
      <c r="U121" s="32" t="str">
        <f>"－"</f>
        <v>－</v>
      </c>
      <c r="V121" s="32" t="n">
        <f>37483945</f>
        <v>3.7483945E7</v>
      </c>
      <c r="W121" s="32" t="str">
        <f>"－"</f>
        <v>－</v>
      </c>
      <c r="X121" s="36" t="n">
        <f>22</f>
        <v>22.0</v>
      </c>
    </row>
    <row r="122">
      <c r="A122" s="27" t="s">
        <v>42</v>
      </c>
      <c r="B122" s="27" t="s">
        <v>412</v>
      </c>
      <c r="C122" s="27" t="s">
        <v>413</v>
      </c>
      <c r="D122" s="27" t="s">
        <v>414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1.0</v>
      </c>
      <c r="K122" s="33" t="n">
        <f>7404</f>
        <v>7404.0</v>
      </c>
      <c r="L122" s="34" t="s">
        <v>48</v>
      </c>
      <c r="M122" s="33" t="n">
        <f>7855</f>
        <v>7855.0</v>
      </c>
      <c r="N122" s="34" t="s">
        <v>50</v>
      </c>
      <c r="O122" s="33" t="n">
        <f>7205</f>
        <v>7205.0</v>
      </c>
      <c r="P122" s="34" t="s">
        <v>154</v>
      </c>
      <c r="Q122" s="33" t="n">
        <f>7832</f>
        <v>7832.0</v>
      </c>
      <c r="R122" s="34" t="s">
        <v>50</v>
      </c>
      <c r="S122" s="35" t="n">
        <f>7501.09</f>
        <v>7501.09</v>
      </c>
      <c r="T122" s="32" t="n">
        <f>43046</f>
        <v>43046.0</v>
      </c>
      <c r="U122" s="32" t="str">
        <f>"－"</f>
        <v>－</v>
      </c>
      <c r="V122" s="32" t="n">
        <f>322497940</f>
        <v>3.2249794E8</v>
      </c>
      <c r="W122" s="32" t="str">
        <f>"－"</f>
        <v>－</v>
      </c>
      <c r="X122" s="36" t="n">
        <f>22</f>
        <v>22.0</v>
      </c>
    </row>
    <row r="123">
      <c r="A123" s="27" t="s">
        <v>42</v>
      </c>
      <c r="B123" s="27" t="s">
        <v>415</v>
      </c>
      <c r="C123" s="27" t="s">
        <v>416</v>
      </c>
      <c r="D123" s="27" t="s">
        <v>417</v>
      </c>
      <c r="E123" s="28" t="s">
        <v>46</v>
      </c>
      <c r="F123" s="29" t="s">
        <v>46</v>
      </c>
      <c r="G123" s="30" t="s">
        <v>46</v>
      </c>
      <c r="H123" s="31"/>
      <c r="I123" s="31" t="s">
        <v>47</v>
      </c>
      <c r="J123" s="32" t="n">
        <v>1.0</v>
      </c>
      <c r="K123" s="33" t="n">
        <f>18000</f>
        <v>18000.0</v>
      </c>
      <c r="L123" s="34" t="s">
        <v>48</v>
      </c>
      <c r="M123" s="33" t="n">
        <f>18610</f>
        <v>18610.0</v>
      </c>
      <c r="N123" s="34" t="s">
        <v>114</v>
      </c>
      <c r="O123" s="33" t="n">
        <f>17700</f>
        <v>17700.0</v>
      </c>
      <c r="P123" s="34" t="s">
        <v>154</v>
      </c>
      <c r="Q123" s="33" t="n">
        <f>18480</f>
        <v>18480.0</v>
      </c>
      <c r="R123" s="34" t="s">
        <v>50</v>
      </c>
      <c r="S123" s="35" t="n">
        <f>18168.41</f>
        <v>18168.41</v>
      </c>
      <c r="T123" s="32" t="n">
        <f>11614</f>
        <v>11614.0</v>
      </c>
      <c r="U123" s="32" t="n">
        <f>1</f>
        <v>1.0</v>
      </c>
      <c r="V123" s="32" t="n">
        <f>210464265</f>
        <v>2.10464265E8</v>
      </c>
      <c r="W123" s="32" t="n">
        <f>18130</f>
        <v>18130.0</v>
      </c>
      <c r="X123" s="36" t="n">
        <f>22</f>
        <v>22.0</v>
      </c>
    </row>
    <row r="124">
      <c r="A124" s="27" t="s">
        <v>42</v>
      </c>
      <c r="B124" s="27" t="s">
        <v>418</v>
      </c>
      <c r="C124" s="27" t="s">
        <v>419</v>
      </c>
      <c r="D124" s="27" t="s">
        <v>420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1.0</v>
      </c>
      <c r="K124" s="33" t="n">
        <f>71630</f>
        <v>71630.0</v>
      </c>
      <c r="L124" s="34" t="s">
        <v>48</v>
      </c>
      <c r="M124" s="33" t="n">
        <f>72260</f>
        <v>72260.0</v>
      </c>
      <c r="N124" s="34" t="s">
        <v>48</v>
      </c>
      <c r="O124" s="33" t="n">
        <f>67220</f>
        <v>67220.0</v>
      </c>
      <c r="P124" s="34" t="s">
        <v>49</v>
      </c>
      <c r="Q124" s="33" t="n">
        <f>70200</f>
        <v>70200.0</v>
      </c>
      <c r="R124" s="34" t="s">
        <v>50</v>
      </c>
      <c r="S124" s="35" t="n">
        <f>69674.09</f>
        <v>69674.09</v>
      </c>
      <c r="T124" s="32" t="n">
        <f>14116</f>
        <v>14116.0</v>
      </c>
      <c r="U124" s="32" t="n">
        <f>2</f>
        <v>2.0</v>
      </c>
      <c r="V124" s="32" t="n">
        <f>985213290</f>
        <v>9.8521329E8</v>
      </c>
      <c r="W124" s="32" t="n">
        <f>138570</f>
        <v>138570.0</v>
      </c>
      <c r="X124" s="36" t="n">
        <f>22</f>
        <v>22.0</v>
      </c>
    </row>
    <row r="125">
      <c r="A125" s="27" t="s">
        <v>42</v>
      </c>
      <c r="B125" s="27" t="s">
        <v>421</v>
      </c>
      <c r="C125" s="27" t="s">
        <v>422</v>
      </c>
      <c r="D125" s="27" t="s">
        <v>423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1.0</v>
      </c>
      <c r="K125" s="33" t="n">
        <f>25870</f>
        <v>25870.0</v>
      </c>
      <c r="L125" s="34" t="s">
        <v>48</v>
      </c>
      <c r="M125" s="33" t="n">
        <f>26620</f>
        <v>26620.0</v>
      </c>
      <c r="N125" s="34" t="s">
        <v>114</v>
      </c>
      <c r="O125" s="33" t="n">
        <f>25250</f>
        <v>25250.0</v>
      </c>
      <c r="P125" s="34" t="s">
        <v>173</v>
      </c>
      <c r="Q125" s="33" t="n">
        <f>26160</f>
        <v>26160.0</v>
      </c>
      <c r="R125" s="34" t="s">
        <v>50</v>
      </c>
      <c r="S125" s="35" t="n">
        <f>25930.48</f>
        <v>25930.48</v>
      </c>
      <c r="T125" s="32" t="n">
        <f>16104</f>
        <v>16104.0</v>
      </c>
      <c r="U125" s="32" t="n">
        <f>10280</f>
        <v>10280.0</v>
      </c>
      <c r="V125" s="32" t="n">
        <f>417399349</f>
        <v>4.17399349E8</v>
      </c>
      <c r="W125" s="32" t="n">
        <f>266719744</f>
        <v>2.66719744E8</v>
      </c>
      <c r="X125" s="36" t="n">
        <f>21</f>
        <v>21.0</v>
      </c>
    </row>
    <row r="126">
      <c r="A126" s="27" t="s">
        <v>42</v>
      </c>
      <c r="B126" s="27" t="s">
        <v>424</v>
      </c>
      <c r="C126" s="27" t="s">
        <v>425</v>
      </c>
      <c r="D126" s="27" t="s">
        <v>426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1.0</v>
      </c>
      <c r="K126" s="33" t="n">
        <f>12965</f>
        <v>12965.0</v>
      </c>
      <c r="L126" s="34" t="s">
        <v>48</v>
      </c>
      <c r="M126" s="33" t="n">
        <f>13140</f>
        <v>13140.0</v>
      </c>
      <c r="N126" s="34" t="s">
        <v>50</v>
      </c>
      <c r="O126" s="33" t="n">
        <f>12120</f>
        <v>12120.0</v>
      </c>
      <c r="P126" s="34" t="s">
        <v>49</v>
      </c>
      <c r="Q126" s="33" t="n">
        <f>13110</f>
        <v>13110.0</v>
      </c>
      <c r="R126" s="34" t="s">
        <v>50</v>
      </c>
      <c r="S126" s="35" t="n">
        <f>12697.5</f>
        <v>12697.5</v>
      </c>
      <c r="T126" s="32" t="n">
        <f>63910</f>
        <v>63910.0</v>
      </c>
      <c r="U126" s="32" t="n">
        <f>8681</f>
        <v>8681.0</v>
      </c>
      <c r="V126" s="32" t="n">
        <f>818711796</f>
        <v>8.18711796E8</v>
      </c>
      <c r="W126" s="32" t="n">
        <f>110362721</f>
        <v>1.10362721E8</v>
      </c>
      <c r="X126" s="36" t="n">
        <f>22</f>
        <v>22.0</v>
      </c>
    </row>
    <row r="127">
      <c r="A127" s="27" t="s">
        <v>42</v>
      </c>
      <c r="B127" s="27" t="s">
        <v>427</v>
      </c>
      <c r="C127" s="27" t="s">
        <v>428</v>
      </c>
      <c r="D127" s="27" t="s">
        <v>429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1.0</v>
      </c>
      <c r="K127" s="33" t="n">
        <f>18275</f>
        <v>18275.0</v>
      </c>
      <c r="L127" s="34" t="s">
        <v>48</v>
      </c>
      <c r="M127" s="33" t="n">
        <f>18310</f>
        <v>18310.0</v>
      </c>
      <c r="N127" s="34" t="s">
        <v>48</v>
      </c>
      <c r="O127" s="33" t="n">
        <f>17205</f>
        <v>17205.0</v>
      </c>
      <c r="P127" s="34" t="s">
        <v>154</v>
      </c>
      <c r="Q127" s="33" t="n">
        <f>18160</f>
        <v>18160.0</v>
      </c>
      <c r="R127" s="34" t="s">
        <v>50</v>
      </c>
      <c r="S127" s="35" t="n">
        <f>17657.05</f>
        <v>17657.05</v>
      </c>
      <c r="T127" s="32" t="n">
        <f>36270</f>
        <v>36270.0</v>
      </c>
      <c r="U127" s="32" t="n">
        <f>31000</f>
        <v>31000.0</v>
      </c>
      <c r="V127" s="32" t="n">
        <f>633294025</f>
        <v>6.33294025E8</v>
      </c>
      <c r="W127" s="32" t="n">
        <f>540126700</f>
        <v>5.401267E8</v>
      </c>
      <c r="X127" s="36" t="n">
        <f>22</f>
        <v>22.0</v>
      </c>
    </row>
    <row r="128">
      <c r="A128" s="27" t="s">
        <v>42</v>
      </c>
      <c r="B128" s="27" t="s">
        <v>430</v>
      </c>
      <c r="C128" s="27" t="s">
        <v>431</v>
      </c>
      <c r="D128" s="27" t="s">
        <v>432</v>
      </c>
      <c r="E128" s="28" t="s">
        <v>46</v>
      </c>
      <c r="F128" s="29" t="s">
        <v>46</v>
      </c>
      <c r="G128" s="30" t="s">
        <v>46</v>
      </c>
      <c r="H128" s="31"/>
      <c r="I128" s="31" t="s">
        <v>47</v>
      </c>
      <c r="J128" s="32" t="n">
        <v>1.0</v>
      </c>
      <c r="K128" s="33" t="n">
        <f>31210</f>
        <v>31210.0</v>
      </c>
      <c r="L128" s="34" t="s">
        <v>48</v>
      </c>
      <c r="M128" s="33" t="n">
        <f>32630</f>
        <v>32630.0</v>
      </c>
      <c r="N128" s="34" t="s">
        <v>50</v>
      </c>
      <c r="O128" s="33" t="n">
        <f>30150</f>
        <v>30150.0</v>
      </c>
      <c r="P128" s="34" t="s">
        <v>154</v>
      </c>
      <c r="Q128" s="33" t="n">
        <f>32580</f>
        <v>32580.0</v>
      </c>
      <c r="R128" s="34" t="s">
        <v>50</v>
      </c>
      <c r="S128" s="35" t="n">
        <f>31313.64</f>
        <v>31313.64</v>
      </c>
      <c r="T128" s="32" t="n">
        <f>1579</f>
        <v>1579.0</v>
      </c>
      <c r="U128" s="32" t="str">
        <f>"－"</f>
        <v>－</v>
      </c>
      <c r="V128" s="32" t="n">
        <f>49571910</f>
        <v>4.957191E7</v>
      </c>
      <c r="W128" s="32" t="str">
        <f>"－"</f>
        <v>－</v>
      </c>
      <c r="X128" s="36" t="n">
        <f>22</f>
        <v>22.0</v>
      </c>
    </row>
    <row r="129">
      <c r="A129" s="27" t="s">
        <v>42</v>
      </c>
      <c r="B129" s="27" t="s">
        <v>433</v>
      </c>
      <c r="C129" s="27" t="s">
        <v>434</v>
      </c>
      <c r="D129" s="27" t="s">
        <v>435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10.0</v>
      </c>
      <c r="K129" s="33" t="n">
        <f>1598</f>
        <v>1598.0</v>
      </c>
      <c r="L129" s="34" t="s">
        <v>48</v>
      </c>
      <c r="M129" s="33" t="n">
        <f>1609</f>
        <v>1609.0</v>
      </c>
      <c r="N129" s="34" t="s">
        <v>209</v>
      </c>
      <c r="O129" s="33" t="n">
        <f>1518.5</f>
        <v>1518.5</v>
      </c>
      <c r="P129" s="34" t="s">
        <v>49</v>
      </c>
      <c r="Q129" s="33" t="n">
        <f>1598</f>
        <v>1598.0</v>
      </c>
      <c r="R129" s="34" t="s">
        <v>50</v>
      </c>
      <c r="S129" s="35" t="n">
        <f>1563.86</f>
        <v>1563.86</v>
      </c>
      <c r="T129" s="32" t="n">
        <f>905040</f>
        <v>905040.0</v>
      </c>
      <c r="U129" s="32" t="n">
        <f>247600</f>
        <v>247600.0</v>
      </c>
      <c r="V129" s="32" t="n">
        <f>1423475479</f>
        <v>1.423475479E9</v>
      </c>
      <c r="W129" s="32" t="n">
        <f>388549654</f>
        <v>3.88549654E8</v>
      </c>
      <c r="X129" s="36" t="n">
        <f>22</f>
        <v>22.0</v>
      </c>
    </row>
    <row r="130">
      <c r="A130" s="27" t="s">
        <v>42</v>
      </c>
      <c r="B130" s="27" t="s">
        <v>436</v>
      </c>
      <c r="C130" s="27" t="s">
        <v>437</v>
      </c>
      <c r="D130" s="27" t="s">
        <v>438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10.0</v>
      </c>
      <c r="K130" s="33" t="n">
        <f>2661.5</f>
        <v>2661.5</v>
      </c>
      <c r="L130" s="34" t="s">
        <v>48</v>
      </c>
      <c r="M130" s="33" t="n">
        <f>2663.5</f>
        <v>2663.5</v>
      </c>
      <c r="N130" s="34" t="s">
        <v>50</v>
      </c>
      <c r="O130" s="33" t="n">
        <f>2552</f>
        <v>2552.0</v>
      </c>
      <c r="P130" s="34" t="s">
        <v>72</v>
      </c>
      <c r="Q130" s="33" t="n">
        <f>2660.5</f>
        <v>2660.5</v>
      </c>
      <c r="R130" s="34" t="s">
        <v>50</v>
      </c>
      <c r="S130" s="35" t="n">
        <f>2605.3</f>
        <v>2605.3</v>
      </c>
      <c r="T130" s="32" t="n">
        <f>6250</f>
        <v>6250.0</v>
      </c>
      <c r="U130" s="32" t="str">
        <f>"－"</f>
        <v>－</v>
      </c>
      <c r="V130" s="32" t="n">
        <f>16315260</f>
        <v>1.631526E7</v>
      </c>
      <c r="W130" s="32" t="str">
        <f>"－"</f>
        <v>－</v>
      </c>
      <c r="X130" s="36" t="n">
        <f>20</f>
        <v>20.0</v>
      </c>
    </row>
    <row r="131">
      <c r="A131" s="27" t="s">
        <v>42</v>
      </c>
      <c r="B131" s="27" t="s">
        <v>439</v>
      </c>
      <c r="C131" s="27" t="s">
        <v>440</v>
      </c>
      <c r="D131" s="27" t="s">
        <v>441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10.0</v>
      </c>
      <c r="K131" s="33" t="n">
        <f>2915.5</f>
        <v>2915.5</v>
      </c>
      <c r="L131" s="34" t="s">
        <v>48</v>
      </c>
      <c r="M131" s="33" t="n">
        <f>2929</f>
        <v>2929.0</v>
      </c>
      <c r="N131" s="34" t="s">
        <v>48</v>
      </c>
      <c r="O131" s="33" t="n">
        <f>2792</f>
        <v>2792.0</v>
      </c>
      <c r="P131" s="34" t="s">
        <v>72</v>
      </c>
      <c r="Q131" s="33" t="n">
        <f>2915</f>
        <v>2915.0</v>
      </c>
      <c r="R131" s="34" t="s">
        <v>50</v>
      </c>
      <c r="S131" s="35" t="n">
        <f>2863.24</f>
        <v>2863.24</v>
      </c>
      <c r="T131" s="32" t="n">
        <f>27780</f>
        <v>27780.0</v>
      </c>
      <c r="U131" s="32" t="str">
        <f>"－"</f>
        <v>－</v>
      </c>
      <c r="V131" s="32" t="n">
        <f>79335680</f>
        <v>7.933568E7</v>
      </c>
      <c r="W131" s="32" t="str">
        <f>"－"</f>
        <v>－</v>
      </c>
      <c r="X131" s="36" t="n">
        <f>19</f>
        <v>19.0</v>
      </c>
    </row>
    <row r="132">
      <c r="A132" s="27" t="s">
        <v>42</v>
      </c>
      <c r="B132" s="27" t="s">
        <v>442</v>
      </c>
      <c r="C132" s="27" t="s">
        <v>443</v>
      </c>
      <c r="D132" s="27" t="s">
        <v>444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10.0</v>
      </c>
      <c r="K132" s="33" t="n">
        <f>1825</f>
        <v>1825.0</v>
      </c>
      <c r="L132" s="34" t="s">
        <v>48</v>
      </c>
      <c r="M132" s="33" t="n">
        <f>1833.5</f>
        <v>1833.5</v>
      </c>
      <c r="N132" s="34" t="s">
        <v>48</v>
      </c>
      <c r="O132" s="33" t="n">
        <f>1750</f>
        <v>1750.0</v>
      </c>
      <c r="P132" s="34" t="s">
        <v>49</v>
      </c>
      <c r="Q132" s="33" t="n">
        <f>1819.5</f>
        <v>1819.5</v>
      </c>
      <c r="R132" s="34" t="s">
        <v>50</v>
      </c>
      <c r="S132" s="35" t="n">
        <f>1788.71</f>
        <v>1788.71</v>
      </c>
      <c r="T132" s="32" t="n">
        <f>4830</f>
        <v>4830.0</v>
      </c>
      <c r="U132" s="32" t="str">
        <f>"－"</f>
        <v>－</v>
      </c>
      <c r="V132" s="32" t="n">
        <f>8649690</f>
        <v>8649690.0</v>
      </c>
      <c r="W132" s="32" t="str">
        <f>"－"</f>
        <v>－</v>
      </c>
      <c r="X132" s="36" t="n">
        <f>19</f>
        <v>19.0</v>
      </c>
    </row>
    <row r="133">
      <c r="A133" s="27" t="s">
        <v>42</v>
      </c>
      <c r="B133" s="27" t="s">
        <v>445</v>
      </c>
      <c r="C133" s="27" t="s">
        <v>446</v>
      </c>
      <c r="D133" s="27" t="s">
        <v>447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10.0</v>
      </c>
      <c r="K133" s="33" t="n">
        <f>471.9</f>
        <v>471.9</v>
      </c>
      <c r="L133" s="34" t="s">
        <v>48</v>
      </c>
      <c r="M133" s="33" t="n">
        <f>475.2</f>
        <v>475.2</v>
      </c>
      <c r="N133" s="34" t="s">
        <v>50</v>
      </c>
      <c r="O133" s="33" t="n">
        <f>455.7</f>
        <v>455.7</v>
      </c>
      <c r="P133" s="34" t="s">
        <v>68</v>
      </c>
      <c r="Q133" s="33" t="n">
        <f>474.7</f>
        <v>474.7</v>
      </c>
      <c r="R133" s="34" t="s">
        <v>50</v>
      </c>
      <c r="S133" s="35" t="n">
        <f>465.17</f>
        <v>465.17</v>
      </c>
      <c r="T133" s="32" t="n">
        <f>41568320</f>
        <v>4.156832E7</v>
      </c>
      <c r="U133" s="32" t="n">
        <f>1099270</f>
        <v>1099270.0</v>
      </c>
      <c r="V133" s="32" t="n">
        <f>19363656345</f>
        <v>1.9363656345E10</v>
      </c>
      <c r="W133" s="32" t="n">
        <f>512840661</f>
        <v>5.12840661E8</v>
      </c>
      <c r="X133" s="36" t="n">
        <f>22</f>
        <v>22.0</v>
      </c>
    </row>
    <row r="134">
      <c r="A134" s="27" t="s">
        <v>42</v>
      </c>
      <c r="B134" s="27" t="s">
        <v>448</v>
      </c>
      <c r="C134" s="27" t="s">
        <v>449</v>
      </c>
      <c r="D134" s="27" t="s">
        <v>450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10.0</v>
      </c>
      <c r="K134" s="33" t="n">
        <f>282</f>
        <v>282.0</v>
      </c>
      <c r="L134" s="34" t="s">
        <v>48</v>
      </c>
      <c r="M134" s="33" t="n">
        <f>287.4</f>
        <v>287.4</v>
      </c>
      <c r="N134" s="34" t="s">
        <v>50</v>
      </c>
      <c r="O134" s="33" t="n">
        <f>278.1</f>
        <v>278.1</v>
      </c>
      <c r="P134" s="34" t="s">
        <v>154</v>
      </c>
      <c r="Q134" s="33" t="n">
        <f>287</f>
        <v>287.0</v>
      </c>
      <c r="R134" s="34" t="s">
        <v>50</v>
      </c>
      <c r="S134" s="35" t="n">
        <f>283.35</f>
        <v>283.35</v>
      </c>
      <c r="T134" s="32" t="n">
        <f>18695050</f>
        <v>1.869505E7</v>
      </c>
      <c r="U134" s="32" t="n">
        <f>16426460</f>
        <v>1.642646E7</v>
      </c>
      <c r="V134" s="32" t="n">
        <f>5302945483</f>
        <v>5.302945483E9</v>
      </c>
      <c r="W134" s="32" t="n">
        <f>4661846667</f>
        <v>4.661846667E9</v>
      </c>
      <c r="X134" s="36" t="n">
        <f>22</f>
        <v>22.0</v>
      </c>
    </row>
    <row r="135">
      <c r="A135" s="27" t="s">
        <v>42</v>
      </c>
      <c r="B135" s="27" t="s">
        <v>451</v>
      </c>
      <c r="C135" s="27" t="s">
        <v>452</v>
      </c>
      <c r="D135" s="27" t="s">
        <v>453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1.0</v>
      </c>
      <c r="K135" s="33" t="n">
        <f>4075</f>
        <v>4075.0</v>
      </c>
      <c r="L135" s="34" t="s">
        <v>48</v>
      </c>
      <c r="M135" s="33" t="n">
        <f>4085</f>
        <v>4085.0</v>
      </c>
      <c r="N135" s="34" t="s">
        <v>48</v>
      </c>
      <c r="O135" s="33" t="n">
        <f>3900</f>
        <v>3900.0</v>
      </c>
      <c r="P135" s="34" t="s">
        <v>68</v>
      </c>
      <c r="Q135" s="33" t="n">
        <f>4055</f>
        <v>4055.0</v>
      </c>
      <c r="R135" s="34" t="s">
        <v>50</v>
      </c>
      <c r="S135" s="35" t="n">
        <f>3988.18</f>
        <v>3988.18</v>
      </c>
      <c r="T135" s="32" t="n">
        <f>46969</f>
        <v>46969.0</v>
      </c>
      <c r="U135" s="32" t="n">
        <f>3130</f>
        <v>3130.0</v>
      </c>
      <c r="V135" s="32" t="n">
        <f>187843733</f>
        <v>1.87843733E8</v>
      </c>
      <c r="W135" s="32" t="n">
        <f>12464473</f>
        <v>1.2464473E7</v>
      </c>
      <c r="X135" s="36" t="n">
        <f>22</f>
        <v>22.0</v>
      </c>
    </row>
    <row r="136">
      <c r="A136" s="27" t="s">
        <v>42</v>
      </c>
      <c r="B136" s="27" t="s">
        <v>454</v>
      </c>
      <c r="C136" s="27" t="s">
        <v>455</v>
      </c>
      <c r="D136" s="27" t="s">
        <v>456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2530</f>
        <v>2530.0</v>
      </c>
      <c r="L136" s="34" t="s">
        <v>48</v>
      </c>
      <c r="M136" s="33" t="n">
        <f>2530</f>
        <v>2530.0</v>
      </c>
      <c r="N136" s="34" t="s">
        <v>48</v>
      </c>
      <c r="O136" s="33" t="n">
        <f>2328</f>
        <v>2328.0</v>
      </c>
      <c r="P136" s="34" t="s">
        <v>68</v>
      </c>
      <c r="Q136" s="33" t="n">
        <f>2417</f>
        <v>2417.0</v>
      </c>
      <c r="R136" s="34" t="s">
        <v>50</v>
      </c>
      <c r="S136" s="35" t="n">
        <f>2408.68</f>
        <v>2408.68</v>
      </c>
      <c r="T136" s="32" t="n">
        <f>81156</f>
        <v>81156.0</v>
      </c>
      <c r="U136" s="32" t="n">
        <f>4110</f>
        <v>4110.0</v>
      </c>
      <c r="V136" s="32" t="n">
        <f>196032429</f>
        <v>1.96032429E8</v>
      </c>
      <c r="W136" s="32" t="n">
        <f>9991410</f>
        <v>9991410.0</v>
      </c>
      <c r="X136" s="36" t="n">
        <f>22</f>
        <v>22.0</v>
      </c>
    </row>
    <row r="137">
      <c r="A137" s="27" t="s">
        <v>42</v>
      </c>
      <c r="B137" s="27" t="s">
        <v>457</v>
      </c>
      <c r="C137" s="27" t="s">
        <v>458</v>
      </c>
      <c r="D137" s="27" t="s">
        <v>459</v>
      </c>
      <c r="E137" s="28" t="s">
        <v>46</v>
      </c>
      <c r="F137" s="29" t="s">
        <v>46</v>
      </c>
      <c r="G137" s="30" t="s">
        <v>46</v>
      </c>
      <c r="H137" s="31"/>
      <c r="I137" s="31" t="s">
        <v>47</v>
      </c>
      <c r="J137" s="32" t="n">
        <v>1.0</v>
      </c>
      <c r="K137" s="33" t="n">
        <f>2795</f>
        <v>2795.0</v>
      </c>
      <c r="L137" s="34" t="s">
        <v>48</v>
      </c>
      <c r="M137" s="33" t="n">
        <f>2814</f>
        <v>2814.0</v>
      </c>
      <c r="N137" s="34" t="s">
        <v>48</v>
      </c>
      <c r="O137" s="33" t="n">
        <f>2668</f>
        <v>2668.0</v>
      </c>
      <c r="P137" s="34" t="s">
        <v>72</v>
      </c>
      <c r="Q137" s="33" t="n">
        <f>2786</f>
        <v>2786.0</v>
      </c>
      <c r="R137" s="34" t="s">
        <v>50</v>
      </c>
      <c r="S137" s="35" t="n">
        <f>2746.18</f>
        <v>2746.18</v>
      </c>
      <c r="T137" s="32" t="n">
        <f>107236</f>
        <v>107236.0</v>
      </c>
      <c r="U137" s="32" t="str">
        <f>"－"</f>
        <v>－</v>
      </c>
      <c r="V137" s="32" t="n">
        <f>294941591</f>
        <v>2.94941591E8</v>
      </c>
      <c r="W137" s="32" t="str">
        <f>"－"</f>
        <v>－</v>
      </c>
      <c r="X137" s="36" t="n">
        <f>22</f>
        <v>22.0</v>
      </c>
    </row>
    <row r="138">
      <c r="A138" s="27" t="s">
        <v>42</v>
      </c>
      <c r="B138" s="27" t="s">
        <v>460</v>
      </c>
      <c r="C138" s="27" t="s">
        <v>461</v>
      </c>
      <c r="D138" s="27" t="s">
        <v>462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1.0</v>
      </c>
      <c r="K138" s="33" t="n">
        <f>10675</f>
        <v>10675.0</v>
      </c>
      <c r="L138" s="34" t="s">
        <v>48</v>
      </c>
      <c r="M138" s="33" t="n">
        <f>10915</f>
        <v>10915.0</v>
      </c>
      <c r="N138" s="34" t="s">
        <v>50</v>
      </c>
      <c r="O138" s="33" t="n">
        <f>10520</f>
        <v>10520.0</v>
      </c>
      <c r="P138" s="34" t="s">
        <v>60</v>
      </c>
      <c r="Q138" s="33" t="n">
        <f>10850</f>
        <v>10850.0</v>
      </c>
      <c r="R138" s="34" t="s">
        <v>50</v>
      </c>
      <c r="S138" s="35" t="n">
        <f>10682.73</f>
        <v>10682.73</v>
      </c>
      <c r="T138" s="32" t="n">
        <f>71262</f>
        <v>71262.0</v>
      </c>
      <c r="U138" s="32" t="n">
        <f>7958</f>
        <v>7958.0</v>
      </c>
      <c r="V138" s="32" t="n">
        <f>760715649</f>
        <v>7.60715649E8</v>
      </c>
      <c r="W138" s="32" t="n">
        <f>84953644</f>
        <v>8.4953644E7</v>
      </c>
      <c r="X138" s="36" t="n">
        <f>22</f>
        <v>22.0</v>
      </c>
    </row>
    <row r="139">
      <c r="A139" s="27" t="s">
        <v>42</v>
      </c>
      <c r="B139" s="27" t="s">
        <v>463</v>
      </c>
      <c r="C139" s="27" t="s">
        <v>464</v>
      </c>
      <c r="D139" s="27" t="s">
        <v>465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2833</f>
        <v>2833.0</v>
      </c>
      <c r="L139" s="34" t="s">
        <v>48</v>
      </c>
      <c r="M139" s="33" t="n">
        <f>2971</f>
        <v>2971.0</v>
      </c>
      <c r="N139" s="34" t="s">
        <v>205</v>
      </c>
      <c r="O139" s="33" t="n">
        <f>2786</f>
        <v>2786.0</v>
      </c>
      <c r="P139" s="34" t="s">
        <v>173</v>
      </c>
      <c r="Q139" s="33" t="n">
        <f>2930</f>
        <v>2930.0</v>
      </c>
      <c r="R139" s="34" t="s">
        <v>50</v>
      </c>
      <c r="S139" s="35" t="n">
        <f>2877</f>
        <v>2877.0</v>
      </c>
      <c r="T139" s="32" t="n">
        <f>6281535</f>
        <v>6281535.0</v>
      </c>
      <c r="U139" s="32" t="n">
        <f>1193</f>
        <v>1193.0</v>
      </c>
      <c r="V139" s="32" t="n">
        <f>18058089955</f>
        <v>1.8058089955E10</v>
      </c>
      <c r="W139" s="32" t="n">
        <f>3462505</f>
        <v>3462505.0</v>
      </c>
      <c r="X139" s="36" t="n">
        <f>22</f>
        <v>22.0</v>
      </c>
    </row>
    <row r="140">
      <c r="A140" s="27" t="s">
        <v>42</v>
      </c>
      <c r="B140" s="27" t="s">
        <v>466</v>
      </c>
      <c r="C140" s="27" t="s">
        <v>467</v>
      </c>
      <c r="D140" s="27" t="s">
        <v>468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26200</f>
        <v>26200.0</v>
      </c>
      <c r="L140" s="34" t="s">
        <v>48</v>
      </c>
      <c r="M140" s="33" t="n">
        <f>26810</f>
        <v>26810.0</v>
      </c>
      <c r="N140" s="34" t="s">
        <v>67</v>
      </c>
      <c r="O140" s="33" t="n">
        <f>25735</f>
        <v>25735.0</v>
      </c>
      <c r="P140" s="34" t="s">
        <v>68</v>
      </c>
      <c r="Q140" s="33" t="n">
        <f>26615</f>
        <v>26615.0</v>
      </c>
      <c r="R140" s="34" t="s">
        <v>50</v>
      </c>
      <c r="S140" s="35" t="n">
        <f>26085.45</f>
        <v>26085.45</v>
      </c>
      <c r="T140" s="32" t="n">
        <f>3521</f>
        <v>3521.0</v>
      </c>
      <c r="U140" s="32" t="str">
        <f>"－"</f>
        <v>－</v>
      </c>
      <c r="V140" s="32" t="n">
        <f>91854370</f>
        <v>9.185437E7</v>
      </c>
      <c r="W140" s="32" t="str">
        <f>"－"</f>
        <v>－</v>
      </c>
      <c r="X140" s="36" t="n">
        <f>22</f>
        <v>22.0</v>
      </c>
    </row>
    <row r="141">
      <c r="A141" s="27" t="s">
        <v>42</v>
      </c>
      <c r="B141" s="27" t="s">
        <v>469</v>
      </c>
      <c r="C141" s="27" t="s">
        <v>470</v>
      </c>
      <c r="D141" s="27" t="s">
        <v>471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10.0</v>
      </c>
      <c r="K141" s="33" t="n">
        <f>3230</f>
        <v>3230.0</v>
      </c>
      <c r="L141" s="34" t="s">
        <v>48</v>
      </c>
      <c r="M141" s="33" t="n">
        <f>3339</f>
        <v>3339.0</v>
      </c>
      <c r="N141" s="34" t="s">
        <v>67</v>
      </c>
      <c r="O141" s="33" t="n">
        <f>3007</f>
        <v>3007.0</v>
      </c>
      <c r="P141" s="34" t="s">
        <v>276</v>
      </c>
      <c r="Q141" s="33" t="n">
        <f>3300</f>
        <v>3300.0</v>
      </c>
      <c r="R141" s="34" t="s">
        <v>50</v>
      </c>
      <c r="S141" s="35" t="n">
        <f>3142.05</f>
        <v>3142.05</v>
      </c>
      <c r="T141" s="32" t="n">
        <f>16510</f>
        <v>16510.0</v>
      </c>
      <c r="U141" s="32" t="str">
        <f>"－"</f>
        <v>－</v>
      </c>
      <c r="V141" s="32" t="n">
        <f>52160090</f>
        <v>5.216009E7</v>
      </c>
      <c r="W141" s="32" t="str">
        <f>"－"</f>
        <v>－</v>
      </c>
      <c r="X141" s="36" t="n">
        <f>22</f>
        <v>22.0</v>
      </c>
    </row>
    <row r="142">
      <c r="A142" s="27" t="s">
        <v>42</v>
      </c>
      <c r="B142" s="27" t="s">
        <v>472</v>
      </c>
      <c r="C142" s="27" t="s">
        <v>473</v>
      </c>
      <c r="D142" s="27" t="s">
        <v>474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1.0</v>
      </c>
      <c r="K142" s="33" t="n">
        <f>12460</f>
        <v>12460.0</v>
      </c>
      <c r="L142" s="34" t="s">
        <v>48</v>
      </c>
      <c r="M142" s="33" t="n">
        <f>13445</f>
        <v>13445.0</v>
      </c>
      <c r="N142" s="34" t="s">
        <v>67</v>
      </c>
      <c r="O142" s="33" t="n">
        <f>11900</f>
        <v>11900.0</v>
      </c>
      <c r="P142" s="34" t="s">
        <v>205</v>
      </c>
      <c r="Q142" s="33" t="n">
        <f>13160</f>
        <v>13160.0</v>
      </c>
      <c r="R142" s="34" t="s">
        <v>50</v>
      </c>
      <c r="S142" s="35" t="n">
        <f>12411.14</f>
        <v>12411.14</v>
      </c>
      <c r="T142" s="32" t="n">
        <f>3511</f>
        <v>3511.0</v>
      </c>
      <c r="U142" s="32" t="str">
        <f>"－"</f>
        <v>－</v>
      </c>
      <c r="V142" s="32" t="n">
        <f>44000905</f>
        <v>4.4000905E7</v>
      </c>
      <c r="W142" s="32" t="str">
        <f>"－"</f>
        <v>－</v>
      </c>
      <c r="X142" s="36" t="n">
        <f>22</f>
        <v>22.0</v>
      </c>
    </row>
    <row r="143">
      <c r="A143" s="27" t="s">
        <v>42</v>
      </c>
      <c r="B143" s="27" t="s">
        <v>475</v>
      </c>
      <c r="C143" s="27" t="s">
        <v>476</v>
      </c>
      <c r="D143" s="27" t="s">
        <v>477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1.0</v>
      </c>
      <c r="K143" s="33" t="n">
        <f>16855</f>
        <v>16855.0</v>
      </c>
      <c r="L143" s="34" t="s">
        <v>48</v>
      </c>
      <c r="M143" s="33" t="n">
        <f>17600</f>
        <v>17600.0</v>
      </c>
      <c r="N143" s="34" t="s">
        <v>114</v>
      </c>
      <c r="O143" s="33" t="n">
        <f>16240</f>
        <v>16240.0</v>
      </c>
      <c r="P143" s="34" t="s">
        <v>72</v>
      </c>
      <c r="Q143" s="33" t="n">
        <f>16595</f>
        <v>16595.0</v>
      </c>
      <c r="R143" s="34" t="s">
        <v>50</v>
      </c>
      <c r="S143" s="35" t="n">
        <f>16736.36</f>
        <v>16736.36</v>
      </c>
      <c r="T143" s="32" t="n">
        <f>3206</f>
        <v>3206.0</v>
      </c>
      <c r="U143" s="32" t="str">
        <f>"－"</f>
        <v>－</v>
      </c>
      <c r="V143" s="32" t="n">
        <f>54324615</f>
        <v>5.4324615E7</v>
      </c>
      <c r="W143" s="32" t="str">
        <f>"－"</f>
        <v>－</v>
      </c>
      <c r="X143" s="36" t="n">
        <f>22</f>
        <v>22.0</v>
      </c>
    </row>
    <row r="144">
      <c r="A144" s="27" t="s">
        <v>42</v>
      </c>
      <c r="B144" s="27" t="s">
        <v>478</v>
      </c>
      <c r="C144" s="27" t="s">
        <v>479</v>
      </c>
      <c r="D144" s="27" t="s">
        <v>480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1.0</v>
      </c>
      <c r="K144" s="33" t="n">
        <f>18975</f>
        <v>18975.0</v>
      </c>
      <c r="L144" s="34" t="s">
        <v>48</v>
      </c>
      <c r="M144" s="33" t="n">
        <f>19290</f>
        <v>19290.0</v>
      </c>
      <c r="N144" s="34" t="s">
        <v>50</v>
      </c>
      <c r="O144" s="33" t="n">
        <f>18280</f>
        <v>18280.0</v>
      </c>
      <c r="P144" s="34" t="s">
        <v>245</v>
      </c>
      <c r="Q144" s="33" t="n">
        <f>19290</f>
        <v>19290.0</v>
      </c>
      <c r="R144" s="34" t="s">
        <v>50</v>
      </c>
      <c r="S144" s="35" t="n">
        <f>18931.11</f>
        <v>18931.11</v>
      </c>
      <c r="T144" s="32" t="n">
        <f>48</f>
        <v>48.0</v>
      </c>
      <c r="U144" s="32" t="str">
        <f>"－"</f>
        <v>－</v>
      </c>
      <c r="V144" s="32" t="n">
        <f>912955</f>
        <v>912955.0</v>
      </c>
      <c r="W144" s="32" t="str">
        <f>"－"</f>
        <v>－</v>
      </c>
      <c r="X144" s="36" t="n">
        <f>9</f>
        <v>9.0</v>
      </c>
    </row>
    <row r="145">
      <c r="A145" s="27" t="s">
        <v>42</v>
      </c>
      <c r="B145" s="27" t="s">
        <v>481</v>
      </c>
      <c r="C145" s="27" t="s">
        <v>482</v>
      </c>
      <c r="D145" s="27" t="s">
        <v>483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10.0</v>
      </c>
      <c r="K145" s="33" t="n">
        <f>52300</f>
        <v>52300.0</v>
      </c>
      <c r="L145" s="34" t="s">
        <v>48</v>
      </c>
      <c r="M145" s="33" t="n">
        <f>53000</f>
        <v>53000.0</v>
      </c>
      <c r="N145" s="34" t="s">
        <v>50</v>
      </c>
      <c r="O145" s="33" t="n">
        <f>51850</f>
        <v>51850.0</v>
      </c>
      <c r="P145" s="34" t="s">
        <v>154</v>
      </c>
      <c r="Q145" s="33" t="n">
        <f>53000</f>
        <v>53000.0</v>
      </c>
      <c r="R145" s="34" t="s">
        <v>50</v>
      </c>
      <c r="S145" s="35" t="n">
        <f>52451.82</f>
        <v>52451.82</v>
      </c>
      <c r="T145" s="32" t="n">
        <f>2820</f>
        <v>2820.0</v>
      </c>
      <c r="U145" s="32" t="n">
        <f>20</f>
        <v>20.0</v>
      </c>
      <c r="V145" s="32" t="n">
        <f>147890600</f>
        <v>1.478906E8</v>
      </c>
      <c r="W145" s="32" t="n">
        <f>1057900</f>
        <v>1057900.0</v>
      </c>
      <c r="X145" s="36" t="n">
        <f>22</f>
        <v>22.0</v>
      </c>
    </row>
    <row r="146">
      <c r="A146" s="27" t="s">
        <v>42</v>
      </c>
      <c r="B146" s="27" t="s">
        <v>484</v>
      </c>
      <c r="C146" s="27" t="s">
        <v>485</v>
      </c>
      <c r="D146" s="27" t="s">
        <v>486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100.0</v>
      </c>
      <c r="K146" s="33" t="n">
        <f>304.1</f>
        <v>304.1</v>
      </c>
      <c r="L146" s="34" t="s">
        <v>48</v>
      </c>
      <c r="M146" s="33" t="n">
        <f>306.3</f>
        <v>306.3</v>
      </c>
      <c r="N146" s="34" t="s">
        <v>48</v>
      </c>
      <c r="O146" s="33" t="n">
        <f>297.3</f>
        <v>297.3</v>
      </c>
      <c r="P146" s="34" t="s">
        <v>154</v>
      </c>
      <c r="Q146" s="33" t="n">
        <f>304.1</f>
        <v>304.1</v>
      </c>
      <c r="R146" s="34" t="s">
        <v>50</v>
      </c>
      <c r="S146" s="35" t="n">
        <f>302.31</f>
        <v>302.31</v>
      </c>
      <c r="T146" s="32" t="n">
        <f>26881100</f>
        <v>2.68811E7</v>
      </c>
      <c r="U146" s="32" t="n">
        <f>416200</f>
        <v>416200.0</v>
      </c>
      <c r="V146" s="32" t="n">
        <f>8123201240</f>
        <v>8.12320124E9</v>
      </c>
      <c r="W146" s="32" t="n">
        <f>125417120</f>
        <v>1.2541712E8</v>
      </c>
      <c r="X146" s="36" t="n">
        <f>22</f>
        <v>22.0</v>
      </c>
    </row>
    <row r="147">
      <c r="A147" s="27" t="s">
        <v>42</v>
      </c>
      <c r="B147" s="27" t="s">
        <v>487</v>
      </c>
      <c r="C147" s="27" t="s">
        <v>488</v>
      </c>
      <c r="D147" s="27" t="s">
        <v>489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10.0</v>
      </c>
      <c r="K147" s="33" t="n">
        <f>43020</f>
        <v>43020.0</v>
      </c>
      <c r="L147" s="34" t="s">
        <v>48</v>
      </c>
      <c r="M147" s="33" t="n">
        <f>43650</f>
        <v>43650.0</v>
      </c>
      <c r="N147" s="34" t="s">
        <v>490</v>
      </c>
      <c r="O147" s="33" t="n">
        <f>42370</f>
        <v>42370.0</v>
      </c>
      <c r="P147" s="34" t="s">
        <v>213</v>
      </c>
      <c r="Q147" s="33" t="n">
        <f>43500</f>
        <v>43500.0</v>
      </c>
      <c r="R147" s="34" t="s">
        <v>50</v>
      </c>
      <c r="S147" s="35" t="n">
        <f>43047.27</f>
        <v>43047.27</v>
      </c>
      <c r="T147" s="32" t="n">
        <f>2450</f>
        <v>2450.0</v>
      </c>
      <c r="U147" s="32" t="str">
        <f>"－"</f>
        <v>－</v>
      </c>
      <c r="V147" s="32" t="n">
        <f>105250600</f>
        <v>1.052506E8</v>
      </c>
      <c r="W147" s="32" t="str">
        <f>"－"</f>
        <v>－</v>
      </c>
      <c r="X147" s="36" t="n">
        <f>22</f>
        <v>22.0</v>
      </c>
    </row>
    <row r="148">
      <c r="A148" s="27" t="s">
        <v>42</v>
      </c>
      <c r="B148" s="27" t="s">
        <v>491</v>
      </c>
      <c r="C148" s="27" t="s">
        <v>492</v>
      </c>
      <c r="D148" s="27" t="s">
        <v>493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10.0</v>
      </c>
      <c r="K148" s="33" t="n">
        <f>4620</f>
        <v>4620.0</v>
      </c>
      <c r="L148" s="34" t="s">
        <v>48</v>
      </c>
      <c r="M148" s="33" t="n">
        <f>4660</f>
        <v>4660.0</v>
      </c>
      <c r="N148" s="34" t="s">
        <v>50</v>
      </c>
      <c r="O148" s="33" t="n">
        <f>4455</f>
        <v>4455.0</v>
      </c>
      <c r="P148" s="34" t="s">
        <v>154</v>
      </c>
      <c r="Q148" s="33" t="n">
        <f>4658</f>
        <v>4658.0</v>
      </c>
      <c r="R148" s="34" t="s">
        <v>50</v>
      </c>
      <c r="S148" s="35" t="n">
        <f>4565.36</f>
        <v>4565.36</v>
      </c>
      <c r="T148" s="32" t="n">
        <f>46920</f>
        <v>46920.0</v>
      </c>
      <c r="U148" s="32" t="str">
        <f>"－"</f>
        <v>－</v>
      </c>
      <c r="V148" s="32" t="n">
        <f>214537390</f>
        <v>2.1453739E8</v>
      </c>
      <c r="W148" s="32" t="str">
        <f>"－"</f>
        <v>－</v>
      </c>
      <c r="X148" s="36" t="n">
        <f>22</f>
        <v>22.0</v>
      </c>
    </row>
    <row r="149">
      <c r="A149" s="27" t="s">
        <v>42</v>
      </c>
      <c r="B149" s="27" t="s">
        <v>494</v>
      </c>
      <c r="C149" s="27" t="s">
        <v>495</v>
      </c>
      <c r="D149" s="27" t="s">
        <v>496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10.0</v>
      </c>
      <c r="K149" s="33" t="n">
        <f>1891.5</f>
        <v>1891.5</v>
      </c>
      <c r="L149" s="34" t="s">
        <v>48</v>
      </c>
      <c r="M149" s="33" t="n">
        <f>1900</f>
        <v>1900.0</v>
      </c>
      <c r="N149" s="34" t="s">
        <v>48</v>
      </c>
      <c r="O149" s="33" t="n">
        <f>1768</f>
        <v>1768.0</v>
      </c>
      <c r="P149" s="34" t="s">
        <v>68</v>
      </c>
      <c r="Q149" s="33" t="n">
        <f>1829</f>
        <v>1829.0</v>
      </c>
      <c r="R149" s="34" t="s">
        <v>50</v>
      </c>
      <c r="S149" s="35" t="n">
        <f>1817.23</f>
        <v>1817.23</v>
      </c>
      <c r="T149" s="32" t="n">
        <f>168620</f>
        <v>168620.0</v>
      </c>
      <c r="U149" s="32" t="str">
        <f>"－"</f>
        <v>－</v>
      </c>
      <c r="V149" s="32" t="n">
        <f>305378140</f>
        <v>3.0537814E8</v>
      </c>
      <c r="W149" s="32" t="str">
        <f>"－"</f>
        <v>－</v>
      </c>
      <c r="X149" s="36" t="n">
        <f>22</f>
        <v>22.0</v>
      </c>
    </row>
    <row r="150">
      <c r="A150" s="27" t="s">
        <v>42</v>
      </c>
      <c r="B150" s="27" t="s">
        <v>497</v>
      </c>
      <c r="C150" s="27" t="s">
        <v>498</v>
      </c>
      <c r="D150" s="27" t="s">
        <v>499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100.0</v>
      </c>
      <c r="K150" s="33" t="n">
        <f>230</f>
        <v>230.0</v>
      </c>
      <c r="L150" s="34" t="s">
        <v>48</v>
      </c>
      <c r="M150" s="33" t="n">
        <f>244.3</f>
        <v>244.3</v>
      </c>
      <c r="N150" s="34" t="s">
        <v>372</v>
      </c>
      <c r="O150" s="33" t="n">
        <f>223</f>
        <v>223.0</v>
      </c>
      <c r="P150" s="34" t="s">
        <v>205</v>
      </c>
      <c r="Q150" s="33" t="n">
        <f>241.7</f>
        <v>241.7</v>
      </c>
      <c r="R150" s="34" t="s">
        <v>50</v>
      </c>
      <c r="S150" s="35" t="n">
        <f>229.67</f>
        <v>229.67</v>
      </c>
      <c r="T150" s="32" t="n">
        <f>127300</f>
        <v>127300.0</v>
      </c>
      <c r="U150" s="32" t="str">
        <f>"－"</f>
        <v>－</v>
      </c>
      <c r="V150" s="32" t="n">
        <f>29566060</f>
        <v>2.956606E7</v>
      </c>
      <c r="W150" s="32" t="str">
        <f>"－"</f>
        <v>－</v>
      </c>
      <c r="X150" s="36" t="n">
        <f>22</f>
        <v>22.0</v>
      </c>
    </row>
    <row r="151">
      <c r="A151" s="27" t="s">
        <v>42</v>
      </c>
      <c r="B151" s="27" t="s">
        <v>500</v>
      </c>
      <c r="C151" s="27" t="s">
        <v>501</v>
      </c>
      <c r="D151" s="27" t="s">
        <v>502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10.0</v>
      </c>
      <c r="K151" s="33" t="n">
        <f>1611</f>
        <v>1611.0</v>
      </c>
      <c r="L151" s="34" t="s">
        <v>48</v>
      </c>
      <c r="M151" s="33" t="n">
        <f>1642.5</f>
        <v>1642.5</v>
      </c>
      <c r="N151" s="34" t="s">
        <v>174</v>
      </c>
      <c r="O151" s="33" t="n">
        <f>1587.5</f>
        <v>1587.5</v>
      </c>
      <c r="P151" s="34" t="s">
        <v>173</v>
      </c>
      <c r="Q151" s="33" t="n">
        <f>1636.5</f>
        <v>1636.5</v>
      </c>
      <c r="R151" s="34" t="s">
        <v>50</v>
      </c>
      <c r="S151" s="35" t="n">
        <f>1612.06</f>
        <v>1612.06</v>
      </c>
      <c r="T151" s="32" t="n">
        <f>4860</f>
        <v>4860.0</v>
      </c>
      <c r="U151" s="32" t="str">
        <f>"－"</f>
        <v>－</v>
      </c>
      <c r="V151" s="32" t="n">
        <f>7788900</f>
        <v>7788900.0</v>
      </c>
      <c r="W151" s="32" t="str">
        <f>"－"</f>
        <v>－</v>
      </c>
      <c r="X151" s="36" t="n">
        <f>18</f>
        <v>18.0</v>
      </c>
    </row>
    <row r="152">
      <c r="A152" s="27" t="s">
        <v>42</v>
      </c>
      <c r="B152" s="27" t="s">
        <v>503</v>
      </c>
      <c r="C152" s="27" t="s">
        <v>504</v>
      </c>
      <c r="D152" s="27" t="s">
        <v>505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10.0</v>
      </c>
      <c r="K152" s="33" t="n">
        <f>570</f>
        <v>570.0</v>
      </c>
      <c r="L152" s="34" t="s">
        <v>48</v>
      </c>
      <c r="M152" s="33" t="n">
        <f>610</f>
        <v>610.0</v>
      </c>
      <c r="N152" s="34" t="s">
        <v>205</v>
      </c>
      <c r="O152" s="33" t="n">
        <f>560.6</f>
        <v>560.6</v>
      </c>
      <c r="P152" s="34" t="s">
        <v>173</v>
      </c>
      <c r="Q152" s="33" t="n">
        <f>594.8</f>
        <v>594.8</v>
      </c>
      <c r="R152" s="34" t="s">
        <v>50</v>
      </c>
      <c r="S152" s="35" t="n">
        <f>586.25</f>
        <v>586.25</v>
      </c>
      <c r="T152" s="32" t="n">
        <f>63440</f>
        <v>63440.0</v>
      </c>
      <c r="U152" s="32" t="str">
        <f>"－"</f>
        <v>－</v>
      </c>
      <c r="V152" s="32" t="n">
        <f>37316241</f>
        <v>3.7316241E7</v>
      </c>
      <c r="W152" s="32" t="str">
        <f>"－"</f>
        <v>－</v>
      </c>
      <c r="X152" s="36" t="n">
        <f>22</f>
        <v>22.0</v>
      </c>
    </row>
    <row r="153">
      <c r="A153" s="27" t="s">
        <v>42</v>
      </c>
      <c r="B153" s="27" t="s">
        <v>506</v>
      </c>
      <c r="C153" s="27" t="s">
        <v>507</v>
      </c>
      <c r="D153" s="27" t="s">
        <v>508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10.0</v>
      </c>
      <c r="K153" s="33" t="n">
        <f>2124</f>
        <v>2124.0</v>
      </c>
      <c r="L153" s="34" t="s">
        <v>48</v>
      </c>
      <c r="M153" s="33" t="n">
        <f>2130</f>
        <v>2130.0</v>
      </c>
      <c r="N153" s="34" t="s">
        <v>48</v>
      </c>
      <c r="O153" s="33" t="n">
        <f>1970</f>
        <v>1970.0</v>
      </c>
      <c r="P153" s="34" t="s">
        <v>68</v>
      </c>
      <c r="Q153" s="33" t="n">
        <f>2077.5</f>
        <v>2077.5</v>
      </c>
      <c r="R153" s="34" t="s">
        <v>50</v>
      </c>
      <c r="S153" s="35" t="n">
        <f>2054.13</f>
        <v>2054.13</v>
      </c>
      <c r="T153" s="32" t="n">
        <f>9230</f>
        <v>9230.0</v>
      </c>
      <c r="U153" s="32" t="str">
        <f>"－"</f>
        <v>－</v>
      </c>
      <c r="V153" s="32" t="n">
        <f>19148830</f>
        <v>1.914883E7</v>
      </c>
      <c r="W153" s="32" t="str">
        <f>"－"</f>
        <v>－</v>
      </c>
      <c r="X153" s="36" t="n">
        <f>20</f>
        <v>20.0</v>
      </c>
    </row>
    <row r="154">
      <c r="A154" s="27" t="s">
        <v>42</v>
      </c>
      <c r="B154" s="27" t="s">
        <v>509</v>
      </c>
      <c r="C154" s="27" t="s">
        <v>510</v>
      </c>
      <c r="D154" s="27" t="s">
        <v>511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10.0</v>
      </c>
      <c r="K154" s="33" t="n">
        <f>964.6</f>
        <v>964.6</v>
      </c>
      <c r="L154" s="34" t="s">
        <v>48</v>
      </c>
      <c r="M154" s="33" t="n">
        <f>999.3</f>
        <v>999.3</v>
      </c>
      <c r="N154" s="34" t="s">
        <v>372</v>
      </c>
      <c r="O154" s="33" t="n">
        <f>942</f>
        <v>942.0</v>
      </c>
      <c r="P154" s="34" t="s">
        <v>213</v>
      </c>
      <c r="Q154" s="33" t="n">
        <f>980</f>
        <v>980.0</v>
      </c>
      <c r="R154" s="34" t="s">
        <v>50</v>
      </c>
      <c r="S154" s="35" t="n">
        <f>966.72</f>
        <v>966.72</v>
      </c>
      <c r="T154" s="32" t="n">
        <f>32020</f>
        <v>32020.0</v>
      </c>
      <c r="U154" s="32" t="str">
        <f>"－"</f>
        <v>－</v>
      </c>
      <c r="V154" s="32" t="n">
        <f>30997492</f>
        <v>3.0997492E7</v>
      </c>
      <c r="W154" s="32" t="str">
        <f>"－"</f>
        <v>－</v>
      </c>
      <c r="X154" s="36" t="n">
        <f>22</f>
        <v>22.0</v>
      </c>
    </row>
    <row r="155">
      <c r="A155" s="27" t="s">
        <v>42</v>
      </c>
      <c r="B155" s="27" t="s">
        <v>512</v>
      </c>
      <c r="C155" s="27" t="s">
        <v>513</v>
      </c>
      <c r="D155" s="27" t="s">
        <v>514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10.0</v>
      </c>
      <c r="K155" s="33" t="n">
        <f>661</f>
        <v>661.0</v>
      </c>
      <c r="L155" s="34" t="s">
        <v>48</v>
      </c>
      <c r="M155" s="33" t="n">
        <f>674.9</f>
        <v>674.9</v>
      </c>
      <c r="N155" s="34" t="s">
        <v>209</v>
      </c>
      <c r="O155" s="33" t="n">
        <f>633.3</f>
        <v>633.3</v>
      </c>
      <c r="P155" s="34" t="s">
        <v>245</v>
      </c>
      <c r="Q155" s="33" t="n">
        <f>651.5</f>
        <v>651.5</v>
      </c>
      <c r="R155" s="34" t="s">
        <v>50</v>
      </c>
      <c r="S155" s="35" t="n">
        <f>654.28</f>
        <v>654.28</v>
      </c>
      <c r="T155" s="32" t="n">
        <f>262260</f>
        <v>262260.0</v>
      </c>
      <c r="U155" s="32" t="str">
        <f>"－"</f>
        <v>－</v>
      </c>
      <c r="V155" s="32" t="n">
        <f>171967529</f>
        <v>1.71967529E8</v>
      </c>
      <c r="W155" s="32" t="str">
        <f>"－"</f>
        <v>－</v>
      </c>
      <c r="X155" s="36" t="n">
        <f>22</f>
        <v>22.0</v>
      </c>
    </row>
    <row r="156">
      <c r="A156" s="27" t="s">
        <v>42</v>
      </c>
      <c r="B156" s="27" t="s">
        <v>515</v>
      </c>
      <c r="C156" s="27" t="s">
        <v>516</v>
      </c>
      <c r="D156" s="27" t="s">
        <v>517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100.0</v>
      </c>
      <c r="K156" s="33" t="n">
        <f>1.2</f>
        <v>1.2</v>
      </c>
      <c r="L156" s="34" t="s">
        <v>48</v>
      </c>
      <c r="M156" s="33" t="n">
        <f>1.4</f>
        <v>1.4</v>
      </c>
      <c r="N156" s="34" t="s">
        <v>205</v>
      </c>
      <c r="O156" s="33" t="n">
        <f>1.1</f>
        <v>1.1</v>
      </c>
      <c r="P156" s="34" t="s">
        <v>209</v>
      </c>
      <c r="Q156" s="33" t="n">
        <f>1.2</f>
        <v>1.2</v>
      </c>
      <c r="R156" s="34" t="s">
        <v>50</v>
      </c>
      <c r="S156" s="35" t="n">
        <f>1.21</f>
        <v>1.21</v>
      </c>
      <c r="T156" s="32" t="n">
        <f>1212293500</f>
        <v>1.2122935E9</v>
      </c>
      <c r="U156" s="32" t="str">
        <f>"－"</f>
        <v>－</v>
      </c>
      <c r="V156" s="32" t="n">
        <f>1531537670</f>
        <v>1.53153767E9</v>
      </c>
      <c r="W156" s="32" t="str">
        <f>"－"</f>
        <v>－</v>
      </c>
      <c r="X156" s="36" t="n">
        <f>22</f>
        <v>22.0</v>
      </c>
    </row>
    <row r="157">
      <c r="A157" s="27" t="s">
        <v>42</v>
      </c>
      <c r="B157" s="27" t="s">
        <v>518</v>
      </c>
      <c r="C157" s="27" t="s">
        <v>519</v>
      </c>
      <c r="D157" s="27" t="s">
        <v>520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10.0</v>
      </c>
      <c r="K157" s="33" t="n">
        <f>1367</f>
        <v>1367.0</v>
      </c>
      <c r="L157" s="34" t="s">
        <v>48</v>
      </c>
      <c r="M157" s="33" t="n">
        <f>1429.5</f>
        <v>1429.5</v>
      </c>
      <c r="N157" s="34" t="s">
        <v>205</v>
      </c>
      <c r="O157" s="33" t="n">
        <f>1345</f>
        <v>1345.0</v>
      </c>
      <c r="P157" s="34" t="s">
        <v>173</v>
      </c>
      <c r="Q157" s="33" t="n">
        <f>1417.5</f>
        <v>1417.5</v>
      </c>
      <c r="R157" s="34" t="s">
        <v>50</v>
      </c>
      <c r="S157" s="35" t="n">
        <f>1389.75</f>
        <v>1389.75</v>
      </c>
      <c r="T157" s="32" t="n">
        <f>78890</f>
        <v>78890.0</v>
      </c>
      <c r="U157" s="32" t="str">
        <f>"－"</f>
        <v>－</v>
      </c>
      <c r="V157" s="32" t="n">
        <f>109435690</f>
        <v>1.0943569E8</v>
      </c>
      <c r="W157" s="32" t="str">
        <f>"－"</f>
        <v>－</v>
      </c>
      <c r="X157" s="36" t="n">
        <f>22</f>
        <v>22.0</v>
      </c>
    </row>
    <row r="158">
      <c r="A158" s="27" t="s">
        <v>42</v>
      </c>
      <c r="B158" s="27" t="s">
        <v>521</v>
      </c>
      <c r="C158" s="27" t="s">
        <v>522</v>
      </c>
      <c r="D158" s="27" t="s">
        <v>523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1.0</v>
      </c>
      <c r="K158" s="33" t="n">
        <f>8156</f>
        <v>8156.0</v>
      </c>
      <c r="L158" s="34" t="s">
        <v>48</v>
      </c>
      <c r="M158" s="33" t="n">
        <f>8898</f>
        <v>8898.0</v>
      </c>
      <c r="N158" s="34" t="s">
        <v>114</v>
      </c>
      <c r="O158" s="33" t="n">
        <f>7858</f>
        <v>7858.0</v>
      </c>
      <c r="P158" s="34" t="s">
        <v>173</v>
      </c>
      <c r="Q158" s="33" t="n">
        <f>8264</f>
        <v>8264.0</v>
      </c>
      <c r="R158" s="34" t="s">
        <v>50</v>
      </c>
      <c r="S158" s="35" t="n">
        <f>8260.55</f>
        <v>8260.55</v>
      </c>
      <c r="T158" s="32" t="n">
        <f>2229</f>
        <v>2229.0</v>
      </c>
      <c r="U158" s="32" t="str">
        <f>"－"</f>
        <v>－</v>
      </c>
      <c r="V158" s="32" t="n">
        <f>18314773</f>
        <v>1.8314773E7</v>
      </c>
      <c r="W158" s="32" t="str">
        <f>"－"</f>
        <v>－</v>
      </c>
      <c r="X158" s="36" t="n">
        <f>22</f>
        <v>22.0</v>
      </c>
    </row>
    <row r="159">
      <c r="A159" s="27" t="s">
        <v>42</v>
      </c>
      <c r="B159" s="27" t="s">
        <v>524</v>
      </c>
      <c r="C159" s="27" t="s">
        <v>525</v>
      </c>
      <c r="D159" s="27" t="s">
        <v>526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100.0</v>
      </c>
      <c r="K159" s="33" t="n">
        <f>429.9</f>
        <v>429.9</v>
      </c>
      <c r="L159" s="34" t="s">
        <v>48</v>
      </c>
      <c r="M159" s="33" t="n">
        <f>440</f>
        <v>440.0</v>
      </c>
      <c r="N159" s="34" t="s">
        <v>314</v>
      </c>
      <c r="O159" s="33" t="n">
        <f>410.3</f>
        <v>410.3</v>
      </c>
      <c r="P159" s="34" t="s">
        <v>68</v>
      </c>
      <c r="Q159" s="33" t="n">
        <f>426</f>
        <v>426.0</v>
      </c>
      <c r="R159" s="34" t="s">
        <v>50</v>
      </c>
      <c r="S159" s="35" t="n">
        <f>424.22</f>
        <v>424.22</v>
      </c>
      <c r="T159" s="32" t="n">
        <f>95500</f>
        <v>95500.0</v>
      </c>
      <c r="U159" s="32" t="str">
        <f>"－"</f>
        <v>－</v>
      </c>
      <c r="V159" s="32" t="n">
        <f>40296570</f>
        <v>4.029657E7</v>
      </c>
      <c r="W159" s="32" t="str">
        <f>"－"</f>
        <v>－</v>
      </c>
      <c r="X159" s="36" t="n">
        <f>20</f>
        <v>20.0</v>
      </c>
    </row>
    <row r="160">
      <c r="A160" s="27" t="s">
        <v>42</v>
      </c>
      <c r="B160" s="27" t="s">
        <v>527</v>
      </c>
      <c r="C160" s="27" t="s">
        <v>528</v>
      </c>
      <c r="D160" s="27" t="s">
        <v>529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10.0</v>
      </c>
      <c r="K160" s="33" t="n">
        <f>5076</f>
        <v>5076.0</v>
      </c>
      <c r="L160" s="34" t="s">
        <v>48</v>
      </c>
      <c r="M160" s="33" t="n">
        <f>5102</f>
        <v>5102.0</v>
      </c>
      <c r="N160" s="34" t="s">
        <v>48</v>
      </c>
      <c r="O160" s="33" t="n">
        <f>4754</f>
        <v>4754.0</v>
      </c>
      <c r="P160" s="34" t="s">
        <v>245</v>
      </c>
      <c r="Q160" s="33" t="n">
        <f>4949</f>
        <v>4949.0</v>
      </c>
      <c r="R160" s="34" t="s">
        <v>50</v>
      </c>
      <c r="S160" s="35" t="n">
        <f>4893.73</f>
        <v>4893.73</v>
      </c>
      <c r="T160" s="32" t="n">
        <f>33080</f>
        <v>33080.0</v>
      </c>
      <c r="U160" s="32" t="str">
        <f>"－"</f>
        <v>－</v>
      </c>
      <c r="V160" s="32" t="n">
        <f>163166790</f>
        <v>1.6316679E8</v>
      </c>
      <c r="W160" s="32" t="str">
        <f>"－"</f>
        <v>－</v>
      </c>
      <c r="X160" s="36" t="n">
        <f>22</f>
        <v>22.0</v>
      </c>
    </row>
    <row r="161">
      <c r="A161" s="27" t="s">
        <v>42</v>
      </c>
      <c r="B161" s="27" t="s">
        <v>530</v>
      </c>
      <c r="C161" s="27" t="s">
        <v>531</v>
      </c>
      <c r="D161" s="27" t="s">
        <v>532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10.0</v>
      </c>
      <c r="K161" s="33" t="n">
        <f>2953</f>
        <v>2953.0</v>
      </c>
      <c r="L161" s="34" t="s">
        <v>48</v>
      </c>
      <c r="M161" s="33" t="n">
        <f>2955.5</f>
        <v>2955.5</v>
      </c>
      <c r="N161" s="34" t="s">
        <v>48</v>
      </c>
      <c r="O161" s="33" t="n">
        <f>2679</f>
        <v>2679.0</v>
      </c>
      <c r="P161" s="34" t="s">
        <v>49</v>
      </c>
      <c r="Q161" s="33" t="n">
        <f>2759</f>
        <v>2759.0</v>
      </c>
      <c r="R161" s="34" t="s">
        <v>50</v>
      </c>
      <c r="S161" s="35" t="n">
        <f>2782.93</f>
        <v>2782.93</v>
      </c>
      <c r="T161" s="32" t="n">
        <f>27990</f>
        <v>27990.0</v>
      </c>
      <c r="U161" s="32" t="str">
        <f>"－"</f>
        <v>－</v>
      </c>
      <c r="V161" s="32" t="n">
        <f>77350990</f>
        <v>7.735099E7</v>
      </c>
      <c r="W161" s="32" t="str">
        <f>"－"</f>
        <v>－</v>
      </c>
      <c r="X161" s="36" t="n">
        <f>22</f>
        <v>22.0</v>
      </c>
    </row>
    <row r="162">
      <c r="A162" s="27" t="s">
        <v>42</v>
      </c>
      <c r="B162" s="27" t="s">
        <v>533</v>
      </c>
      <c r="C162" s="27" t="s">
        <v>534</v>
      </c>
      <c r="D162" s="27" t="s">
        <v>535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100.0</v>
      </c>
      <c r="K162" s="33" t="n">
        <f>91.3</f>
        <v>91.3</v>
      </c>
      <c r="L162" s="34" t="s">
        <v>48</v>
      </c>
      <c r="M162" s="33" t="n">
        <f>93.5</f>
        <v>93.5</v>
      </c>
      <c r="N162" s="34" t="s">
        <v>209</v>
      </c>
      <c r="O162" s="33" t="n">
        <f>81.1</f>
        <v>81.1</v>
      </c>
      <c r="P162" s="34" t="s">
        <v>67</v>
      </c>
      <c r="Q162" s="33" t="n">
        <f>81.7</f>
        <v>81.7</v>
      </c>
      <c r="R162" s="34" t="s">
        <v>50</v>
      </c>
      <c r="S162" s="35" t="n">
        <f>86.3</f>
        <v>86.3</v>
      </c>
      <c r="T162" s="32" t="n">
        <f>17081900</f>
        <v>1.70819E7</v>
      </c>
      <c r="U162" s="32" t="str">
        <f>"－"</f>
        <v>－</v>
      </c>
      <c r="V162" s="32" t="n">
        <f>1469138840</f>
        <v>1.46913884E9</v>
      </c>
      <c r="W162" s="32" t="str">
        <f>"－"</f>
        <v>－</v>
      </c>
      <c r="X162" s="36" t="n">
        <f>22</f>
        <v>22.0</v>
      </c>
    </row>
    <row r="163">
      <c r="A163" s="27" t="s">
        <v>42</v>
      </c>
      <c r="B163" s="27" t="s">
        <v>536</v>
      </c>
      <c r="C163" s="27" t="s">
        <v>537</v>
      </c>
      <c r="D163" s="27" t="s">
        <v>538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100.0</v>
      </c>
      <c r="K163" s="33" t="n">
        <f>173</f>
        <v>173.0</v>
      </c>
      <c r="L163" s="34" t="s">
        <v>48</v>
      </c>
      <c r="M163" s="33" t="n">
        <f>177</f>
        <v>177.0</v>
      </c>
      <c r="N163" s="34" t="s">
        <v>276</v>
      </c>
      <c r="O163" s="33" t="n">
        <f>161.9</f>
        <v>161.9</v>
      </c>
      <c r="P163" s="34" t="s">
        <v>245</v>
      </c>
      <c r="Q163" s="33" t="n">
        <f>165.4</f>
        <v>165.4</v>
      </c>
      <c r="R163" s="34" t="s">
        <v>50</v>
      </c>
      <c r="S163" s="35" t="n">
        <f>167.45</f>
        <v>167.45</v>
      </c>
      <c r="T163" s="32" t="n">
        <f>1698600</f>
        <v>1698600.0</v>
      </c>
      <c r="U163" s="32" t="str">
        <f>"－"</f>
        <v>－</v>
      </c>
      <c r="V163" s="32" t="n">
        <f>285048850</f>
        <v>2.8504885E8</v>
      </c>
      <c r="W163" s="32" t="str">
        <f>"－"</f>
        <v>－</v>
      </c>
      <c r="X163" s="36" t="n">
        <f>22</f>
        <v>22.0</v>
      </c>
    </row>
    <row r="164">
      <c r="A164" s="27" t="s">
        <v>42</v>
      </c>
      <c r="B164" s="27" t="s">
        <v>539</v>
      </c>
      <c r="C164" s="27" t="s">
        <v>540</v>
      </c>
      <c r="D164" s="27" t="s">
        <v>541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10.0</v>
      </c>
      <c r="K164" s="33" t="n">
        <f>4598</f>
        <v>4598.0</v>
      </c>
      <c r="L164" s="34" t="s">
        <v>48</v>
      </c>
      <c r="M164" s="33" t="n">
        <f>4999</f>
        <v>4999.0</v>
      </c>
      <c r="N164" s="34" t="s">
        <v>372</v>
      </c>
      <c r="O164" s="33" t="n">
        <f>4476</f>
        <v>4476.0</v>
      </c>
      <c r="P164" s="34" t="s">
        <v>79</v>
      </c>
      <c r="Q164" s="33" t="n">
        <f>4888</f>
        <v>4888.0</v>
      </c>
      <c r="R164" s="34" t="s">
        <v>50</v>
      </c>
      <c r="S164" s="35" t="n">
        <f>4711.91</f>
        <v>4711.91</v>
      </c>
      <c r="T164" s="32" t="n">
        <f>14930</f>
        <v>14930.0</v>
      </c>
      <c r="U164" s="32" t="str">
        <f>"－"</f>
        <v>－</v>
      </c>
      <c r="V164" s="32" t="n">
        <f>71220080</f>
        <v>7.122008E7</v>
      </c>
      <c r="W164" s="32" t="str">
        <f>"－"</f>
        <v>－</v>
      </c>
      <c r="X164" s="36" t="n">
        <f>22</f>
        <v>22.0</v>
      </c>
    </row>
    <row r="165">
      <c r="A165" s="27" t="s">
        <v>42</v>
      </c>
      <c r="B165" s="27" t="s">
        <v>542</v>
      </c>
      <c r="C165" s="27" t="s">
        <v>543</v>
      </c>
      <c r="D165" s="27" t="s">
        <v>544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10.0</v>
      </c>
      <c r="K165" s="33" t="n">
        <f>2515.5</f>
        <v>2515.5</v>
      </c>
      <c r="L165" s="34" t="s">
        <v>48</v>
      </c>
      <c r="M165" s="33" t="n">
        <f>2559</f>
        <v>2559.0</v>
      </c>
      <c r="N165" s="34" t="s">
        <v>50</v>
      </c>
      <c r="O165" s="33" t="n">
        <f>2445</f>
        <v>2445.0</v>
      </c>
      <c r="P165" s="34" t="s">
        <v>49</v>
      </c>
      <c r="Q165" s="33" t="n">
        <f>2552.5</f>
        <v>2552.5</v>
      </c>
      <c r="R165" s="34" t="s">
        <v>50</v>
      </c>
      <c r="S165" s="35" t="n">
        <f>2494.18</f>
        <v>2494.18</v>
      </c>
      <c r="T165" s="32" t="n">
        <f>2776240</f>
        <v>2776240.0</v>
      </c>
      <c r="U165" s="32" t="n">
        <f>2410010</f>
        <v>2410010.0</v>
      </c>
      <c r="V165" s="32" t="n">
        <f>6803326410</f>
        <v>6.80332641E9</v>
      </c>
      <c r="W165" s="32" t="n">
        <f>5891235745</f>
        <v>5.891235745E9</v>
      </c>
      <c r="X165" s="36" t="n">
        <f>22</f>
        <v>22.0</v>
      </c>
    </row>
    <row r="166">
      <c r="A166" s="27" t="s">
        <v>42</v>
      </c>
      <c r="B166" s="27" t="s">
        <v>545</v>
      </c>
      <c r="C166" s="27" t="s">
        <v>546</v>
      </c>
      <c r="D166" s="27" t="s">
        <v>547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10.0</v>
      </c>
      <c r="K166" s="33" t="n">
        <f>374.7</f>
        <v>374.7</v>
      </c>
      <c r="L166" s="34" t="s">
        <v>48</v>
      </c>
      <c r="M166" s="33" t="n">
        <f>391</f>
        <v>391.0</v>
      </c>
      <c r="N166" s="34" t="s">
        <v>205</v>
      </c>
      <c r="O166" s="33" t="n">
        <f>368.5</f>
        <v>368.5</v>
      </c>
      <c r="P166" s="34" t="s">
        <v>173</v>
      </c>
      <c r="Q166" s="33" t="n">
        <f>387.6</f>
        <v>387.6</v>
      </c>
      <c r="R166" s="34" t="s">
        <v>50</v>
      </c>
      <c r="S166" s="35" t="n">
        <f>380.53</f>
        <v>380.53</v>
      </c>
      <c r="T166" s="32" t="n">
        <f>25115270</f>
        <v>2.511527E7</v>
      </c>
      <c r="U166" s="32" t="n">
        <f>3230</f>
        <v>3230.0</v>
      </c>
      <c r="V166" s="32" t="n">
        <f>9585133610</f>
        <v>9.58513361E9</v>
      </c>
      <c r="W166" s="32" t="n">
        <f>1205003</f>
        <v>1205003.0</v>
      </c>
      <c r="X166" s="36" t="n">
        <f>22</f>
        <v>22.0</v>
      </c>
    </row>
    <row r="167">
      <c r="A167" s="27" t="s">
        <v>42</v>
      </c>
      <c r="B167" s="27" t="s">
        <v>548</v>
      </c>
      <c r="C167" s="27" t="s">
        <v>549</v>
      </c>
      <c r="D167" s="27" t="s">
        <v>550</v>
      </c>
      <c r="E167" s="28" t="s">
        <v>46</v>
      </c>
      <c r="F167" s="29" t="s">
        <v>46</v>
      </c>
      <c r="G167" s="30" t="s">
        <v>46</v>
      </c>
      <c r="H167" s="31"/>
      <c r="I167" s="31" t="s">
        <v>551</v>
      </c>
      <c r="J167" s="32" t="n">
        <v>1.0</v>
      </c>
      <c r="K167" s="33" t="n">
        <f>6110</f>
        <v>6110.0</v>
      </c>
      <c r="L167" s="34" t="s">
        <v>48</v>
      </c>
      <c r="M167" s="33" t="n">
        <f>6240</f>
        <v>6240.0</v>
      </c>
      <c r="N167" s="34" t="s">
        <v>48</v>
      </c>
      <c r="O167" s="33" t="n">
        <f>4700</f>
        <v>4700.0</v>
      </c>
      <c r="P167" s="34" t="s">
        <v>60</v>
      </c>
      <c r="Q167" s="33" t="n">
        <f>5180</f>
        <v>5180.0</v>
      </c>
      <c r="R167" s="34" t="s">
        <v>50</v>
      </c>
      <c r="S167" s="35" t="n">
        <f>5290.68</f>
        <v>5290.68</v>
      </c>
      <c r="T167" s="32" t="n">
        <f>61606</f>
        <v>61606.0</v>
      </c>
      <c r="U167" s="32" t="str">
        <f>"－"</f>
        <v>－</v>
      </c>
      <c r="V167" s="32" t="n">
        <f>321791350</f>
        <v>3.2179135E8</v>
      </c>
      <c r="W167" s="32" t="str">
        <f>"－"</f>
        <v>－</v>
      </c>
      <c r="X167" s="36" t="n">
        <f>22</f>
        <v>22.0</v>
      </c>
    </row>
    <row r="168">
      <c r="A168" s="27" t="s">
        <v>42</v>
      </c>
      <c r="B168" s="27" t="s">
        <v>552</v>
      </c>
      <c r="C168" s="27" t="s">
        <v>553</v>
      </c>
      <c r="D168" s="27" t="s">
        <v>554</v>
      </c>
      <c r="E168" s="28" t="s">
        <v>46</v>
      </c>
      <c r="F168" s="29" t="s">
        <v>46</v>
      </c>
      <c r="G168" s="30" t="s">
        <v>46</v>
      </c>
      <c r="H168" s="31"/>
      <c r="I168" s="31" t="s">
        <v>551</v>
      </c>
      <c r="J168" s="32" t="n">
        <v>1.0</v>
      </c>
      <c r="K168" s="33" t="n">
        <f>7807</f>
        <v>7807.0</v>
      </c>
      <c r="L168" s="34" t="s">
        <v>48</v>
      </c>
      <c r="M168" s="33" t="n">
        <f>9231</f>
        <v>9231.0</v>
      </c>
      <c r="N168" s="34" t="s">
        <v>60</v>
      </c>
      <c r="O168" s="33" t="n">
        <f>7702</f>
        <v>7702.0</v>
      </c>
      <c r="P168" s="34" t="s">
        <v>48</v>
      </c>
      <c r="Q168" s="33" t="n">
        <f>8768</f>
        <v>8768.0</v>
      </c>
      <c r="R168" s="34" t="s">
        <v>50</v>
      </c>
      <c r="S168" s="35" t="n">
        <f>8541</f>
        <v>8541.0</v>
      </c>
      <c r="T168" s="32" t="n">
        <f>25022</f>
        <v>25022.0</v>
      </c>
      <c r="U168" s="32" t="str">
        <f>"－"</f>
        <v>－</v>
      </c>
      <c r="V168" s="32" t="n">
        <f>219518735</f>
        <v>2.19518735E8</v>
      </c>
      <c r="W168" s="32" t="str">
        <f>"－"</f>
        <v>－</v>
      </c>
      <c r="X168" s="36" t="n">
        <f>22</f>
        <v>22.0</v>
      </c>
    </row>
    <row r="169">
      <c r="A169" s="27" t="s">
        <v>42</v>
      </c>
      <c r="B169" s="27" t="s">
        <v>555</v>
      </c>
      <c r="C169" s="27" t="s">
        <v>556</v>
      </c>
      <c r="D169" s="27" t="s">
        <v>557</v>
      </c>
      <c r="E169" s="28" t="s">
        <v>46</v>
      </c>
      <c r="F169" s="29" t="s">
        <v>46</v>
      </c>
      <c r="G169" s="30" t="s">
        <v>46</v>
      </c>
      <c r="H169" s="31"/>
      <c r="I169" s="31" t="s">
        <v>551</v>
      </c>
      <c r="J169" s="32" t="n">
        <v>1.0</v>
      </c>
      <c r="K169" s="33" t="n">
        <f>12910</f>
        <v>12910.0</v>
      </c>
      <c r="L169" s="34" t="s">
        <v>48</v>
      </c>
      <c r="M169" s="33" t="n">
        <f>13255</f>
        <v>13255.0</v>
      </c>
      <c r="N169" s="34" t="s">
        <v>48</v>
      </c>
      <c r="O169" s="33" t="n">
        <f>11220</f>
        <v>11220.0</v>
      </c>
      <c r="P169" s="34" t="s">
        <v>49</v>
      </c>
      <c r="Q169" s="33" t="n">
        <f>12215</f>
        <v>12215.0</v>
      </c>
      <c r="R169" s="34" t="s">
        <v>372</v>
      </c>
      <c r="S169" s="35" t="n">
        <f>12076.33</f>
        <v>12076.33</v>
      </c>
      <c r="T169" s="32" t="n">
        <f>228</f>
        <v>228.0</v>
      </c>
      <c r="U169" s="32" t="str">
        <f>"－"</f>
        <v>－</v>
      </c>
      <c r="V169" s="32" t="n">
        <f>2761530</f>
        <v>2761530.0</v>
      </c>
      <c r="W169" s="32" t="str">
        <f>"－"</f>
        <v>－</v>
      </c>
      <c r="X169" s="36" t="n">
        <f>15</f>
        <v>15.0</v>
      </c>
    </row>
    <row r="170">
      <c r="A170" s="27" t="s">
        <v>42</v>
      </c>
      <c r="B170" s="27" t="s">
        <v>558</v>
      </c>
      <c r="C170" s="27" t="s">
        <v>559</v>
      </c>
      <c r="D170" s="27" t="s">
        <v>560</v>
      </c>
      <c r="E170" s="28" t="s">
        <v>46</v>
      </c>
      <c r="F170" s="29" t="s">
        <v>46</v>
      </c>
      <c r="G170" s="30" t="s">
        <v>46</v>
      </c>
      <c r="H170" s="31"/>
      <c r="I170" s="31" t="s">
        <v>551</v>
      </c>
      <c r="J170" s="32" t="n">
        <v>1.0</v>
      </c>
      <c r="K170" s="33" t="n">
        <f>7870</f>
        <v>7870.0</v>
      </c>
      <c r="L170" s="34" t="s">
        <v>48</v>
      </c>
      <c r="M170" s="33" t="n">
        <f>8230</f>
        <v>8230.0</v>
      </c>
      <c r="N170" s="34" t="s">
        <v>372</v>
      </c>
      <c r="O170" s="33" t="n">
        <f>7748</f>
        <v>7748.0</v>
      </c>
      <c r="P170" s="34" t="s">
        <v>209</v>
      </c>
      <c r="Q170" s="33" t="n">
        <f>8096</f>
        <v>8096.0</v>
      </c>
      <c r="R170" s="34" t="s">
        <v>50</v>
      </c>
      <c r="S170" s="35" t="n">
        <f>8020.91</f>
        <v>8020.91</v>
      </c>
      <c r="T170" s="32" t="n">
        <f>8378</f>
        <v>8378.0</v>
      </c>
      <c r="U170" s="32" t="str">
        <f>"－"</f>
        <v>－</v>
      </c>
      <c r="V170" s="32" t="n">
        <f>67071293</f>
        <v>6.7071293E7</v>
      </c>
      <c r="W170" s="32" t="str">
        <f>"－"</f>
        <v>－</v>
      </c>
      <c r="X170" s="36" t="n">
        <f>22</f>
        <v>22.0</v>
      </c>
    </row>
    <row r="171">
      <c r="A171" s="27" t="s">
        <v>42</v>
      </c>
      <c r="B171" s="27" t="s">
        <v>561</v>
      </c>
      <c r="C171" s="27" t="s">
        <v>562</v>
      </c>
      <c r="D171" s="27" t="s">
        <v>563</v>
      </c>
      <c r="E171" s="28" t="s">
        <v>46</v>
      </c>
      <c r="F171" s="29" t="s">
        <v>46</v>
      </c>
      <c r="G171" s="30" t="s">
        <v>46</v>
      </c>
      <c r="H171" s="31"/>
      <c r="I171" s="31" t="s">
        <v>551</v>
      </c>
      <c r="J171" s="32" t="n">
        <v>1.0</v>
      </c>
      <c r="K171" s="33" t="n">
        <f>33730</f>
        <v>33730.0</v>
      </c>
      <c r="L171" s="34" t="s">
        <v>48</v>
      </c>
      <c r="M171" s="33" t="n">
        <f>35000</f>
        <v>35000.0</v>
      </c>
      <c r="N171" s="34" t="s">
        <v>50</v>
      </c>
      <c r="O171" s="33" t="n">
        <f>32490</f>
        <v>32490.0</v>
      </c>
      <c r="P171" s="34" t="s">
        <v>68</v>
      </c>
      <c r="Q171" s="33" t="n">
        <f>34790</f>
        <v>34790.0</v>
      </c>
      <c r="R171" s="34" t="s">
        <v>50</v>
      </c>
      <c r="S171" s="35" t="n">
        <f>33474.09</f>
        <v>33474.09</v>
      </c>
      <c r="T171" s="32" t="n">
        <f>35501</f>
        <v>35501.0</v>
      </c>
      <c r="U171" s="32" t="n">
        <f>32</f>
        <v>32.0</v>
      </c>
      <c r="V171" s="32" t="n">
        <f>1190946770</f>
        <v>1.19094677E9</v>
      </c>
      <c r="W171" s="32" t="n">
        <f>1079090</f>
        <v>1079090.0</v>
      </c>
      <c r="X171" s="36" t="n">
        <f>22</f>
        <v>22.0</v>
      </c>
    </row>
    <row r="172">
      <c r="A172" s="27" t="s">
        <v>42</v>
      </c>
      <c r="B172" s="27" t="s">
        <v>564</v>
      </c>
      <c r="C172" s="27" t="s">
        <v>565</v>
      </c>
      <c r="D172" s="27" t="s">
        <v>566</v>
      </c>
      <c r="E172" s="28" t="s">
        <v>46</v>
      </c>
      <c r="F172" s="29" t="s">
        <v>46</v>
      </c>
      <c r="G172" s="30" t="s">
        <v>46</v>
      </c>
      <c r="H172" s="31"/>
      <c r="I172" s="31" t="s">
        <v>551</v>
      </c>
      <c r="J172" s="32" t="n">
        <v>1.0</v>
      </c>
      <c r="K172" s="33" t="n">
        <f>3790</f>
        <v>3790.0</v>
      </c>
      <c r="L172" s="34" t="s">
        <v>48</v>
      </c>
      <c r="M172" s="33" t="n">
        <f>3835</f>
        <v>3835.0</v>
      </c>
      <c r="N172" s="34" t="s">
        <v>68</v>
      </c>
      <c r="O172" s="33" t="n">
        <f>3705</f>
        <v>3705.0</v>
      </c>
      <c r="P172" s="34" t="s">
        <v>50</v>
      </c>
      <c r="Q172" s="33" t="n">
        <f>3725</f>
        <v>3725.0</v>
      </c>
      <c r="R172" s="34" t="s">
        <v>50</v>
      </c>
      <c r="S172" s="35" t="n">
        <f>3771.82</f>
        <v>3771.82</v>
      </c>
      <c r="T172" s="32" t="n">
        <f>7584</f>
        <v>7584.0</v>
      </c>
      <c r="U172" s="32" t="str">
        <f>"－"</f>
        <v>－</v>
      </c>
      <c r="V172" s="32" t="n">
        <f>28526060</f>
        <v>2.852606E7</v>
      </c>
      <c r="W172" s="32" t="str">
        <f>"－"</f>
        <v>－</v>
      </c>
      <c r="X172" s="36" t="n">
        <f>22</f>
        <v>22.0</v>
      </c>
    </row>
    <row r="173">
      <c r="A173" s="27" t="s">
        <v>42</v>
      </c>
      <c r="B173" s="27" t="s">
        <v>567</v>
      </c>
      <c r="C173" s="27" t="s">
        <v>568</v>
      </c>
      <c r="D173" s="27" t="s">
        <v>569</v>
      </c>
      <c r="E173" s="28" t="s">
        <v>46</v>
      </c>
      <c r="F173" s="29" t="s">
        <v>46</v>
      </c>
      <c r="G173" s="30" t="s">
        <v>46</v>
      </c>
      <c r="H173" s="31"/>
      <c r="I173" s="31" t="s">
        <v>551</v>
      </c>
      <c r="J173" s="32" t="n">
        <v>1.0</v>
      </c>
      <c r="K173" s="33" t="n">
        <f>1711</f>
        <v>1711.0</v>
      </c>
      <c r="L173" s="34" t="s">
        <v>48</v>
      </c>
      <c r="M173" s="33" t="n">
        <f>1876</f>
        <v>1876.0</v>
      </c>
      <c r="N173" s="34" t="s">
        <v>205</v>
      </c>
      <c r="O173" s="33" t="n">
        <f>1683</f>
        <v>1683.0</v>
      </c>
      <c r="P173" s="34" t="s">
        <v>173</v>
      </c>
      <c r="Q173" s="33" t="n">
        <f>1864</f>
        <v>1864.0</v>
      </c>
      <c r="R173" s="34" t="s">
        <v>50</v>
      </c>
      <c r="S173" s="35" t="n">
        <f>1797.55</f>
        <v>1797.55</v>
      </c>
      <c r="T173" s="32" t="n">
        <f>16032865</f>
        <v>1.6032865E7</v>
      </c>
      <c r="U173" s="32" t="n">
        <f>431340</f>
        <v>431340.0</v>
      </c>
      <c r="V173" s="32" t="n">
        <f>28745672413</f>
        <v>2.8745672413E10</v>
      </c>
      <c r="W173" s="32" t="n">
        <f>766988583</f>
        <v>7.66988583E8</v>
      </c>
      <c r="X173" s="36" t="n">
        <f>22</f>
        <v>22.0</v>
      </c>
    </row>
    <row r="174">
      <c r="A174" s="27" t="s">
        <v>42</v>
      </c>
      <c r="B174" s="27" t="s">
        <v>570</v>
      </c>
      <c r="C174" s="27" t="s">
        <v>571</v>
      </c>
      <c r="D174" s="27" t="s">
        <v>572</v>
      </c>
      <c r="E174" s="28" t="s">
        <v>46</v>
      </c>
      <c r="F174" s="29" t="s">
        <v>46</v>
      </c>
      <c r="G174" s="30" t="s">
        <v>46</v>
      </c>
      <c r="H174" s="31"/>
      <c r="I174" s="31" t="s">
        <v>551</v>
      </c>
      <c r="J174" s="32" t="n">
        <v>1.0</v>
      </c>
      <c r="K174" s="33" t="n">
        <f>1182</f>
        <v>1182.0</v>
      </c>
      <c r="L174" s="34" t="s">
        <v>48</v>
      </c>
      <c r="M174" s="33" t="n">
        <f>1187</f>
        <v>1187.0</v>
      </c>
      <c r="N174" s="34" t="s">
        <v>173</v>
      </c>
      <c r="O174" s="33" t="n">
        <f>1121</f>
        <v>1121.0</v>
      </c>
      <c r="P174" s="34" t="s">
        <v>50</v>
      </c>
      <c r="Q174" s="33" t="n">
        <f>1123</f>
        <v>1123.0</v>
      </c>
      <c r="R174" s="34" t="s">
        <v>50</v>
      </c>
      <c r="S174" s="35" t="n">
        <f>1149.05</f>
        <v>1149.05</v>
      </c>
      <c r="T174" s="32" t="n">
        <f>1961071</f>
        <v>1961071.0</v>
      </c>
      <c r="U174" s="32" t="n">
        <f>1315</f>
        <v>1315.0</v>
      </c>
      <c r="V174" s="32" t="n">
        <f>2257161059</f>
        <v>2.257161059E9</v>
      </c>
      <c r="W174" s="32" t="n">
        <f>1510830</f>
        <v>1510830.0</v>
      </c>
      <c r="X174" s="36" t="n">
        <f>22</f>
        <v>22.0</v>
      </c>
    </row>
    <row r="175">
      <c r="A175" s="27" t="s">
        <v>42</v>
      </c>
      <c r="B175" s="27" t="s">
        <v>573</v>
      </c>
      <c r="C175" s="27" t="s">
        <v>574</v>
      </c>
      <c r="D175" s="27" t="s">
        <v>575</v>
      </c>
      <c r="E175" s="28" t="s">
        <v>46</v>
      </c>
      <c r="F175" s="29" t="s">
        <v>46</v>
      </c>
      <c r="G175" s="30" t="s">
        <v>46</v>
      </c>
      <c r="H175" s="31"/>
      <c r="I175" s="31" t="s">
        <v>551</v>
      </c>
      <c r="J175" s="32" t="n">
        <v>1.0</v>
      </c>
      <c r="K175" s="33" t="n">
        <f>26390</f>
        <v>26390.0</v>
      </c>
      <c r="L175" s="34" t="s">
        <v>48</v>
      </c>
      <c r="M175" s="33" t="n">
        <f>26450</f>
        <v>26450.0</v>
      </c>
      <c r="N175" s="34" t="s">
        <v>209</v>
      </c>
      <c r="O175" s="33" t="n">
        <f>24365</f>
        <v>24365.0</v>
      </c>
      <c r="P175" s="34" t="s">
        <v>241</v>
      </c>
      <c r="Q175" s="33" t="n">
        <f>25200</f>
        <v>25200.0</v>
      </c>
      <c r="R175" s="34" t="s">
        <v>50</v>
      </c>
      <c r="S175" s="35" t="n">
        <f>25393.18</f>
        <v>25393.18</v>
      </c>
      <c r="T175" s="32" t="n">
        <f>51302</f>
        <v>51302.0</v>
      </c>
      <c r="U175" s="32" t="n">
        <f>99</f>
        <v>99.0</v>
      </c>
      <c r="V175" s="32" t="n">
        <f>1295554145</f>
        <v>1.295554145E9</v>
      </c>
      <c r="W175" s="32" t="n">
        <f>2458705</f>
        <v>2458705.0</v>
      </c>
      <c r="X175" s="36" t="n">
        <f>22</f>
        <v>22.0</v>
      </c>
    </row>
    <row r="176">
      <c r="A176" s="27" t="s">
        <v>42</v>
      </c>
      <c r="B176" s="27" t="s">
        <v>576</v>
      </c>
      <c r="C176" s="27" t="s">
        <v>577</v>
      </c>
      <c r="D176" s="27" t="s">
        <v>578</v>
      </c>
      <c r="E176" s="28" t="s">
        <v>46</v>
      </c>
      <c r="F176" s="29" t="s">
        <v>46</v>
      </c>
      <c r="G176" s="30" t="s">
        <v>46</v>
      </c>
      <c r="H176" s="31"/>
      <c r="I176" s="31" t="s">
        <v>551</v>
      </c>
      <c r="J176" s="32" t="n">
        <v>1.0</v>
      </c>
      <c r="K176" s="33" t="n">
        <f>2769</f>
        <v>2769.0</v>
      </c>
      <c r="L176" s="34" t="s">
        <v>48</v>
      </c>
      <c r="M176" s="33" t="n">
        <f>2868</f>
        <v>2868.0</v>
      </c>
      <c r="N176" s="34" t="s">
        <v>241</v>
      </c>
      <c r="O176" s="33" t="n">
        <f>2740</f>
        <v>2740.0</v>
      </c>
      <c r="P176" s="34" t="s">
        <v>48</v>
      </c>
      <c r="Q176" s="33" t="n">
        <f>2798</f>
        <v>2798.0</v>
      </c>
      <c r="R176" s="34" t="s">
        <v>50</v>
      </c>
      <c r="S176" s="35" t="n">
        <f>2803.64</f>
        <v>2803.64</v>
      </c>
      <c r="T176" s="32" t="n">
        <f>397257</f>
        <v>397257.0</v>
      </c>
      <c r="U176" s="32" t="n">
        <f>110</f>
        <v>110.0</v>
      </c>
      <c r="V176" s="32" t="n">
        <f>1114431681</f>
        <v>1.114431681E9</v>
      </c>
      <c r="W176" s="32" t="n">
        <f>303770</f>
        <v>303770.0</v>
      </c>
      <c r="X176" s="36" t="n">
        <f>22</f>
        <v>22.0</v>
      </c>
    </row>
    <row r="177">
      <c r="A177" s="27" t="s">
        <v>42</v>
      </c>
      <c r="B177" s="27" t="s">
        <v>579</v>
      </c>
      <c r="C177" s="27" t="s">
        <v>580</v>
      </c>
      <c r="D177" s="27" t="s">
        <v>581</v>
      </c>
      <c r="E177" s="28" t="s">
        <v>46</v>
      </c>
      <c r="F177" s="29" t="s">
        <v>46</v>
      </c>
      <c r="G177" s="30" t="s">
        <v>46</v>
      </c>
      <c r="H177" s="31"/>
      <c r="I177" s="31" t="s">
        <v>551</v>
      </c>
      <c r="J177" s="32" t="n">
        <v>1.0</v>
      </c>
      <c r="K177" s="33" t="n">
        <f>8373</f>
        <v>8373.0</v>
      </c>
      <c r="L177" s="34" t="s">
        <v>48</v>
      </c>
      <c r="M177" s="33" t="n">
        <f>8376</f>
        <v>8376.0</v>
      </c>
      <c r="N177" s="34" t="s">
        <v>48</v>
      </c>
      <c r="O177" s="33" t="n">
        <f>7600</f>
        <v>7600.0</v>
      </c>
      <c r="P177" s="34" t="s">
        <v>49</v>
      </c>
      <c r="Q177" s="33" t="n">
        <f>8134</f>
        <v>8134.0</v>
      </c>
      <c r="R177" s="34" t="s">
        <v>50</v>
      </c>
      <c r="S177" s="35" t="n">
        <f>8019.91</f>
        <v>8019.91</v>
      </c>
      <c r="T177" s="32" t="n">
        <f>37762</f>
        <v>37762.0</v>
      </c>
      <c r="U177" s="32" t="n">
        <f>31</f>
        <v>31.0</v>
      </c>
      <c r="V177" s="32" t="n">
        <f>302870436</f>
        <v>3.02870436E8</v>
      </c>
      <c r="W177" s="32" t="n">
        <f>258928</f>
        <v>258928.0</v>
      </c>
      <c r="X177" s="36" t="n">
        <f>22</f>
        <v>22.0</v>
      </c>
    </row>
    <row r="178">
      <c r="A178" s="27" t="s">
        <v>42</v>
      </c>
      <c r="B178" s="27" t="s">
        <v>582</v>
      </c>
      <c r="C178" s="27" t="s">
        <v>583</v>
      </c>
      <c r="D178" s="27" t="s">
        <v>584</v>
      </c>
      <c r="E178" s="28" t="s">
        <v>46</v>
      </c>
      <c r="F178" s="29" t="s">
        <v>46</v>
      </c>
      <c r="G178" s="30" t="s">
        <v>46</v>
      </c>
      <c r="H178" s="31"/>
      <c r="I178" s="31" t="s">
        <v>551</v>
      </c>
      <c r="J178" s="32" t="n">
        <v>1.0</v>
      </c>
      <c r="K178" s="33" t="n">
        <f>17980</f>
        <v>17980.0</v>
      </c>
      <c r="L178" s="34" t="s">
        <v>48</v>
      </c>
      <c r="M178" s="33" t="n">
        <f>18125</f>
        <v>18125.0</v>
      </c>
      <c r="N178" s="34" t="s">
        <v>48</v>
      </c>
      <c r="O178" s="33" t="n">
        <f>17010</f>
        <v>17010.0</v>
      </c>
      <c r="P178" s="34" t="s">
        <v>68</v>
      </c>
      <c r="Q178" s="33" t="n">
        <f>17750</f>
        <v>17750.0</v>
      </c>
      <c r="R178" s="34" t="s">
        <v>50</v>
      </c>
      <c r="S178" s="35" t="n">
        <f>17710.53</f>
        <v>17710.53</v>
      </c>
      <c r="T178" s="32" t="n">
        <f>544</f>
        <v>544.0</v>
      </c>
      <c r="U178" s="32" t="str">
        <f>"－"</f>
        <v>－</v>
      </c>
      <c r="V178" s="32" t="n">
        <f>9652260</f>
        <v>9652260.0</v>
      </c>
      <c r="W178" s="32" t="str">
        <f>"－"</f>
        <v>－</v>
      </c>
      <c r="X178" s="36" t="n">
        <f>19</f>
        <v>19.0</v>
      </c>
    </row>
    <row r="179">
      <c r="A179" s="27" t="s">
        <v>42</v>
      </c>
      <c r="B179" s="27" t="s">
        <v>585</v>
      </c>
      <c r="C179" s="27" t="s">
        <v>586</v>
      </c>
      <c r="D179" s="27" t="s">
        <v>587</v>
      </c>
      <c r="E179" s="28" t="s">
        <v>46</v>
      </c>
      <c r="F179" s="29" t="s">
        <v>46</v>
      </c>
      <c r="G179" s="30" t="s">
        <v>46</v>
      </c>
      <c r="H179" s="31"/>
      <c r="I179" s="31" t="s">
        <v>551</v>
      </c>
      <c r="J179" s="32" t="n">
        <v>1.0</v>
      </c>
      <c r="K179" s="33" t="n">
        <f>25895</f>
        <v>25895.0</v>
      </c>
      <c r="L179" s="34" t="s">
        <v>48</v>
      </c>
      <c r="M179" s="33" t="n">
        <f>26150</f>
        <v>26150.0</v>
      </c>
      <c r="N179" s="34" t="s">
        <v>67</v>
      </c>
      <c r="O179" s="33" t="n">
        <f>25380</f>
        <v>25380.0</v>
      </c>
      <c r="P179" s="34" t="s">
        <v>314</v>
      </c>
      <c r="Q179" s="33" t="n">
        <f>26095</f>
        <v>26095.0</v>
      </c>
      <c r="R179" s="34" t="s">
        <v>50</v>
      </c>
      <c r="S179" s="35" t="n">
        <f>25804.32</f>
        <v>25804.32</v>
      </c>
      <c r="T179" s="32" t="n">
        <f>15424</f>
        <v>15424.0</v>
      </c>
      <c r="U179" s="32" t="str">
        <f>"－"</f>
        <v>－</v>
      </c>
      <c r="V179" s="32" t="n">
        <f>397962985</f>
        <v>3.97962985E8</v>
      </c>
      <c r="W179" s="32" t="str">
        <f>"－"</f>
        <v>－</v>
      </c>
      <c r="X179" s="36" t="n">
        <f>22</f>
        <v>22.0</v>
      </c>
    </row>
    <row r="180">
      <c r="A180" s="27" t="s">
        <v>42</v>
      </c>
      <c r="B180" s="27" t="s">
        <v>588</v>
      </c>
      <c r="C180" s="27" t="s">
        <v>589</v>
      </c>
      <c r="D180" s="27" t="s">
        <v>590</v>
      </c>
      <c r="E180" s="28" t="s">
        <v>46</v>
      </c>
      <c r="F180" s="29" t="s">
        <v>46</v>
      </c>
      <c r="G180" s="30" t="s">
        <v>46</v>
      </c>
      <c r="H180" s="31"/>
      <c r="I180" s="31" t="s">
        <v>551</v>
      </c>
      <c r="J180" s="32" t="n">
        <v>1.0</v>
      </c>
      <c r="K180" s="33" t="n">
        <f>16295</f>
        <v>16295.0</v>
      </c>
      <c r="L180" s="34" t="s">
        <v>48</v>
      </c>
      <c r="M180" s="33" t="n">
        <f>16395</f>
        <v>16395.0</v>
      </c>
      <c r="N180" s="34" t="s">
        <v>173</v>
      </c>
      <c r="O180" s="33" t="n">
        <f>15600</f>
        <v>15600.0</v>
      </c>
      <c r="P180" s="34" t="s">
        <v>314</v>
      </c>
      <c r="Q180" s="33" t="n">
        <f>16250</f>
        <v>16250.0</v>
      </c>
      <c r="R180" s="34" t="s">
        <v>50</v>
      </c>
      <c r="S180" s="35" t="n">
        <f>16045.31</f>
        <v>16045.31</v>
      </c>
      <c r="T180" s="32" t="n">
        <f>141</f>
        <v>141.0</v>
      </c>
      <c r="U180" s="32" t="str">
        <f>"－"</f>
        <v>－</v>
      </c>
      <c r="V180" s="32" t="n">
        <f>2226940</f>
        <v>2226940.0</v>
      </c>
      <c r="W180" s="32" t="str">
        <f>"－"</f>
        <v>－</v>
      </c>
      <c r="X180" s="36" t="n">
        <f>16</f>
        <v>16.0</v>
      </c>
    </row>
    <row r="181">
      <c r="A181" s="27" t="s">
        <v>42</v>
      </c>
      <c r="B181" s="27" t="s">
        <v>591</v>
      </c>
      <c r="C181" s="27" t="s">
        <v>592</v>
      </c>
      <c r="D181" s="27" t="s">
        <v>593</v>
      </c>
      <c r="E181" s="28" t="s">
        <v>46</v>
      </c>
      <c r="F181" s="29" t="s">
        <v>46</v>
      </c>
      <c r="G181" s="30" t="s">
        <v>46</v>
      </c>
      <c r="H181" s="31"/>
      <c r="I181" s="31" t="s">
        <v>551</v>
      </c>
      <c r="J181" s="32" t="n">
        <v>1.0</v>
      </c>
      <c r="K181" s="33" t="n">
        <f>23150</f>
        <v>23150.0</v>
      </c>
      <c r="L181" s="34" t="s">
        <v>48</v>
      </c>
      <c r="M181" s="33" t="n">
        <f>23385</f>
        <v>23385.0</v>
      </c>
      <c r="N181" s="34" t="s">
        <v>48</v>
      </c>
      <c r="O181" s="33" t="n">
        <f>21875</f>
        <v>21875.0</v>
      </c>
      <c r="P181" s="34" t="s">
        <v>68</v>
      </c>
      <c r="Q181" s="33" t="n">
        <f>22450</f>
        <v>22450.0</v>
      </c>
      <c r="R181" s="34" t="s">
        <v>50</v>
      </c>
      <c r="S181" s="35" t="n">
        <f>22437.05</f>
        <v>22437.05</v>
      </c>
      <c r="T181" s="32" t="n">
        <f>43459</f>
        <v>43459.0</v>
      </c>
      <c r="U181" s="32" t="str">
        <f>"－"</f>
        <v>－</v>
      </c>
      <c r="V181" s="32" t="n">
        <f>976937455</f>
        <v>9.76937455E8</v>
      </c>
      <c r="W181" s="32" t="str">
        <f>"－"</f>
        <v>－</v>
      </c>
      <c r="X181" s="36" t="n">
        <f>22</f>
        <v>22.0</v>
      </c>
    </row>
    <row r="182">
      <c r="A182" s="27" t="s">
        <v>42</v>
      </c>
      <c r="B182" s="27" t="s">
        <v>594</v>
      </c>
      <c r="C182" s="27" t="s">
        <v>595</v>
      </c>
      <c r="D182" s="27" t="s">
        <v>596</v>
      </c>
      <c r="E182" s="28" t="s">
        <v>46</v>
      </c>
      <c r="F182" s="29" t="s">
        <v>46</v>
      </c>
      <c r="G182" s="30" t="s">
        <v>46</v>
      </c>
      <c r="H182" s="31"/>
      <c r="I182" s="31" t="s">
        <v>551</v>
      </c>
      <c r="J182" s="32" t="n">
        <v>1.0</v>
      </c>
      <c r="K182" s="33" t="n">
        <f>4115</f>
        <v>4115.0</v>
      </c>
      <c r="L182" s="34" t="s">
        <v>48</v>
      </c>
      <c r="M182" s="33" t="n">
        <f>4320</f>
        <v>4320.0</v>
      </c>
      <c r="N182" s="34" t="s">
        <v>241</v>
      </c>
      <c r="O182" s="33" t="n">
        <f>4050</f>
        <v>4050.0</v>
      </c>
      <c r="P182" s="34" t="s">
        <v>213</v>
      </c>
      <c r="Q182" s="33" t="n">
        <f>4220</f>
        <v>4220.0</v>
      </c>
      <c r="R182" s="34" t="s">
        <v>50</v>
      </c>
      <c r="S182" s="35" t="n">
        <f>4186.82</f>
        <v>4186.82</v>
      </c>
      <c r="T182" s="32" t="n">
        <f>4328</f>
        <v>4328.0</v>
      </c>
      <c r="U182" s="32" t="str">
        <f>"－"</f>
        <v>－</v>
      </c>
      <c r="V182" s="32" t="n">
        <f>18071570</f>
        <v>1.807157E7</v>
      </c>
      <c r="W182" s="32" t="str">
        <f>"－"</f>
        <v>－</v>
      </c>
      <c r="X182" s="36" t="n">
        <f>22</f>
        <v>22.0</v>
      </c>
    </row>
    <row r="183">
      <c r="A183" s="27" t="s">
        <v>42</v>
      </c>
      <c r="B183" s="27" t="s">
        <v>597</v>
      </c>
      <c r="C183" s="27" t="s">
        <v>598</v>
      </c>
      <c r="D183" s="27" t="s">
        <v>599</v>
      </c>
      <c r="E183" s="28" t="s">
        <v>46</v>
      </c>
      <c r="F183" s="29" t="s">
        <v>46</v>
      </c>
      <c r="G183" s="30" t="s">
        <v>46</v>
      </c>
      <c r="H183" s="31"/>
      <c r="I183" s="31" t="s">
        <v>551</v>
      </c>
      <c r="J183" s="32" t="n">
        <v>1.0</v>
      </c>
      <c r="K183" s="33" t="n">
        <f>21380</f>
        <v>21380.0</v>
      </c>
      <c r="L183" s="34" t="s">
        <v>48</v>
      </c>
      <c r="M183" s="33" t="n">
        <f>22525</f>
        <v>22525.0</v>
      </c>
      <c r="N183" s="34" t="s">
        <v>50</v>
      </c>
      <c r="O183" s="33" t="n">
        <f>20785</f>
        <v>20785.0</v>
      </c>
      <c r="P183" s="34" t="s">
        <v>213</v>
      </c>
      <c r="Q183" s="33" t="n">
        <f>22525</f>
        <v>22525.0</v>
      </c>
      <c r="R183" s="34" t="s">
        <v>50</v>
      </c>
      <c r="S183" s="35" t="n">
        <f>21464.74</f>
        <v>21464.74</v>
      </c>
      <c r="T183" s="32" t="n">
        <f>1415</f>
        <v>1415.0</v>
      </c>
      <c r="U183" s="32" t="str">
        <f>"－"</f>
        <v>－</v>
      </c>
      <c r="V183" s="32" t="n">
        <f>30189000</f>
        <v>3.0189E7</v>
      </c>
      <c r="W183" s="32" t="str">
        <f>"－"</f>
        <v>－</v>
      </c>
      <c r="X183" s="36" t="n">
        <f>19</f>
        <v>19.0</v>
      </c>
    </row>
    <row r="184">
      <c r="A184" s="27" t="s">
        <v>42</v>
      </c>
      <c r="B184" s="27" t="s">
        <v>600</v>
      </c>
      <c r="C184" s="27" t="s">
        <v>601</v>
      </c>
      <c r="D184" s="27" t="s">
        <v>602</v>
      </c>
      <c r="E184" s="28" t="s">
        <v>46</v>
      </c>
      <c r="F184" s="29" t="s">
        <v>46</v>
      </c>
      <c r="G184" s="30" t="s">
        <v>46</v>
      </c>
      <c r="H184" s="31"/>
      <c r="I184" s="31" t="s">
        <v>551</v>
      </c>
      <c r="J184" s="32" t="n">
        <v>1.0</v>
      </c>
      <c r="K184" s="33" t="n">
        <f>16065</f>
        <v>16065.0</v>
      </c>
      <c r="L184" s="34" t="s">
        <v>48</v>
      </c>
      <c r="M184" s="33" t="n">
        <f>16065</f>
        <v>16065.0</v>
      </c>
      <c r="N184" s="34" t="s">
        <v>48</v>
      </c>
      <c r="O184" s="33" t="n">
        <f>15400</f>
        <v>15400.0</v>
      </c>
      <c r="P184" s="34" t="s">
        <v>205</v>
      </c>
      <c r="Q184" s="33" t="n">
        <f>16040</f>
        <v>16040.0</v>
      </c>
      <c r="R184" s="34" t="s">
        <v>67</v>
      </c>
      <c r="S184" s="35" t="n">
        <f>15718.33</f>
        <v>15718.33</v>
      </c>
      <c r="T184" s="32" t="n">
        <f>28</f>
        <v>28.0</v>
      </c>
      <c r="U184" s="32" t="str">
        <f>"－"</f>
        <v>－</v>
      </c>
      <c r="V184" s="32" t="n">
        <f>436470</f>
        <v>436470.0</v>
      </c>
      <c r="W184" s="32" t="str">
        <f>"－"</f>
        <v>－</v>
      </c>
      <c r="X184" s="36" t="n">
        <f>6</f>
        <v>6.0</v>
      </c>
    </row>
    <row r="185">
      <c r="A185" s="27" t="s">
        <v>42</v>
      </c>
      <c r="B185" s="27" t="s">
        <v>603</v>
      </c>
      <c r="C185" s="27" t="s">
        <v>604</v>
      </c>
      <c r="D185" s="27" t="s">
        <v>605</v>
      </c>
      <c r="E185" s="28" t="s">
        <v>46</v>
      </c>
      <c r="F185" s="29" t="s">
        <v>46</v>
      </c>
      <c r="G185" s="30" t="s">
        <v>46</v>
      </c>
      <c r="H185" s="31"/>
      <c r="I185" s="31" t="s">
        <v>551</v>
      </c>
      <c r="J185" s="32" t="n">
        <v>1.0</v>
      </c>
      <c r="K185" s="33" t="n">
        <f>24565</f>
        <v>24565.0</v>
      </c>
      <c r="L185" s="34" t="s">
        <v>173</v>
      </c>
      <c r="M185" s="33" t="n">
        <f>26360</f>
        <v>26360.0</v>
      </c>
      <c r="N185" s="34" t="s">
        <v>67</v>
      </c>
      <c r="O185" s="33" t="n">
        <f>24315</f>
        <v>24315.0</v>
      </c>
      <c r="P185" s="34" t="s">
        <v>154</v>
      </c>
      <c r="Q185" s="33" t="n">
        <f>25975</f>
        <v>25975.0</v>
      </c>
      <c r="R185" s="34" t="s">
        <v>67</v>
      </c>
      <c r="S185" s="35" t="n">
        <f>25201.25</f>
        <v>25201.25</v>
      </c>
      <c r="T185" s="32" t="n">
        <f>577</f>
        <v>577.0</v>
      </c>
      <c r="U185" s="32" t="str">
        <f>"－"</f>
        <v>－</v>
      </c>
      <c r="V185" s="32" t="n">
        <f>14695550</f>
        <v>1.469555E7</v>
      </c>
      <c r="W185" s="32" t="str">
        <f>"－"</f>
        <v>－</v>
      </c>
      <c r="X185" s="36" t="n">
        <f>12</f>
        <v>12.0</v>
      </c>
    </row>
    <row r="186">
      <c r="A186" s="27" t="s">
        <v>42</v>
      </c>
      <c r="B186" s="27" t="s">
        <v>606</v>
      </c>
      <c r="C186" s="27" t="s">
        <v>607</v>
      </c>
      <c r="D186" s="27" t="s">
        <v>608</v>
      </c>
      <c r="E186" s="28" t="s">
        <v>46</v>
      </c>
      <c r="F186" s="29" t="s">
        <v>46</v>
      </c>
      <c r="G186" s="30" t="s">
        <v>46</v>
      </c>
      <c r="H186" s="31"/>
      <c r="I186" s="31" t="s">
        <v>551</v>
      </c>
      <c r="J186" s="32" t="n">
        <v>1.0</v>
      </c>
      <c r="K186" s="33" t="n">
        <f>18065</f>
        <v>18065.0</v>
      </c>
      <c r="L186" s="34" t="s">
        <v>490</v>
      </c>
      <c r="M186" s="33" t="n">
        <f>18110</f>
        <v>18110.0</v>
      </c>
      <c r="N186" s="34" t="s">
        <v>314</v>
      </c>
      <c r="O186" s="33" t="n">
        <f>18065</f>
        <v>18065.0</v>
      </c>
      <c r="P186" s="34" t="s">
        <v>490</v>
      </c>
      <c r="Q186" s="33" t="n">
        <f>18110</f>
        <v>18110.0</v>
      </c>
      <c r="R186" s="34" t="s">
        <v>314</v>
      </c>
      <c r="S186" s="35" t="n">
        <f>18087.5</f>
        <v>18087.5</v>
      </c>
      <c r="T186" s="32" t="n">
        <f>400</f>
        <v>400.0</v>
      </c>
      <c r="U186" s="32" t="str">
        <f>"－"</f>
        <v>－</v>
      </c>
      <c r="V186" s="32" t="n">
        <f>7230500</f>
        <v>7230500.0</v>
      </c>
      <c r="W186" s="32" t="str">
        <f>"－"</f>
        <v>－</v>
      </c>
      <c r="X186" s="36" t="n">
        <f>2</f>
        <v>2.0</v>
      </c>
    </row>
    <row r="187">
      <c r="A187" s="27" t="s">
        <v>42</v>
      </c>
      <c r="B187" s="27" t="s">
        <v>609</v>
      </c>
      <c r="C187" s="27" t="s">
        <v>610</v>
      </c>
      <c r="D187" s="27" t="s">
        <v>611</v>
      </c>
      <c r="E187" s="28" t="s">
        <v>46</v>
      </c>
      <c r="F187" s="29" t="s">
        <v>46</v>
      </c>
      <c r="G187" s="30" t="s">
        <v>46</v>
      </c>
      <c r="H187" s="31"/>
      <c r="I187" s="31" t="s">
        <v>551</v>
      </c>
      <c r="J187" s="32" t="n">
        <v>1.0</v>
      </c>
      <c r="K187" s="33" t="n">
        <f>16375</f>
        <v>16375.0</v>
      </c>
      <c r="L187" s="34" t="s">
        <v>48</v>
      </c>
      <c r="M187" s="33" t="n">
        <f>16450</f>
        <v>16450.0</v>
      </c>
      <c r="N187" s="34" t="s">
        <v>205</v>
      </c>
      <c r="O187" s="33" t="n">
        <f>15770</f>
        <v>15770.0</v>
      </c>
      <c r="P187" s="34" t="s">
        <v>49</v>
      </c>
      <c r="Q187" s="33" t="n">
        <f>16340</f>
        <v>16340.0</v>
      </c>
      <c r="R187" s="34" t="s">
        <v>50</v>
      </c>
      <c r="S187" s="35" t="n">
        <f>16064.69</f>
        <v>16064.69</v>
      </c>
      <c r="T187" s="32" t="n">
        <f>769</f>
        <v>769.0</v>
      </c>
      <c r="U187" s="32" t="str">
        <f>"－"</f>
        <v>－</v>
      </c>
      <c r="V187" s="32" t="n">
        <f>12385945</f>
        <v>1.2385945E7</v>
      </c>
      <c r="W187" s="32" t="str">
        <f>"－"</f>
        <v>－</v>
      </c>
      <c r="X187" s="36" t="n">
        <f>16</f>
        <v>16.0</v>
      </c>
    </row>
    <row r="188">
      <c r="A188" s="27" t="s">
        <v>42</v>
      </c>
      <c r="B188" s="27" t="s">
        <v>612</v>
      </c>
      <c r="C188" s="27" t="s">
        <v>613</v>
      </c>
      <c r="D188" s="27" t="s">
        <v>614</v>
      </c>
      <c r="E188" s="28" t="s">
        <v>46</v>
      </c>
      <c r="F188" s="29" t="s">
        <v>46</v>
      </c>
      <c r="G188" s="30" t="s">
        <v>46</v>
      </c>
      <c r="H188" s="31"/>
      <c r="I188" s="31" t="s">
        <v>551</v>
      </c>
      <c r="J188" s="32" t="n">
        <v>1.0</v>
      </c>
      <c r="K188" s="33" t="n">
        <f>18690</f>
        <v>18690.0</v>
      </c>
      <c r="L188" s="34" t="s">
        <v>48</v>
      </c>
      <c r="M188" s="33" t="n">
        <f>18915</f>
        <v>18915.0</v>
      </c>
      <c r="N188" s="34" t="s">
        <v>205</v>
      </c>
      <c r="O188" s="33" t="n">
        <f>18025</f>
        <v>18025.0</v>
      </c>
      <c r="P188" s="34" t="s">
        <v>213</v>
      </c>
      <c r="Q188" s="33" t="n">
        <f>18805</f>
        <v>18805.0</v>
      </c>
      <c r="R188" s="34" t="s">
        <v>67</v>
      </c>
      <c r="S188" s="35" t="n">
        <f>18552</f>
        <v>18552.0</v>
      </c>
      <c r="T188" s="32" t="n">
        <f>291</f>
        <v>291.0</v>
      </c>
      <c r="U188" s="32" t="str">
        <f>"－"</f>
        <v>－</v>
      </c>
      <c r="V188" s="32" t="n">
        <f>5482280</f>
        <v>5482280.0</v>
      </c>
      <c r="W188" s="32" t="str">
        <f>"－"</f>
        <v>－</v>
      </c>
      <c r="X188" s="36" t="n">
        <f>10</f>
        <v>10.0</v>
      </c>
    </row>
    <row r="189">
      <c r="A189" s="27" t="s">
        <v>42</v>
      </c>
      <c r="B189" s="27" t="s">
        <v>615</v>
      </c>
      <c r="C189" s="27" t="s">
        <v>616</v>
      </c>
      <c r="D189" s="27" t="s">
        <v>617</v>
      </c>
      <c r="E189" s="28" t="s">
        <v>46</v>
      </c>
      <c r="F189" s="29" t="s">
        <v>46</v>
      </c>
      <c r="G189" s="30" t="s">
        <v>46</v>
      </c>
      <c r="H189" s="31"/>
      <c r="I189" s="31" t="s">
        <v>551</v>
      </c>
      <c r="J189" s="32" t="n">
        <v>1.0</v>
      </c>
      <c r="K189" s="33" t="n">
        <f>15315</f>
        <v>15315.0</v>
      </c>
      <c r="L189" s="34" t="s">
        <v>68</v>
      </c>
      <c r="M189" s="33" t="n">
        <f>15590</f>
        <v>15590.0</v>
      </c>
      <c r="N189" s="34" t="s">
        <v>67</v>
      </c>
      <c r="O189" s="33" t="n">
        <f>15315</f>
        <v>15315.0</v>
      </c>
      <c r="P189" s="34" t="s">
        <v>68</v>
      </c>
      <c r="Q189" s="33" t="n">
        <f>15590</f>
        <v>15590.0</v>
      </c>
      <c r="R189" s="34" t="s">
        <v>67</v>
      </c>
      <c r="S189" s="35" t="n">
        <f>15450</f>
        <v>15450.0</v>
      </c>
      <c r="T189" s="32" t="n">
        <f>46</f>
        <v>46.0</v>
      </c>
      <c r="U189" s="32" t="str">
        <f>"－"</f>
        <v>－</v>
      </c>
      <c r="V189" s="32" t="n">
        <f>711780</f>
        <v>711780.0</v>
      </c>
      <c r="W189" s="32" t="str">
        <f>"－"</f>
        <v>－</v>
      </c>
      <c r="X189" s="36" t="n">
        <f>6</f>
        <v>6.0</v>
      </c>
    </row>
    <row r="190">
      <c r="A190" s="27" t="s">
        <v>42</v>
      </c>
      <c r="B190" s="27" t="s">
        <v>618</v>
      </c>
      <c r="C190" s="27" t="s">
        <v>619</v>
      </c>
      <c r="D190" s="27" t="s">
        <v>620</v>
      </c>
      <c r="E190" s="28" t="s">
        <v>46</v>
      </c>
      <c r="F190" s="29" t="s">
        <v>46</v>
      </c>
      <c r="G190" s="30" t="s">
        <v>46</v>
      </c>
      <c r="H190" s="31"/>
      <c r="I190" s="31" t="s">
        <v>551</v>
      </c>
      <c r="J190" s="32" t="n">
        <v>1.0</v>
      </c>
      <c r="K190" s="33" t="n">
        <f>10700</f>
        <v>10700.0</v>
      </c>
      <c r="L190" s="34" t="s">
        <v>48</v>
      </c>
      <c r="M190" s="33" t="n">
        <f>10700</f>
        <v>10700.0</v>
      </c>
      <c r="N190" s="34" t="s">
        <v>48</v>
      </c>
      <c r="O190" s="33" t="n">
        <f>10310</f>
        <v>10310.0</v>
      </c>
      <c r="P190" s="34" t="s">
        <v>68</v>
      </c>
      <c r="Q190" s="33" t="n">
        <f>10560</f>
        <v>10560.0</v>
      </c>
      <c r="R190" s="34" t="s">
        <v>50</v>
      </c>
      <c r="S190" s="35" t="n">
        <f>10496.25</f>
        <v>10496.25</v>
      </c>
      <c r="T190" s="32" t="n">
        <f>3609</f>
        <v>3609.0</v>
      </c>
      <c r="U190" s="32" t="str">
        <f>"－"</f>
        <v>－</v>
      </c>
      <c r="V190" s="32" t="n">
        <f>37890400</f>
        <v>3.78904E7</v>
      </c>
      <c r="W190" s="32" t="str">
        <f>"－"</f>
        <v>－</v>
      </c>
      <c r="X190" s="36" t="n">
        <f>8</f>
        <v>8.0</v>
      </c>
    </row>
    <row r="191">
      <c r="A191" s="27" t="s">
        <v>42</v>
      </c>
      <c r="B191" s="27" t="s">
        <v>621</v>
      </c>
      <c r="C191" s="27" t="s">
        <v>622</v>
      </c>
      <c r="D191" s="27" t="s">
        <v>623</v>
      </c>
      <c r="E191" s="28" t="s">
        <v>46</v>
      </c>
      <c r="F191" s="29" t="s">
        <v>46</v>
      </c>
      <c r="G191" s="30" t="s">
        <v>46</v>
      </c>
      <c r="H191" s="31"/>
      <c r="I191" s="31" t="s">
        <v>551</v>
      </c>
      <c r="J191" s="32" t="n">
        <v>1.0</v>
      </c>
      <c r="K191" s="33" t="n">
        <f>11740</f>
        <v>11740.0</v>
      </c>
      <c r="L191" s="34" t="s">
        <v>48</v>
      </c>
      <c r="M191" s="33" t="n">
        <f>11800</f>
        <v>11800.0</v>
      </c>
      <c r="N191" s="34" t="s">
        <v>48</v>
      </c>
      <c r="O191" s="33" t="n">
        <f>11225</f>
        <v>11225.0</v>
      </c>
      <c r="P191" s="34" t="s">
        <v>72</v>
      </c>
      <c r="Q191" s="33" t="n">
        <f>11725</f>
        <v>11725.0</v>
      </c>
      <c r="R191" s="34" t="s">
        <v>50</v>
      </c>
      <c r="S191" s="35" t="n">
        <f>11496</f>
        <v>11496.0</v>
      </c>
      <c r="T191" s="32" t="n">
        <f>37859</f>
        <v>37859.0</v>
      </c>
      <c r="U191" s="32" t="n">
        <f>9900</f>
        <v>9900.0</v>
      </c>
      <c r="V191" s="32" t="n">
        <f>437497705</f>
        <v>4.37497705E8</v>
      </c>
      <c r="W191" s="32" t="n">
        <f>113968800</f>
        <v>1.139688E8</v>
      </c>
      <c r="X191" s="36" t="n">
        <f>20</f>
        <v>20.0</v>
      </c>
    </row>
    <row r="192">
      <c r="A192" s="27" t="s">
        <v>42</v>
      </c>
      <c r="B192" s="27" t="s">
        <v>624</v>
      </c>
      <c r="C192" s="27" t="s">
        <v>625</v>
      </c>
      <c r="D192" s="27" t="s">
        <v>626</v>
      </c>
      <c r="E192" s="28" t="s">
        <v>46</v>
      </c>
      <c r="F192" s="29" t="s">
        <v>46</v>
      </c>
      <c r="G192" s="30" t="s">
        <v>46</v>
      </c>
      <c r="H192" s="31"/>
      <c r="I192" s="31" t="s">
        <v>551</v>
      </c>
      <c r="J192" s="32" t="n">
        <v>1.0</v>
      </c>
      <c r="K192" s="33" t="n">
        <f>11405</f>
        <v>11405.0</v>
      </c>
      <c r="L192" s="34" t="s">
        <v>209</v>
      </c>
      <c r="M192" s="33" t="n">
        <f>11405</f>
        <v>11405.0</v>
      </c>
      <c r="N192" s="34" t="s">
        <v>209</v>
      </c>
      <c r="O192" s="33" t="n">
        <f>10900</f>
        <v>10900.0</v>
      </c>
      <c r="P192" s="34" t="s">
        <v>72</v>
      </c>
      <c r="Q192" s="33" t="n">
        <f>11235</f>
        <v>11235.0</v>
      </c>
      <c r="R192" s="34" t="s">
        <v>50</v>
      </c>
      <c r="S192" s="35" t="n">
        <f>11161.25</f>
        <v>11161.25</v>
      </c>
      <c r="T192" s="32" t="n">
        <f>5269</f>
        <v>5269.0</v>
      </c>
      <c r="U192" s="32" t="str">
        <f>"－"</f>
        <v>－</v>
      </c>
      <c r="V192" s="32" t="n">
        <f>59048550</f>
        <v>5.904855E7</v>
      </c>
      <c r="W192" s="32" t="str">
        <f>"－"</f>
        <v>－</v>
      </c>
      <c r="X192" s="36" t="n">
        <f>16</f>
        <v>16.0</v>
      </c>
    </row>
    <row r="193">
      <c r="A193" s="27" t="s">
        <v>42</v>
      </c>
      <c r="B193" s="27" t="s">
        <v>627</v>
      </c>
      <c r="C193" s="27" t="s">
        <v>628</v>
      </c>
      <c r="D193" s="27" t="s">
        <v>629</v>
      </c>
      <c r="E193" s="28" t="s">
        <v>46</v>
      </c>
      <c r="F193" s="29" t="s">
        <v>46</v>
      </c>
      <c r="G193" s="30" t="s">
        <v>46</v>
      </c>
      <c r="H193" s="31"/>
      <c r="I193" s="31" t="s">
        <v>551</v>
      </c>
      <c r="J193" s="32" t="n">
        <v>1.0</v>
      </c>
      <c r="K193" s="33" t="n">
        <f>11020</f>
        <v>11020.0</v>
      </c>
      <c r="L193" s="34" t="s">
        <v>154</v>
      </c>
      <c r="M193" s="33" t="n">
        <f>11020</f>
        <v>11020.0</v>
      </c>
      <c r="N193" s="34" t="s">
        <v>154</v>
      </c>
      <c r="O193" s="33" t="n">
        <f>11020</f>
        <v>11020.0</v>
      </c>
      <c r="P193" s="34" t="s">
        <v>154</v>
      </c>
      <c r="Q193" s="33" t="n">
        <f>11020</f>
        <v>11020.0</v>
      </c>
      <c r="R193" s="34" t="s">
        <v>154</v>
      </c>
      <c r="S193" s="35" t="n">
        <f>11020</f>
        <v>11020.0</v>
      </c>
      <c r="T193" s="32" t="n">
        <f>10</f>
        <v>10.0</v>
      </c>
      <c r="U193" s="32" t="str">
        <f>"－"</f>
        <v>－</v>
      </c>
      <c r="V193" s="32" t="n">
        <f>110200</f>
        <v>110200.0</v>
      </c>
      <c r="W193" s="32" t="str">
        <f>"－"</f>
        <v>－</v>
      </c>
      <c r="X193" s="36" t="n">
        <f>1</f>
        <v>1.0</v>
      </c>
    </row>
    <row r="194">
      <c r="A194" s="27" t="s">
        <v>42</v>
      </c>
      <c r="B194" s="27" t="s">
        <v>630</v>
      </c>
      <c r="C194" s="27" t="s">
        <v>631</v>
      </c>
      <c r="D194" s="27" t="s">
        <v>632</v>
      </c>
      <c r="E194" s="28" t="s">
        <v>46</v>
      </c>
      <c r="F194" s="29" t="s">
        <v>46</v>
      </c>
      <c r="G194" s="30" t="s">
        <v>46</v>
      </c>
      <c r="H194" s="31"/>
      <c r="I194" s="31" t="s">
        <v>47</v>
      </c>
      <c r="J194" s="32" t="n">
        <v>10.0</v>
      </c>
      <c r="K194" s="33" t="n">
        <f>2198.5</f>
        <v>2198.5</v>
      </c>
      <c r="L194" s="34" t="s">
        <v>48</v>
      </c>
      <c r="M194" s="33" t="n">
        <f>2235</f>
        <v>2235.0</v>
      </c>
      <c r="N194" s="34" t="s">
        <v>490</v>
      </c>
      <c r="O194" s="33" t="n">
        <f>2162</f>
        <v>2162.0</v>
      </c>
      <c r="P194" s="34" t="s">
        <v>213</v>
      </c>
      <c r="Q194" s="33" t="n">
        <f>2227</f>
        <v>2227.0</v>
      </c>
      <c r="R194" s="34" t="s">
        <v>50</v>
      </c>
      <c r="S194" s="35" t="n">
        <f>2200.16</f>
        <v>2200.16</v>
      </c>
      <c r="T194" s="32" t="n">
        <f>38770</f>
        <v>38770.0</v>
      </c>
      <c r="U194" s="32" t="str">
        <f>"－"</f>
        <v>－</v>
      </c>
      <c r="V194" s="32" t="n">
        <f>85663885</f>
        <v>8.5663885E7</v>
      </c>
      <c r="W194" s="32" t="str">
        <f>"－"</f>
        <v>－</v>
      </c>
      <c r="X194" s="36" t="n">
        <f>22</f>
        <v>22.0</v>
      </c>
    </row>
    <row r="195">
      <c r="A195" s="27" t="s">
        <v>42</v>
      </c>
      <c r="B195" s="27" t="s">
        <v>633</v>
      </c>
      <c r="C195" s="27" t="s">
        <v>634</v>
      </c>
      <c r="D195" s="27" t="s">
        <v>635</v>
      </c>
      <c r="E195" s="28" t="s">
        <v>46</v>
      </c>
      <c r="F195" s="29" t="s">
        <v>46</v>
      </c>
      <c r="G195" s="30" t="s">
        <v>46</v>
      </c>
      <c r="H195" s="31"/>
      <c r="I195" s="31" t="s">
        <v>47</v>
      </c>
      <c r="J195" s="32" t="n">
        <v>1.0</v>
      </c>
      <c r="K195" s="33" t="n">
        <f>1120</f>
        <v>1120.0</v>
      </c>
      <c r="L195" s="34" t="s">
        <v>48</v>
      </c>
      <c r="M195" s="33" t="n">
        <f>1129</f>
        <v>1129.0</v>
      </c>
      <c r="N195" s="34" t="s">
        <v>173</v>
      </c>
      <c r="O195" s="33" t="n">
        <f>1097</f>
        <v>1097.0</v>
      </c>
      <c r="P195" s="34" t="s">
        <v>80</v>
      </c>
      <c r="Q195" s="33" t="n">
        <f>1127</f>
        <v>1127.0</v>
      </c>
      <c r="R195" s="34" t="s">
        <v>50</v>
      </c>
      <c r="S195" s="35" t="n">
        <f>1114.36</f>
        <v>1114.36</v>
      </c>
      <c r="T195" s="32" t="n">
        <f>1004418</f>
        <v>1004418.0</v>
      </c>
      <c r="U195" s="32" t="n">
        <f>127001</f>
        <v>127001.0</v>
      </c>
      <c r="V195" s="32" t="n">
        <f>1119343373</f>
        <v>1.119343373E9</v>
      </c>
      <c r="W195" s="32" t="n">
        <f>141788275</f>
        <v>1.41788275E8</v>
      </c>
      <c r="X195" s="36" t="n">
        <f>22</f>
        <v>22.0</v>
      </c>
    </row>
    <row r="196">
      <c r="A196" s="27" t="s">
        <v>42</v>
      </c>
      <c r="B196" s="27" t="s">
        <v>636</v>
      </c>
      <c r="C196" s="27" t="s">
        <v>637</v>
      </c>
      <c r="D196" s="27" t="s">
        <v>638</v>
      </c>
      <c r="E196" s="28" t="s">
        <v>46</v>
      </c>
      <c r="F196" s="29" t="s">
        <v>46</v>
      </c>
      <c r="G196" s="30" t="s">
        <v>46</v>
      </c>
      <c r="H196" s="31"/>
      <c r="I196" s="31" t="s">
        <v>47</v>
      </c>
      <c r="J196" s="32" t="n">
        <v>1.0</v>
      </c>
      <c r="K196" s="33" t="n">
        <f>62190</f>
        <v>62190.0</v>
      </c>
      <c r="L196" s="34" t="s">
        <v>48</v>
      </c>
      <c r="M196" s="33" t="n">
        <f>62350</f>
        <v>62350.0</v>
      </c>
      <c r="N196" s="34" t="s">
        <v>48</v>
      </c>
      <c r="O196" s="33" t="n">
        <f>55990</f>
        <v>55990.0</v>
      </c>
      <c r="P196" s="34" t="s">
        <v>68</v>
      </c>
      <c r="Q196" s="33" t="n">
        <f>59760</f>
        <v>59760.0</v>
      </c>
      <c r="R196" s="34" t="s">
        <v>50</v>
      </c>
      <c r="S196" s="35" t="n">
        <f>58630.45</f>
        <v>58630.45</v>
      </c>
      <c r="T196" s="32" t="n">
        <f>64663</f>
        <v>64663.0</v>
      </c>
      <c r="U196" s="32" t="str">
        <f>"－"</f>
        <v>－</v>
      </c>
      <c r="V196" s="32" t="n">
        <f>3775775780</f>
        <v>3.77577578E9</v>
      </c>
      <c r="W196" s="32" t="str">
        <f>"－"</f>
        <v>－</v>
      </c>
      <c r="X196" s="36" t="n">
        <f>22</f>
        <v>22.0</v>
      </c>
    </row>
    <row r="197">
      <c r="A197" s="27" t="s">
        <v>42</v>
      </c>
      <c r="B197" s="27" t="s">
        <v>639</v>
      </c>
      <c r="C197" s="27" t="s">
        <v>640</v>
      </c>
      <c r="D197" s="27" t="s">
        <v>641</v>
      </c>
      <c r="E197" s="28" t="s">
        <v>46</v>
      </c>
      <c r="F197" s="29" t="s">
        <v>46</v>
      </c>
      <c r="G197" s="30" t="s">
        <v>46</v>
      </c>
      <c r="H197" s="31"/>
      <c r="I197" s="31" t="s">
        <v>47</v>
      </c>
      <c r="J197" s="32" t="n">
        <v>1.0</v>
      </c>
      <c r="K197" s="33" t="n">
        <f>8515</f>
        <v>8515.0</v>
      </c>
      <c r="L197" s="34" t="s">
        <v>48</v>
      </c>
      <c r="M197" s="33" t="n">
        <f>8963</f>
        <v>8963.0</v>
      </c>
      <c r="N197" s="34" t="s">
        <v>68</v>
      </c>
      <c r="O197" s="33" t="n">
        <f>8504</f>
        <v>8504.0</v>
      </c>
      <c r="P197" s="34" t="s">
        <v>48</v>
      </c>
      <c r="Q197" s="33" t="n">
        <f>8658</f>
        <v>8658.0</v>
      </c>
      <c r="R197" s="34" t="s">
        <v>50</v>
      </c>
      <c r="S197" s="35" t="n">
        <f>8764.86</f>
        <v>8764.86</v>
      </c>
      <c r="T197" s="32" t="n">
        <f>529181</f>
        <v>529181.0</v>
      </c>
      <c r="U197" s="32" t="n">
        <f>351880</f>
        <v>351880.0</v>
      </c>
      <c r="V197" s="32" t="n">
        <f>4664490009</f>
        <v>4.664490009E9</v>
      </c>
      <c r="W197" s="32" t="n">
        <f>3116170530</f>
        <v>3.11617053E9</v>
      </c>
      <c r="X197" s="36" t="n">
        <f>22</f>
        <v>22.0</v>
      </c>
    </row>
    <row r="198">
      <c r="A198" s="27" t="s">
        <v>42</v>
      </c>
      <c r="B198" s="27" t="s">
        <v>642</v>
      </c>
      <c r="C198" s="27" t="s">
        <v>643</v>
      </c>
      <c r="D198" s="27" t="s">
        <v>644</v>
      </c>
      <c r="E198" s="28" t="s">
        <v>46</v>
      </c>
      <c r="F198" s="29" t="s">
        <v>46</v>
      </c>
      <c r="G198" s="30" t="s">
        <v>46</v>
      </c>
      <c r="H198" s="31"/>
      <c r="I198" s="31" t="s">
        <v>47</v>
      </c>
      <c r="J198" s="32" t="n">
        <v>10.0</v>
      </c>
      <c r="K198" s="33" t="n">
        <f>13300</f>
        <v>13300.0</v>
      </c>
      <c r="L198" s="34" t="s">
        <v>48</v>
      </c>
      <c r="M198" s="33" t="n">
        <f>13335</f>
        <v>13335.0</v>
      </c>
      <c r="N198" s="34" t="s">
        <v>48</v>
      </c>
      <c r="O198" s="33" t="n">
        <f>11960</f>
        <v>11960.0</v>
      </c>
      <c r="P198" s="34" t="s">
        <v>72</v>
      </c>
      <c r="Q198" s="33" t="n">
        <f>12760</f>
        <v>12760.0</v>
      </c>
      <c r="R198" s="34" t="s">
        <v>50</v>
      </c>
      <c r="S198" s="35" t="n">
        <f>12515.24</f>
        <v>12515.24</v>
      </c>
      <c r="T198" s="32" t="n">
        <f>11760</f>
        <v>11760.0</v>
      </c>
      <c r="U198" s="32" t="str">
        <f>"－"</f>
        <v>－</v>
      </c>
      <c r="V198" s="32" t="n">
        <f>147694450</f>
        <v>1.4769445E8</v>
      </c>
      <c r="W198" s="32" t="str">
        <f>"－"</f>
        <v>－</v>
      </c>
      <c r="X198" s="36" t="n">
        <f>21</f>
        <v>21.0</v>
      </c>
    </row>
    <row r="199">
      <c r="A199" s="27" t="s">
        <v>42</v>
      </c>
      <c r="B199" s="27" t="s">
        <v>645</v>
      </c>
      <c r="C199" s="27" t="s">
        <v>646</v>
      </c>
      <c r="D199" s="27" t="s">
        <v>647</v>
      </c>
      <c r="E199" s="28" t="s">
        <v>46</v>
      </c>
      <c r="F199" s="29" t="s">
        <v>46</v>
      </c>
      <c r="G199" s="30" t="s">
        <v>46</v>
      </c>
      <c r="H199" s="31"/>
      <c r="I199" s="31" t="s">
        <v>47</v>
      </c>
      <c r="J199" s="32" t="n">
        <v>10.0</v>
      </c>
      <c r="K199" s="33" t="n">
        <f>8551</f>
        <v>8551.0</v>
      </c>
      <c r="L199" s="34" t="s">
        <v>48</v>
      </c>
      <c r="M199" s="33" t="n">
        <f>9007</f>
        <v>9007.0</v>
      </c>
      <c r="N199" s="34" t="s">
        <v>68</v>
      </c>
      <c r="O199" s="33" t="n">
        <f>8551</f>
        <v>8551.0</v>
      </c>
      <c r="P199" s="34" t="s">
        <v>48</v>
      </c>
      <c r="Q199" s="33" t="n">
        <f>8700</f>
        <v>8700.0</v>
      </c>
      <c r="R199" s="34" t="s">
        <v>50</v>
      </c>
      <c r="S199" s="35" t="n">
        <f>8808.05</f>
        <v>8808.05</v>
      </c>
      <c r="T199" s="32" t="n">
        <f>522390</f>
        <v>522390.0</v>
      </c>
      <c r="U199" s="32" t="n">
        <f>463100</f>
        <v>463100.0</v>
      </c>
      <c r="V199" s="32" t="n">
        <f>4686831030</f>
        <v>4.68683103E9</v>
      </c>
      <c r="W199" s="32" t="n">
        <f>4159780250</f>
        <v>4.15978025E9</v>
      </c>
      <c r="X199" s="36" t="n">
        <f>22</f>
        <v>22.0</v>
      </c>
    </row>
    <row r="200">
      <c r="A200" s="27" t="s">
        <v>42</v>
      </c>
      <c r="B200" s="27" t="s">
        <v>648</v>
      </c>
      <c r="C200" s="27" t="s">
        <v>649</v>
      </c>
      <c r="D200" s="27" t="s">
        <v>650</v>
      </c>
      <c r="E200" s="28" t="s">
        <v>46</v>
      </c>
      <c r="F200" s="29" t="s">
        <v>46</v>
      </c>
      <c r="G200" s="30" t="s">
        <v>46</v>
      </c>
      <c r="H200" s="31"/>
      <c r="I200" s="31" t="s">
        <v>47</v>
      </c>
      <c r="J200" s="32" t="n">
        <v>10.0</v>
      </c>
      <c r="K200" s="33" t="n">
        <f>563.6</f>
        <v>563.6</v>
      </c>
      <c r="L200" s="34" t="s">
        <v>48</v>
      </c>
      <c r="M200" s="33" t="n">
        <f>577.7</f>
        <v>577.7</v>
      </c>
      <c r="N200" s="34" t="s">
        <v>72</v>
      </c>
      <c r="O200" s="33" t="n">
        <f>554</f>
        <v>554.0</v>
      </c>
      <c r="P200" s="34" t="s">
        <v>213</v>
      </c>
      <c r="Q200" s="33" t="n">
        <f>570.2</f>
        <v>570.2</v>
      </c>
      <c r="R200" s="34" t="s">
        <v>50</v>
      </c>
      <c r="S200" s="35" t="n">
        <f>563.65</f>
        <v>563.65</v>
      </c>
      <c r="T200" s="32" t="n">
        <f>227270</f>
        <v>227270.0</v>
      </c>
      <c r="U200" s="32" t="n">
        <f>90000</f>
        <v>90000.0</v>
      </c>
      <c r="V200" s="32" t="n">
        <f>128025442</f>
        <v>1.28025442E8</v>
      </c>
      <c r="W200" s="32" t="n">
        <f>50727546</f>
        <v>5.0727546E7</v>
      </c>
      <c r="X200" s="36" t="n">
        <f>22</f>
        <v>22.0</v>
      </c>
    </row>
    <row r="201">
      <c r="A201" s="27" t="s">
        <v>42</v>
      </c>
      <c r="B201" s="27" t="s">
        <v>651</v>
      </c>
      <c r="C201" s="27" t="s">
        <v>652</v>
      </c>
      <c r="D201" s="27" t="s">
        <v>653</v>
      </c>
      <c r="E201" s="28" t="s">
        <v>46</v>
      </c>
      <c r="F201" s="29" t="s">
        <v>46</v>
      </c>
      <c r="G201" s="30" t="s">
        <v>46</v>
      </c>
      <c r="H201" s="31"/>
      <c r="I201" s="31" t="s">
        <v>47</v>
      </c>
      <c r="J201" s="32" t="n">
        <v>10.0</v>
      </c>
      <c r="K201" s="33" t="n">
        <f>527.8</f>
        <v>527.8</v>
      </c>
      <c r="L201" s="34" t="s">
        <v>48</v>
      </c>
      <c r="M201" s="33" t="n">
        <f>529</f>
        <v>529.0</v>
      </c>
      <c r="N201" s="34" t="s">
        <v>154</v>
      </c>
      <c r="O201" s="33" t="n">
        <f>504.4</f>
        <v>504.4</v>
      </c>
      <c r="P201" s="34" t="s">
        <v>241</v>
      </c>
      <c r="Q201" s="33" t="n">
        <f>517.2</f>
        <v>517.2</v>
      </c>
      <c r="R201" s="34" t="s">
        <v>50</v>
      </c>
      <c r="S201" s="35" t="n">
        <f>517.03</f>
        <v>517.03</v>
      </c>
      <c r="T201" s="32" t="n">
        <f>49690</f>
        <v>49690.0</v>
      </c>
      <c r="U201" s="32" t="str">
        <f>"－"</f>
        <v>－</v>
      </c>
      <c r="V201" s="32" t="n">
        <f>25559328</f>
        <v>2.5559328E7</v>
      </c>
      <c r="W201" s="32" t="str">
        <f>"－"</f>
        <v>－</v>
      </c>
      <c r="X201" s="36" t="n">
        <f>22</f>
        <v>22.0</v>
      </c>
    </row>
    <row r="202">
      <c r="A202" s="27" t="s">
        <v>42</v>
      </c>
      <c r="B202" s="27" t="s">
        <v>654</v>
      </c>
      <c r="C202" s="27" t="s">
        <v>655</v>
      </c>
      <c r="D202" s="27" t="s">
        <v>656</v>
      </c>
      <c r="E202" s="28" t="s">
        <v>46</v>
      </c>
      <c r="F202" s="29" t="s">
        <v>46</v>
      </c>
      <c r="G202" s="30" t="s">
        <v>46</v>
      </c>
      <c r="H202" s="31"/>
      <c r="I202" s="31" t="s">
        <v>47</v>
      </c>
      <c r="J202" s="32" t="n">
        <v>1.0</v>
      </c>
      <c r="K202" s="33" t="n">
        <f>1313</f>
        <v>1313.0</v>
      </c>
      <c r="L202" s="34" t="s">
        <v>48</v>
      </c>
      <c r="M202" s="33" t="n">
        <f>1320</f>
        <v>1320.0</v>
      </c>
      <c r="N202" s="34" t="s">
        <v>209</v>
      </c>
      <c r="O202" s="33" t="n">
        <f>1198</f>
        <v>1198.0</v>
      </c>
      <c r="P202" s="34" t="s">
        <v>72</v>
      </c>
      <c r="Q202" s="33" t="n">
        <f>1270</f>
        <v>1270.0</v>
      </c>
      <c r="R202" s="34" t="s">
        <v>50</v>
      </c>
      <c r="S202" s="35" t="n">
        <f>1253.86</f>
        <v>1253.86</v>
      </c>
      <c r="T202" s="32" t="n">
        <f>2225334</f>
        <v>2225334.0</v>
      </c>
      <c r="U202" s="32" t="n">
        <f>789005</f>
        <v>789005.0</v>
      </c>
      <c r="V202" s="32" t="n">
        <f>2804890187</f>
        <v>2.804890187E9</v>
      </c>
      <c r="W202" s="32" t="n">
        <f>1003027604</f>
        <v>1.003027604E9</v>
      </c>
      <c r="X202" s="36" t="n">
        <f>22</f>
        <v>22.0</v>
      </c>
    </row>
    <row r="203">
      <c r="A203" s="27" t="s">
        <v>42</v>
      </c>
      <c r="B203" s="27" t="s">
        <v>657</v>
      </c>
      <c r="C203" s="27" t="s">
        <v>658</v>
      </c>
      <c r="D203" s="27" t="s">
        <v>659</v>
      </c>
      <c r="E203" s="28" t="s">
        <v>46</v>
      </c>
      <c r="F203" s="29" t="s">
        <v>46</v>
      </c>
      <c r="G203" s="30" t="s">
        <v>46</v>
      </c>
      <c r="H203" s="31"/>
      <c r="I203" s="31" t="s">
        <v>47</v>
      </c>
      <c r="J203" s="32" t="n">
        <v>1.0</v>
      </c>
      <c r="K203" s="33" t="n">
        <f>1399</f>
        <v>1399.0</v>
      </c>
      <c r="L203" s="34" t="s">
        <v>48</v>
      </c>
      <c r="M203" s="33" t="n">
        <f>1420</f>
        <v>1420.0</v>
      </c>
      <c r="N203" s="34" t="s">
        <v>50</v>
      </c>
      <c r="O203" s="33" t="n">
        <f>1298</f>
        <v>1298.0</v>
      </c>
      <c r="P203" s="34" t="s">
        <v>72</v>
      </c>
      <c r="Q203" s="33" t="n">
        <f>1416</f>
        <v>1416.0</v>
      </c>
      <c r="R203" s="34" t="s">
        <v>50</v>
      </c>
      <c r="S203" s="35" t="n">
        <f>1355.23</f>
        <v>1355.23</v>
      </c>
      <c r="T203" s="32" t="n">
        <f>1062352</f>
        <v>1062352.0</v>
      </c>
      <c r="U203" s="32" t="n">
        <f>63</f>
        <v>63.0</v>
      </c>
      <c r="V203" s="32" t="n">
        <f>1426193393</f>
        <v>1.426193393E9</v>
      </c>
      <c r="W203" s="32" t="n">
        <f>78383</f>
        <v>78383.0</v>
      </c>
      <c r="X203" s="36" t="n">
        <f>22</f>
        <v>22.0</v>
      </c>
    </row>
    <row r="204">
      <c r="A204" s="27" t="s">
        <v>42</v>
      </c>
      <c r="B204" s="27" t="s">
        <v>660</v>
      </c>
      <c r="C204" s="27" t="s">
        <v>661</v>
      </c>
      <c r="D204" s="27" t="s">
        <v>662</v>
      </c>
      <c r="E204" s="28" t="s">
        <v>46</v>
      </c>
      <c r="F204" s="29" t="s">
        <v>46</v>
      </c>
      <c r="G204" s="30" t="s">
        <v>46</v>
      </c>
      <c r="H204" s="31"/>
      <c r="I204" s="31" t="s">
        <v>47</v>
      </c>
      <c r="J204" s="32" t="n">
        <v>10.0</v>
      </c>
      <c r="K204" s="33" t="n">
        <f>824.7</f>
        <v>824.7</v>
      </c>
      <c r="L204" s="34" t="s">
        <v>48</v>
      </c>
      <c r="M204" s="33" t="n">
        <f>825.5</f>
        <v>825.5</v>
      </c>
      <c r="N204" s="34" t="s">
        <v>114</v>
      </c>
      <c r="O204" s="33" t="n">
        <f>780</f>
        <v>780.0</v>
      </c>
      <c r="P204" s="34" t="s">
        <v>49</v>
      </c>
      <c r="Q204" s="33" t="n">
        <f>787.8</f>
        <v>787.8</v>
      </c>
      <c r="R204" s="34" t="s">
        <v>50</v>
      </c>
      <c r="S204" s="35" t="n">
        <f>787.88</f>
        <v>787.88</v>
      </c>
      <c r="T204" s="32" t="n">
        <f>63610</f>
        <v>63610.0</v>
      </c>
      <c r="U204" s="32" t="n">
        <f>50000</f>
        <v>50000.0</v>
      </c>
      <c r="V204" s="32" t="n">
        <f>49947414</f>
        <v>4.9947414E7</v>
      </c>
      <c r="W204" s="32" t="n">
        <f>39185000</f>
        <v>3.9185E7</v>
      </c>
      <c r="X204" s="36" t="n">
        <f>22</f>
        <v>22.0</v>
      </c>
    </row>
    <row r="205">
      <c r="A205" s="27" t="s">
        <v>42</v>
      </c>
      <c r="B205" s="27" t="s">
        <v>663</v>
      </c>
      <c r="C205" s="27" t="s">
        <v>664</v>
      </c>
      <c r="D205" s="27" t="s">
        <v>665</v>
      </c>
      <c r="E205" s="28" t="s">
        <v>46</v>
      </c>
      <c r="F205" s="29" t="s">
        <v>46</v>
      </c>
      <c r="G205" s="30" t="s">
        <v>46</v>
      </c>
      <c r="H205" s="31"/>
      <c r="I205" s="31" t="s">
        <v>47</v>
      </c>
      <c r="J205" s="32" t="n">
        <v>10.0</v>
      </c>
      <c r="K205" s="33" t="n">
        <f>790.9</f>
        <v>790.9</v>
      </c>
      <c r="L205" s="34" t="s">
        <v>209</v>
      </c>
      <c r="M205" s="33" t="n">
        <f>820</f>
        <v>820.0</v>
      </c>
      <c r="N205" s="34" t="s">
        <v>154</v>
      </c>
      <c r="O205" s="33" t="n">
        <f>779.3</f>
        <v>779.3</v>
      </c>
      <c r="P205" s="34" t="s">
        <v>72</v>
      </c>
      <c r="Q205" s="33" t="n">
        <f>779.7</f>
        <v>779.7</v>
      </c>
      <c r="R205" s="34" t="s">
        <v>241</v>
      </c>
      <c r="S205" s="35" t="n">
        <f>785.1</f>
        <v>785.1</v>
      </c>
      <c r="T205" s="32" t="n">
        <f>2200</f>
        <v>2200.0</v>
      </c>
      <c r="U205" s="32" t="str">
        <f>"－"</f>
        <v>－</v>
      </c>
      <c r="V205" s="32" t="n">
        <f>1723872</f>
        <v>1723872.0</v>
      </c>
      <c r="W205" s="32" t="str">
        <f>"－"</f>
        <v>－</v>
      </c>
      <c r="X205" s="36" t="n">
        <f>13</f>
        <v>13.0</v>
      </c>
    </row>
    <row r="206">
      <c r="A206" s="27" t="s">
        <v>42</v>
      </c>
      <c r="B206" s="27" t="s">
        <v>666</v>
      </c>
      <c r="C206" s="27" t="s">
        <v>667</v>
      </c>
      <c r="D206" s="27" t="s">
        <v>668</v>
      </c>
      <c r="E206" s="28" t="s">
        <v>46</v>
      </c>
      <c r="F206" s="29" t="s">
        <v>46</v>
      </c>
      <c r="G206" s="30" t="s">
        <v>46</v>
      </c>
      <c r="H206" s="31"/>
      <c r="I206" s="31" t="s">
        <v>47</v>
      </c>
      <c r="J206" s="32" t="n">
        <v>1.0</v>
      </c>
      <c r="K206" s="33" t="n">
        <f>12215</f>
        <v>12215.0</v>
      </c>
      <c r="L206" s="34" t="s">
        <v>48</v>
      </c>
      <c r="M206" s="33" t="n">
        <f>12370</f>
        <v>12370.0</v>
      </c>
      <c r="N206" s="34" t="s">
        <v>50</v>
      </c>
      <c r="O206" s="33" t="n">
        <f>11875</f>
        <v>11875.0</v>
      </c>
      <c r="P206" s="34" t="s">
        <v>68</v>
      </c>
      <c r="Q206" s="33" t="n">
        <f>12355</f>
        <v>12355.0</v>
      </c>
      <c r="R206" s="34" t="s">
        <v>50</v>
      </c>
      <c r="S206" s="35" t="n">
        <f>12088.57</f>
        <v>12088.57</v>
      </c>
      <c r="T206" s="32" t="n">
        <f>13614</f>
        <v>13614.0</v>
      </c>
      <c r="U206" s="32" t="str">
        <f>"－"</f>
        <v>－</v>
      </c>
      <c r="V206" s="32" t="n">
        <f>166326210</f>
        <v>1.6632621E8</v>
      </c>
      <c r="W206" s="32" t="str">
        <f>"－"</f>
        <v>－</v>
      </c>
      <c r="X206" s="36" t="n">
        <f>21</f>
        <v>21.0</v>
      </c>
    </row>
    <row r="207">
      <c r="A207" s="27" t="s">
        <v>42</v>
      </c>
      <c r="B207" s="27" t="s">
        <v>669</v>
      </c>
      <c r="C207" s="27" t="s">
        <v>670</v>
      </c>
      <c r="D207" s="27" t="s">
        <v>671</v>
      </c>
      <c r="E207" s="28" t="s">
        <v>46</v>
      </c>
      <c r="F207" s="29" t="s">
        <v>46</v>
      </c>
      <c r="G207" s="30" t="s">
        <v>46</v>
      </c>
      <c r="H207" s="31"/>
      <c r="I207" s="31" t="s">
        <v>47</v>
      </c>
      <c r="J207" s="32" t="n">
        <v>1.0</v>
      </c>
      <c r="K207" s="33" t="n">
        <f>38040</f>
        <v>38040.0</v>
      </c>
      <c r="L207" s="34" t="s">
        <v>48</v>
      </c>
      <c r="M207" s="33" t="n">
        <f>38070</f>
        <v>38070.0</v>
      </c>
      <c r="N207" s="34" t="s">
        <v>48</v>
      </c>
      <c r="O207" s="33" t="n">
        <f>36170</f>
        <v>36170.0</v>
      </c>
      <c r="P207" s="34" t="s">
        <v>241</v>
      </c>
      <c r="Q207" s="33" t="n">
        <f>37310</f>
        <v>37310.0</v>
      </c>
      <c r="R207" s="34" t="s">
        <v>50</v>
      </c>
      <c r="S207" s="35" t="n">
        <f>36953.85</f>
        <v>36953.85</v>
      </c>
      <c r="T207" s="32" t="n">
        <f>20084</f>
        <v>20084.0</v>
      </c>
      <c r="U207" s="32" t="n">
        <f>16597</f>
        <v>16597.0</v>
      </c>
      <c r="V207" s="32" t="n">
        <f>728435031</f>
        <v>7.28435031E8</v>
      </c>
      <c r="W207" s="32" t="n">
        <f>599741721</f>
        <v>5.99741721E8</v>
      </c>
      <c r="X207" s="36" t="n">
        <f>13</f>
        <v>13.0</v>
      </c>
    </row>
    <row r="208">
      <c r="A208" s="27" t="s">
        <v>42</v>
      </c>
      <c r="B208" s="27" t="s">
        <v>672</v>
      </c>
      <c r="C208" s="27" t="s">
        <v>673</v>
      </c>
      <c r="D208" s="27" t="s">
        <v>674</v>
      </c>
      <c r="E208" s="28" t="s">
        <v>46</v>
      </c>
      <c r="F208" s="29" t="s">
        <v>46</v>
      </c>
      <c r="G208" s="30" t="s">
        <v>46</v>
      </c>
      <c r="H208" s="31"/>
      <c r="I208" s="31" t="s">
        <v>47</v>
      </c>
      <c r="J208" s="32" t="n">
        <v>1.0</v>
      </c>
      <c r="K208" s="33" t="n">
        <f>26790</f>
        <v>26790.0</v>
      </c>
      <c r="L208" s="34" t="s">
        <v>48</v>
      </c>
      <c r="M208" s="33" t="n">
        <f>29690</f>
        <v>29690.0</v>
      </c>
      <c r="N208" s="34" t="s">
        <v>68</v>
      </c>
      <c r="O208" s="33" t="n">
        <f>26740</f>
        <v>26740.0</v>
      </c>
      <c r="P208" s="34" t="s">
        <v>48</v>
      </c>
      <c r="Q208" s="33" t="n">
        <f>27715</f>
        <v>27715.0</v>
      </c>
      <c r="R208" s="34" t="s">
        <v>50</v>
      </c>
      <c r="S208" s="35" t="n">
        <f>28395.91</f>
        <v>28395.91</v>
      </c>
      <c r="T208" s="32" t="n">
        <f>31817</f>
        <v>31817.0</v>
      </c>
      <c r="U208" s="32" t="n">
        <f>17910</f>
        <v>17910.0</v>
      </c>
      <c r="V208" s="32" t="n">
        <f>907159272</f>
        <v>9.07159272E8</v>
      </c>
      <c r="W208" s="32" t="n">
        <f>509453367</f>
        <v>5.09453367E8</v>
      </c>
      <c r="X208" s="36" t="n">
        <f>22</f>
        <v>22.0</v>
      </c>
    </row>
    <row r="209">
      <c r="A209" s="27" t="s">
        <v>42</v>
      </c>
      <c r="B209" s="27" t="s">
        <v>675</v>
      </c>
      <c r="C209" s="27" t="s">
        <v>676</v>
      </c>
      <c r="D209" s="27" t="s">
        <v>677</v>
      </c>
      <c r="E209" s="28" t="s">
        <v>46</v>
      </c>
      <c r="F209" s="29" t="s">
        <v>46</v>
      </c>
      <c r="G209" s="30" t="s">
        <v>46</v>
      </c>
      <c r="H209" s="31"/>
      <c r="I209" s="31" t="s">
        <v>47</v>
      </c>
      <c r="J209" s="32" t="n">
        <v>10.0</v>
      </c>
      <c r="K209" s="33" t="n">
        <f>205.8</f>
        <v>205.8</v>
      </c>
      <c r="L209" s="34" t="s">
        <v>48</v>
      </c>
      <c r="M209" s="33" t="n">
        <f>208.9</f>
        <v>208.9</v>
      </c>
      <c r="N209" s="34" t="s">
        <v>205</v>
      </c>
      <c r="O209" s="33" t="n">
        <f>195</f>
        <v>195.0</v>
      </c>
      <c r="P209" s="34" t="s">
        <v>72</v>
      </c>
      <c r="Q209" s="33" t="n">
        <f>205.1</f>
        <v>205.1</v>
      </c>
      <c r="R209" s="34" t="s">
        <v>50</v>
      </c>
      <c r="S209" s="35" t="n">
        <f>201.55</f>
        <v>201.55</v>
      </c>
      <c r="T209" s="32" t="n">
        <f>577880</f>
        <v>577880.0</v>
      </c>
      <c r="U209" s="32" t="n">
        <f>500000</f>
        <v>500000.0</v>
      </c>
      <c r="V209" s="32" t="n">
        <f>117338834</f>
        <v>1.17338834E8</v>
      </c>
      <c r="W209" s="32" t="n">
        <f>101600000</f>
        <v>1.016E8</v>
      </c>
      <c r="X209" s="36" t="n">
        <f>22</f>
        <v>22.0</v>
      </c>
    </row>
    <row r="210">
      <c r="A210" s="27" t="s">
        <v>42</v>
      </c>
      <c r="B210" s="27" t="s">
        <v>678</v>
      </c>
      <c r="C210" s="27" t="s">
        <v>679</v>
      </c>
      <c r="D210" s="27" t="s">
        <v>680</v>
      </c>
      <c r="E210" s="28" t="s">
        <v>46</v>
      </c>
      <c r="F210" s="29" t="s">
        <v>46</v>
      </c>
      <c r="G210" s="30" t="s">
        <v>46</v>
      </c>
      <c r="H210" s="31"/>
      <c r="I210" s="31" t="s">
        <v>47</v>
      </c>
      <c r="J210" s="32" t="n">
        <v>10.0</v>
      </c>
      <c r="K210" s="33" t="n">
        <f>767.7</f>
        <v>767.7</v>
      </c>
      <c r="L210" s="34" t="s">
        <v>48</v>
      </c>
      <c r="M210" s="33" t="n">
        <f>785.2</f>
        <v>785.2</v>
      </c>
      <c r="N210" s="34" t="s">
        <v>154</v>
      </c>
      <c r="O210" s="33" t="n">
        <f>763.1</f>
        <v>763.1</v>
      </c>
      <c r="P210" s="34" t="s">
        <v>276</v>
      </c>
      <c r="Q210" s="33" t="n">
        <f>767.4</f>
        <v>767.4</v>
      </c>
      <c r="R210" s="34" t="s">
        <v>50</v>
      </c>
      <c r="S210" s="35" t="n">
        <f>768.8</f>
        <v>768.8</v>
      </c>
      <c r="T210" s="32" t="n">
        <f>13439600</f>
        <v>1.34396E7</v>
      </c>
      <c r="U210" s="32" t="n">
        <f>12950000</f>
        <v>1.295E7</v>
      </c>
      <c r="V210" s="32" t="n">
        <f>10363958064</f>
        <v>1.0363958064E10</v>
      </c>
      <c r="W210" s="32" t="n">
        <f>9987525000</f>
        <v>9.987525E9</v>
      </c>
      <c r="X210" s="36" t="n">
        <f>22</f>
        <v>22.0</v>
      </c>
    </row>
    <row r="211">
      <c r="A211" s="27" t="s">
        <v>42</v>
      </c>
      <c r="B211" s="27" t="s">
        <v>681</v>
      </c>
      <c r="C211" s="27" t="s">
        <v>682</v>
      </c>
      <c r="D211" s="27" t="s">
        <v>683</v>
      </c>
      <c r="E211" s="28" t="s">
        <v>46</v>
      </c>
      <c r="F211" s="29" t="s">
        <v>46</v>
      </c>
      <c r="G211" s="30" t="s">
        <v>46</v>
      </c>
      <c r="H211" s="31"/>
      <c r="I211" s="31" t="s">
        <v>47</v>
      </c>
      <c r="J211" s="32" t="n">
        <v>1.0</v>
      </c>
      <c r="K211" s="33" t="n">
        <f>1042</f>
        <v>1042.0</v>
      </c>
      <c r="L211" s="34" t="s">
        <v>48</v>
      </c>
      <c r="M211" s="33" t="n">
        <f>1049</f>
        <v>1049.0</v>
      </c>
      <c r="N211" s="34" t="s">
        <v>48</v>
      </c>
      <c r="O211" s="33" t="n">
        <f>972</f>
        <v>972.0</v>
      </c>
      <c r="P211" s="34" t="s">
        <v>72</v>
      </c>
      <c r="Q211" s="33" t="n">
        <f>1021</f>
        <v>1021.0</v>
      </c>
      <c r="R211" s="34" t="s">
        <v>50</v>
      </c>
      <c r="S211" s="35" t="n">
        <f>1009.91</f>
        <v>1009.91</v>
      </c>
      <c r="T211" s="32" t="n">
        <f>831873</f>
        <v>831873.0</v>
      </c>
      <c r="U211" s="32" t="str">
        <f>"－"</f>
        <v>－</v>
      </c>
      <c r="V211" s="32" t="n">
        <f>838802956</f>
        <v>8.38802956E8</v>
      </c>
      <c r="W211" s="32" t="str">
        <f>"－"</f>
        <v>－</v>
      </c>
      <c r="X211" s="36" t="n">
        <f>22</f>
        <v>22.0</v>
      </c>
    </row>
    <row r="212">
      <c r="A212" s="27" t="s">
        <v>42</v>
      </c>
      <c r="B212" s="27" t="s">
        <v>684</v>
      </c>
      <c r="C212" s="27" t="s">
        <v>685</v>
      </c>
      <c r="D212" s="27" t="s">
        <v>686</v>
      </c>
      <c r="E212" s="28" t="s">
        <v>46</v>
      </c>
      <c r="F212" s="29" t="s">
        <v>46</v>
      </c>
      <c r="G212" s="30" t="s">
        <v>46</v>
      </c>
      <c r="H212" s="31"/>
      <c r="I212" s="31" t="s">
        <v>47</v>
      </c>
      <c r="J212" s="32" t="n">
        <v>1.0</v>
      </c>
      <c r="K212" s="33" t="n">
        <f>1052</f>
        <v>1052.0</v>
      </c>
      <c r="L212" s="34" t="s">
        <v>48</v>
      </c>
      <c r="M212" s="33" t="n">
        <f>1062</f>
        <v>1062.0</v>
      </c>
      <c r="N212" s="34" t="s">
        <v>114</v>
      </c>
      <c r="O212" s="33" t="n">
        <f>1027</f>
        <v>1027.0</v>
      </c>
      <c r="P212" s="34" t="s">
        <v>213</v>
      </c>
      <c r="Q212" s="33" t="n">
        <f>1056</f>
        <v>1056.0</v>
      </c>
      <c r="R212" s="34" t="s">
        <v>50</v>
      </c>
      <c r="S212" s="35" t="n">
        <f>1042.95</f>
        <v>1042.95</v>
      </c>
      <c r="T212" s="32" t="n">
        <f>121271</f>
        <v>121271.0</v>
      </c>
      <c r="U212" s="32" t="str">
        <f>"－"</f>
        <v>－</v>
      </c>
      <c r="V212" s="32" t="n">
        <f>126166011</f>
        <v>1.26166011E8</v>
      </c>
      <c r="W212" s="32" t="str">
        <f>"－"</f>
        <v>－</v>
      </c>
      <c r="X212" s="36" t="n">
        <f>22</f>
        <v>22.0</v>
      </c>
    </row>
    <row r="213">
      <c r="A213" s="27" t="s">
        <v>42</v>
      </c>
      <c r="B213" s="27" t="s">
        <v>687</v>
      </c>
      <c r="C213" s="27" t="s">
        <v>688</v>
      </c>
      <c r="D213" s="27" t="s">
        <v>689</v>
      </c>
      <c r="E213" s="28" t="s">
        <v>46</v>
      </c>
      <c r="F213" s="29" t="s">
        <v>46</v>
      </c>
      <c r="G213" s="30" t="s">
        <v>46</v>
      </c>
      <c r="H213" s="31"/>
      <c r="I213" s="31" t="s">
        <v>47</v>
      </c>
      <c r="J213" s="32" t="n">
        <v>1.0</v>
      </c>
      <c r="K213" s="33" t="n">
        <f>1039</f>
        <v>1039.0</v>
      </c>
      <c r="L213" s="34" t="s">
        <v>48</v>
      </c>
      <c r="M213" s="33" t="n">
        <f>1039</f>
        <v>1039.0</v>
      </c>
      <c r="N213" s="34" t="s">
        <v>48</v>
      </c>
      <c r="O213" s="33" t="n">
        <f>897</f>
        <v>897.0</v>
      </c>
      <c r="P213" s="34" t="s">
        <v>80</v>
      </c>
      <c r="Q213" s="33" t="n">
        <f>921</f>
        <v>921.0</v>
      </c>
      <c r="R213" s="34" t="s">
        <v>50</v>
      </c>
      <c r="S213" s="35" t="n">
        <f>960.36</f>
        <v>960.36</v>
      </c>
      <c r="T213" s="32" t="n">
        <f>232862</f>
        <v>232862.0</v>
      </c>
      <c r="U213" s="32" t="str">
        <f>"－"</f>
        <v>－</v>
      </c>
      <c r="V213" s="32" t="n">
        <f>218897847</f>
        <v>2.18897847E8</v>
      </c>
      <c r="W213" s="32" t="str">
        <f>"－"</f>
        <v>－</v>
      </c>
      <c r="X213" s="36" t="n">
        <f>22</f>
        <v>22.0</v>
      </c>
    </row>
    <row r="214">
      <c r="A214" s="27" t="s">
        <v>42</v>
      </c>
      <c r="B214" s="27" t="s">
        <v>690</v>
      </c>
      <c r="C214" s="27" t="s">
        <v>691</v>
      </c>
      <c r="D214" s="27" t="s">
        <v>692</v>
      </c>
      <c r="E214" s="28" t="s">
        <v>46</v>
      </c>
      <c r="F214" s="29" t="s">
        <v>46</v>
      </c>
      <c r="G214" s="30" t="s">
        <v>46</v>
      </c>
      <c r="H214" s="31"/>
      <c r="I214" s="31" t="s">
        <v>47</v>
      </c>
      <c r="J214" s="32" t="n">
        <v>10.0</v>
      </c>
      <c r="K214" s="33" t="n">
        <f>939.4</f>
        <v>939.4</v>
      </c>
      <c r="L214" s="34" t="s">
        <v>48</v>
      </c>
      <c r="M214" s="33" t="n">
        <f>966.1</f>
        <v>966.1</v>
      </c>
      <c r="N214" s="34" t="s">
        <v>174</v>
      </c>
      <c r="O214" s="33" t="n">
        <f>932.2</f>
        <v>932.2</v>
      </c>
      <c r="P214" s="34" t="s">
        <v>372</v>
      </c>
      <c r="Q214" s="33" t="n">
        <f>935.7</f>
        <v>935.7</v>
      </c>
      <c r="R214" s="34" t="s">
        <v>50</v>
      </c>
      <c r="S214" s="35" t="n">
        <f>936.68</f>
        <v>936.68</v>
      </c>
      <c r="T214" s="32" t="n">
        <f>3838000</f>
        <v>3838000.0</v>
      </c>
      <c r="U214" s="32" t="n">
        <f>2048100</f>
        <v>2048100.0</v>
      </c>
      <c r="V214" s="32" t="n">
        <f>3598804824</f>
        <v>3.598804824E9</v>
      </c>
      <c r="W214" s="32" t="n">
        <f>1918630293</f>
        <v>1.918630293E9</v>
      </c>
      <c r="X214" s="36" t="n">
        <f>22</f>
        <v>22.0</v>
      </c>
    </row>
    <row r="215">
      <c r="A215" s="27" t="s">
        <v>42</v>
      </c>
      <c r="B215" s="27" t="s">
        <v>693</v>
      </c>
      <c r="C215" s="27" t="s">
        <v>694</v>
      </c>
      <c r="D215" s="27" t="s">
        <v>695</v>
      </c>
      <c r="E215" s="28" t="s">
        <v>46</v>
      </c>
      <c r="F215" s="29" t="s">
        <v>46</v>
      </c>
      <c r="G215" s="30" t="s">
        <v>46</v>
      </c>
      <c r="H215" s="31"/>
      <c r="I215" s="31" t="s">
        <v>47</v>
      </c>
      <c r="J215" s="32" t="n">
        <v>10.0</v>
      </c>
      <c r="K215" s="33" t="n">
        <f>1027</f>
        <v>1027.0</v>
      </c>
      <c r="L215" s="34" t="s">
        <v>48</v>
      </c>
      <c r="M215" s="33" t="n">
        <f>1055</f>
        <v>1055.0</v>
      </c>
      <c r="N215" s="34" t="s">
        <v>372</v>
      </c>
      <c r="O215" s="33" t="n">
        <f>1017</f>
        <v>1017.0</v>
      </c>
      <c r="P215" s="34" t="s">
        <v>154</v>
      </c>
      <c r="Q215" s="33" t="n">
        <f>1043.5</f>
        <v>1043.5</v>
      </c>
      <c r="R215" s="34" t="s">
        <v>50</v>
      </c>
      <c r="S215" s="35" t="n">
        <f>1036</f>
        <v>1036.0</v>
      </c>
      <c r="T215" s="32" t="n">
        <f>1291580</f>
        <v>1291580.0</v>
      </c>
      <c r="U215" s="32" t="n">
        <f>168560</f>
        <v>168560.0</v>
      </c>
      <c r="V215" s="32" t="n">
        <f>1340174868</f>
        <v>1.340174868E9</v>
      </c>
      <c r="W215" s="32" t="n">
        <f>175235008</f>
        <v>1.75235008E8</v>
      </c>
      <c r="X215" s="36" t="n">
        <f>22</f>
        <v>22.0</v>
      </c>
    </row>
    <row r="216">
      <c r="A216" s="27" t="s">
        <v>42</v>
      </c>
      <c r="B216" s="27" t="s">
        <v>696</v>
      </c>
      <c r="C216" s="27" t="s">
        <v>697</v>
      </c>
      <c r="D216" s="27" t="s">
        <v>698</v>
      </c>
      <c r="E216" s="28" t="s">
        <v>46</v>
      </c>
      <c r="F216" s="29" t="s">
        <v>46</v>
      </c>
      <c r="G216" s="30" t="s">
        <v>46</v>
      </c>
      <c r="H216" s="31"/>
      <c r="I216" s="31" t="s">
        <v>47</v>
      </c>
      <c r="J216" s="32" t="n">
        <v>10.0</v>
      </c>
      <c r="K216" s="33" t="n">
        <f>814.9</f>
        <v>814.9</v>
      </c>
      <c r="L216" s="34" t="s">
        <v>48</v>
      </c>
      <c r="M216" s="33" t="n">
        <f>815</f>
        <v>815.0</v>
      </c>
      <c r="N216" s="34" t="s">
        <v>48</v>
      </c>
      <c r="O216" s="33" t="n">
        <f>796</f>
        <v>796.0</v>
      </c>
      <c r="P216" s="34" t="s">
        <v>60</v>
      </c>
      <c r="Q216" s="33" t="n">
        <f>808.2</f>
        <v>808.2</v>
      </c>
      <c r="R216" s="34" t="s">
        <v>50</v>
      </c>
      <c r="S216" s="35" t="n">
        <f>805.49</f>
        <v>805.49</v>
      </c>
      <c r="T216" s="32" t="n">
        <f>4752650</f>
        <v>4752650.0</v>
      </c>
      <c r="U216" s="32" t="n">
        <f>4196570</f>
        <v>4196570.0</v>
      </c>
      <c r="V216" s="32" t="n">
        <f>3829602300</f>
        <v>3.8296023E9</v>
      </c>
      <c r="W216" s="32" t="n">
        <f>3380748822</f>
        <v>3.380748822E9</v>
      </c>
      <c r="X216" s="36" t="n">
        <f>22</f>
        <v>22.0</v>
      </c>
    </row>
    <row r="217">
      <c r="A217" s="27" t="s">
        <v>42</v>
      </c>
      <c r="B217" s="27" t="s">
        <v>699</v>
      </c>
      <c r="C217" s="27" t="s">
        <v>700</v>
      </c>
      <c r="D217" s="27" t="s">
        <v>701</v>
      </c>
      <c r="E217" s="28" t="s">
        <v>46</v>
      </c>
      <c r="F217" s="29" t="s">
        <v>46</v>
      </c>
      <c r="G217" s="30" t="s">
        <v>46</v>
      </c>
      <c r="H217" s="31"/>
      <c r="I217" s="31" t="s">
        <v>47</v>
      </c>
      <c r="J217" s="32" t="n">
        <v>10.0</v>
      </c>
      <c r="K217" s="33" t="n">
        <f>1990</f>
        <v>1990.0</v>
      </c>
      <c r="L217" s="34" t="s">
        <v>48</v>
      </c>
      <c r="M217" s="33" t="n">
        <f>2019</f>
        <v>2019.0</v>
      </c>
      <c r="N217" s="34" t="s">
        <v>67</v>
      </c>
      <c r="O217" s="33" t="n">
        <f>1930</f>
        <v>1930.0</v>
      </c>
      <c r="P217" s="34" t="s">
        <v>68</v>
      </c>
      <c r="Q217" s="33" t="n">
        <f>2010.5</f>
        <v>2010.5</v>
      </c>
      <c r="R217" s="34" t="s">
        <v>50</v>
      </c>
      <c r="S217" s="35" t="n">
        <f>1969.93</f>
        <v>1969.93</v>
      </c>
      <c r="T217" s="32" t="n">
        <f>626950</f>
        <v>626950.0</v>
      </c>
      <c r="U217" s="32" t="n">
        <f>154870</f>
        <v>154870.0</v>
      </c>
      <c r="V217" s="32" t="n">
        <f>1234351528</f>
        <v>1.234351528E9</v>
      </c>
      <c r="W217" s="32" t="n">
        <f>306431843</f>
        <v>3.06431843E8</v>
      </c>
      <c r="X217" s="36" t="n">
        <f>22</f>
        <v>22.0</v>
      </c>
    </row>
    <row r="218">
      <c r="A218" s="27" t="s">
        <v>42</v>
      </c>
      <c r="B218" s="27" t="s">
        <v>702</v>
      </c>
      <c r="C218" s="27" t="s">
        <v>703</v>
      </c>
      <c r="D218" s="27" t="s">
        <v>704</v>
      </c>
      <c r="E218" s="28" t="s">
        <v>46</v>
      </c>
      <c r="F218" s="29" t="s">
        <v>46</v>
      </c>
      <c r="G218" s="30" t="s">
        <v>46</v>
      </c>
      <c r="H218" s="31"/>
      <c r="I218" s="31" t="s">
        <v>47</v>
      </c>
      <c r="J218" s="32" t="n">
        <v>10.0</v>
      </c>
      <c r="K218" s="33" t="n">
        <f>1467</f>
        <v>1467.0</v>
      </c>
      <c r="L218" s="34" t="s">
        <v>48</v>
      </c>
      <c r="M218" s="33" t="n">
        <f>1467</f>
        <v>1467.0</v>
      </c>
      <c r="N218" s="34" t="s">
        <v>48</v>
      </c>
      <c r="O218" s="33" t="n">
        <f>1382.5</f>
        <v>1382.5</v>
      </c>
      <c r="P218" s="34" t="s">
        <v>72</v>
      </c>
      <c r="Q218" s="33" t="n">
        <f>1428</f>
        <v>1428.0</v>
      </c>
      <c r="R218" s="34" t="s">
        <v>50</v>
      </c>
      <c r="S218" s="35" t="n">
        <f>1414.41</f>
        <v>1414.41</v>
      </c>
      <c r="T218" s="32" t="n">
        <f>822430</f>
        <v>822430.0</v>
      </c>
      <c r="U218" s="32" t="n">
        <f>724210</f>
        <v>724210.0</v>
      </c>
      <c r="V218" s="32" t="n">
        <f>1144643734</f>
        <v>1.144643734E9</v>
      </c>
      <c r="W218" s="32" t="n">
        <f>1006350479</f>
        <v>1.006350479E9</v>
      </c>
      <c r="X218" s="36" t="n">
        <f>22</f>
        <v>22.0</v>
      </c>
    </row>
    <row r="219">
      <c r="A219" s="27" t="s">
        <v>42</v>
      </c>
      <c r="B219" s="27" t="s">
        <v>705</v>
      </c>
      <c r="C219" s="27" t="s">
        <v>706</v>
      </c>
      <c r="D219" s="27" t="s">
        <v>707</v>
      </c>
      <c r="E219" s="28" t="s">
        <v>46</v>
      </c>
      <c r="F219" s="29" t="s">
        <v>46</v>
      </c>
      <c r="G219" s="30" t="s">
        <v>46</v>
      </c>
      <c r="H219" s="31"/>
      <c r="I219" s="31" t="s">
        <v>47</v>
      </c>
      <c r="J219" s="32" t="n">
        <v>10.0</v>
      </c>
      <c r="K219" s="33" t="n">
        <f>1251.5</f>
        <v>1251.5</v>
      </c>
      <c r="L219" s="34" t="s">
        <v>48</v>
      </c>
      <c r="M219" s="33" t="n">
        <f>1262</f>
        <v>1262.0</v>
      </c>
      <c r="N219" s="34" t="s">
        <v>48</v>
      </c>
      <c r="O219" s="33" t="n">
        <f>1206</f>
        <v>1206.0</v>
      </c>
      <c r="P219" s="34" t="s">
        <v>60</v>
      </c>
      <c r="Q219" s="33" t="n">
        <f>1260</f>
        <v>1260.0</v>
      </c>
      <c r="R219" s="34" t="s">
        <v>50</v>
      </c>
      <c r="S219" s="35" t="n">
        <f>1234.68</f>
        <v>1234.68</v>
      </c>
      <c r="T219" s="32" t="n">
        <f>719260</f>
        <v>719260.0</v>
      </c>
      <c r="U219" s="32" t="n">
        <f>149380</f>
        <v>149380.0</v>
      </c>
      <c r="V219" s="32" t="n">
        <f>888231663</f>
        <v>8.88231663E8</v>
      </c>
      <c r="W219" s="32" t="n">
        <f>187110373</f>
        <v>1.87110373E8</v>
      </c>
      <c r="X219" s="36" t="n">
        <f>22</f>
        <v>22.0</v>
      </c>
    </row>
    <row r="220">
      <c r="A220" s="27" t="s">
        <v>42</v>
      </c>
      <c r="B220" s="27" t="s">
        <v>708</v>
      </c>
      <c r="C220" s="27" t="s">
        <v>709</v>
      </c>
      <c r="D220" s="27" t="s">
        <v>710</v>
      </c>
      <c r="E220" s="28" t="s">
        <v>46</v>
      </c>
      <c r="F220" s="29" t="s">
        <v>46</v>
      </c>
      <c r="G220" s="30" t="s">
        <v>46</v>
      </c>
      <c r="H220" s="31"/>
      <c r="I220" s="31" t="s">
        <v>47</v>
      </c>
      <c r="J220" s="32" t="n">
        <v>10.0</v>
      </c>
      <c r="K220" s="33" t="n">
        <f>609.8</f>
        <v>609.8</v>
      </c>
      <c r="L220" s="34" t="s">
        <v>48</v>
      </c>
      <c r="M220" s="33" t="n">
        <f>612.1</f>
        <v>612.1</v>
      </c>
      <c r="N220" s="34" t="s">
        <v>48</v>
      </c>
      <c r="O220" s="33" t="n">
        <f>549.5</f>
        <v>549.5</v>
      </c>
      <c r="P220" s="34" t="s">
        <v>72</v>
      </c>
      <c r="Q220" s="33" t="n">
        <f>590.1</f>
        <v>590.1</v>
      </c>
      <c r="R220" s="34" t="s">
        <v>50</v>
      </c>
      <c r="S220" s="35" t="n">
        <f>583.62</f>
        <v>583.62</v>
      </c>
      <c r="T220" s="32" t="n">
        <f>31380170</f>
        <v>3.138017E7</v>
      </c>
      <c r="U220" s="32" t="n">
        <f>720660</f>
        <v>720660.0</v>
      </c>
      <c r="V220" s="32" t="n">
        <f>18220286765</f>
        <v>1.8220286765E10</v>
      </c>
      <c r="W220" s="32" t="n">
        <f>423453652</f>
        <v>4.23453652E8</v>
      </c>
      <c r="X220" s="36" t="n">
        <f>22</f>
        <v>22.0</v>
      </c>
    </row>
    <row r="221">
      <c r="A221" s="27" t="s">
        <v>42</v>
      </c>
      <c r="B221" s="27" t="s">
        <v>711</v>
      </c>
      <c r="C221" s="27" t="s">
        <v>712</v>
      </c>
      <c r="D221" s="27" t="s">
        <v>713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10.0</v>
      </c>
      <c r="K221" s="33" t="n">
        <f>1140</f>
        <v>1140.0</v>
      </c>
      <c r="L221" s="34" t="s">
        <v>48</v>
      </c>
      <c r="M221" s="33" t="n">
        <f>1151</f>
        <v>1151.0</v>
      </c>
      <c r="N221" s="34" t="s">
        <v>50</v>
      </c>
      <c r="O221" s="33" t="n">
        <f>1109</f>
        <v>1109.0</v>
      </c>
      <c r="P221" s="34" t="s">
        <v>60</v>
      </c>
      <c r="Q221" s="33" t="n">
        <f>1143</f>
        <v>1143.0</v>
      </c>
      <c r="R221" s="34" t="s">
        <v>50</v>
      </c>
      <c r="S221" s="35" t="n">
        <f>1127.59</f>
        <v>1127.59</v>
      </c>
      <c r="T221" s="32" t="n">
        <f>513540</f>
        <v>513540.0</v>
      </c>
      <c r="U221" s="32" t="n">
        <f>441020</f>
        <v>441020.0</v>
      </c>
      <c r="V221" s="32" t="n">
        <f>580669530</f>
        <v>5.8066953E8</v>
      </c>
      <c r="W221" s="32" t="n">
        <f>499146230</f>
        <v>4.9914623E8</v>
      </c>
      <c r="X221" s="36" t="n">
        <f>22</f>
        <v>22.0</v>
      </c>
    </row>
    <row r="222">
      <c r="A222" s="27" t="s">
        <v>42</v>
      </c>
      <c r="B222" s="27" t="s">
        <v>714</v>
      </c>
      <c r="C222" s="27" t="s">
        <v>715</v>
      </c>
      <c r="D222" s="27" t="s">
        <v>716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1.0</v>
      </c>
      <c r="K222" s="33" t="n">
        <f>1279</f>
        <v>1279.0</v>
      </c>
      <c r="L222" s="34" t="s">
        <v>48</v>
      </c>
      <c r="M222" s="33" t="n">
        <f>1282</f>
        <v>1282.0</v>
      </c>
      <c r="N222" s="34" t="s">
        <v>48</v>
      </c>
      <c r="O222" s="33" t="n">
        <f>1224</f>
        <v>1224.0</v>
      </c>
      <c r="P222" s="34" t="s">
        <v>72</v>
      </c>
      <c r="Q222" s="33" t="n">
        <f>1280</f>
        <v>1280.0</v>
      </c>
      <c r="R222" s="34" t="s">
        <v>50</v>
      </c>
      <c r="S222" s="35" t="n">
        <f>1252.05</f>
        <v>1252.05</v>
      </c>
      <c r="T222" s="32" t="n">
        <f>35185</f>
        <v>35185.0</v>
      </c>
      <c r="U222" s="32" t="n">
        <f>2</f>
        <v>2.0</v>
      </c>
      <c r="V222" s="32" t="n">
        <f>43938000</f>
        <v>4.3938E7</v>
      </c>
      <c r="W222" s="32" t="n">
        <f>2509</f>
        <v>2509.0</v>
      </c>
      <c r="X222" s="36" t="n">
        <f>22</f>
        <v>22.0</v>
      </c>
    </row>
    <row r="223">
      <c r="A223" s="27" t="s">
        <v>42</v>
      </c>
      <c r="B223" s="27" t="s">
        <v>717</v>
      </c>
      <c r="C223" s="27" t="s">
        <v>718</v>
      </c>
      <c r="D223" s="27" t="s">
        <v>719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10.0</v>
      </c>
      <c r="K223" s="33" t="n">
        <f>969.6</f>
        <v>969.6</v>
      </c>
      <c r="L223" s="34" t="s">
        <v>48</v>
      </c>
      <c r="M223" s="33" t="n">
        <f>986</f>
        <v>986.0</v>
      </c>
      <c r="N223" s="34" t="s">
        <v>50</v>
      </c>
      <c r="O223" s="33" t="n">
        <f>955</f>
        <v>955.0</v>
      </c>
      <c r="P223" s="34" t="s">
        <v>154</v>
      </c>
      <c r="Q223" s="33" t="n">
        <f>986</f>
        <v>986.0</v>
      </c>
      <c r="R223" s="34" t="s">
        <v>50</v>
      </c>
      <c r="S223" s="35" t="n">
        <f>970.79</f>
        <v>970.79</v>
      </c>
      <c r="T223" s="32" t="n">
        <f>81900</f>
        <v>81900.0</v>
      </c>
      <c r="U223" s="32" t="str">
        <f>"－"</f>
        <v>－</v>
      </c>
      <c r="V223" s="32" t="n">
        <f>79603546</f>
        <v>7.9603546E7</v>
      </c>
      <c r="W223" s="32" t="str">
        <f>"－"</f>
        <v>－</v>
      </c>
      <c r="X223" s="36" t="n">
        <f>22</f>
        <v>22.0</v>
      </c>
    </row>
    <row r="224">
      <c r="A224" s="27" t="s">
        <v>42</v>
      </c>
      <c r="B224" s="27" t="s">
        <v>720</v>
      </c>
      <c r="C224" s="27" t="s">
        <v>721</v>
      </c>
      <c r="D224" s="27" t="s">
        <v>722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10.0</v>
      </c>
      <c r="K224" s="33" t="n">
        <f>1309.5</f>
        <v>1309.5</v>
      </c>
      <c r="L224" s="34" t="s">
        <v>48</v>
      </c>
      <c r="M224" s="33" t="n">
        <f>1320</f>
        <v>1320.0</v>
      </c>
      <c r="N224" s="34" t="s">
        <v>48</v>
      </c>
      <c r="O224" s="33" t="n">
        <f>1205</f>
        <v>1205.0</v>
      </c>
      <c r="P224" s="34" t="s">
        <v>68</v>
      </c>
      <c r="Q224" s="33" t="n">
        <f>1269</f>
        <v>1269.0</v>
      </c>
      <c r="R224" s="34" t="s">
        <v>50</v>
      </c>
      <c r="S224" s="35" t="n">
        <f>1263.39</f>
        <v>1263.39</v>
      </c>
      <c r="T224" s="32" t="n">
        <f>153840</f>
        <v>153840.0</v>
      </c>
      <c r="U224" s="32" t="str">
        <f>"－"</f>
        <v>－</v>
      </c>
      <c r="V224" s="32" t="n">
        <f>194741025</f>
        <v>1.94741025E8</v>
      </c>
      <c r="W224" s="32" t="str">
        <f>"－"</f>
        <v>－</v>
      </c>
      <c r="X224" s="36" t="n">
        <f>22</f>
        <v>22.0</v>
      </c>
    </row>
    <row r="225">
      <c r="A225" s="27" t="s">
        <v>42</v>
      </c>
      <c r="B225" s="27" t="s">
        <v>723</v>
      </c>
      <c r="C225" s="27" t="s">
        <v>724</v>
      </c>
      <c r="D225" s="27" t="s">
        <v>725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10.0</v>
      </c>
      <c r="K225" s="33" t="n">
        <f>1504</f>
        <v>1504.0</v>
      </c>
      <c r="L225" s="34" t="s">
        <v>48</v>
      </c>
      <c r="M225" s="33" t="n">
        <f>1505.5</f>
        <v>1505.5</v>
      </c>
      <c r="N225" s="34" t="s">
        <v>48</v>
      </c>
      <c r="O225" s="33" t="n">
        <f>1425.5</f>
        <v>1425.5</v>
      </c>
      <c r="P225" s="34" t="s">
        <v>72</v>
      </c>
      <c r="Q225" s="33" t="n">
        <f>1475.5</f>
        <v>1475.5</v>
      </c>
      <c r="R225" s="34" t="s">
        <v>50</v>
      </c>
      <c r="S225" s="35" t="n">
        <f>1459.68</f>
        <v>1459.68</v>
      </c>
      <c r="T225" s="32" t="n">
        <f>3252460</f>
        <v>3252460.0</v>
      </c>
      <c r="U225" s="32" t="n">
        <f>602150</f>
        <v>602150.0</v>
      </c>
      <c r="V225" s="32" t="n">
        <f>4734489352</f>
        <v>4.734489352E9</v>
      </c>
      <c r="W225" s="32" t="n">
        <f>887448022</f>
        <v>8.87448022E8</v>
      </c>
      <c r="X225" s="36" t="n">
        <f>22</f>
        <v>22.0</v>
      </c>
    </row>
    <row r="226">
      <c r="A226" s="27" t="s">
        <v>42</v>
      </c>
      <c r="B226" s="27" t="s">
        <v>726</v>
      </c>
      <c r="C226" s="27" t="s">
        <v>727</v>
      </c>
      <c r="D226" s="27" t="s">
        <v>728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1.0</v>
      </c>
      <c r="K226" s="33" t="n">
        <f>4510</f>
        <v>4510.0</v>
      </c>
      <c r="L226" s="34" t="s">
        <v>48</v>
      </c>
      <c r="M226" s="33" t="n">
        <f>4560</f>
        <v>4560.0</v>
      </c>
      <c r="N226" s="34" t="s">
        <v>48</v>
      </c>
      <c r="O226" s="33" t="n">
        <f>4165</f>
        <v>4165.0</v>
      </c>
      <c r="P226" s="34" t="s">
        <v>68</v>
      </c>
      <c r="Q226" s="33" t="n">
        <f>4445</f>
        <v>4445.0</v>
      </c>
      <c r="R226" s="34" t="s">
        <v>50</v>
      </c>
      <c r="S226" s="35" t="n">
        <f>4343.41</f>
        <v>4343.41</v>
      </c>
      <c r="T226" s="32" t="n">
        <f>36324</f>
        <v>36324.0</v>
      </c>
      <c r="U226" s="32" t="str">
        <f>"－"</f>
        <v>－</v>
      </c>
      <c r="V226" s="32" t="n">
        <f>158661885</f>
        <v>1.58661885E8</v>
      </c>
      <c r="W226" s="32" t="str">
        <f>"－"</f>
        <v>－</v>
      </c>
      <c r="X226" s="36" t="n">
        <f>22</f>
        <v>22.0</v>
      </c>
    </row>
    <row r="227">
      <c r="A227" s="27" t="s">
        <v>42</v>
      </c>
      <c r="B227" s="27" t="s">
        <v>729</v>
      </c>
      <c r="C227" s="27" t="s">
        <v>730</v>
      </c>
      <c r="D227" s="27" t="s">
        <v>731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10.0</v>
      </c>
      <c r="K227" s="33" t="n">
        <f>1854</f>
        <v>1854.0</v>
      </c>
      <c r="L227" s="34" t="s">
        <v>48</v>
      </c>
      <c r="M227" s="33" t="n">
        <f>1913</f>
        <v>1913.0</v>
      </c>
      <c r="N227" s="34" t="s">
        <v>114</v>
      </c>
      <c r="O227" s="33" t="n">
        <f>1805</f>
        <v>1805.0</v>
      </c>
      <c r="P227" s="34" t="s">
        <v>174</v>
      </c>
      <c r="Q227" s="33" t="n">
        <f>1836.5</f>
        <v>1836.5</v>
      </c>
      <c r="R227" s="34" t="s">
        <v>50</v>
      </c>
      <c r="S227" s="35" t="n">
        <f>1858.7</f>
        <v>1858.7</v>
      </c>
      <c r="T227" s="32" t="n">
        <f>950</f>
        <v>950.0</v>
      </c>
      <c r="U227" s="32" t="str">
        <f>"－"</f>
        <v>－</v>
      </c>
      <c r="V227" s="32" t="n">
        <f>1757735</f>
        <v>1757735.0</v>
      </c>
      <c r="W227" s="32" t="str">
        <f>"－"</f>
        <v>－</v>
      </c>
      <c r="X227" s="36" t="n">
        <f>10</f>
        <v>10.0</v>
      </c>
    </row>
    <row r="228">
      <c r="A228" s="27" t="s">
        <v>42</v>
      </c>
      <c r="B228" s="27" t="s">
        <v>732</v>
      </c>
      <c r="C228" s="27" t="s">
        <v>733</v>
      </c>
      <c r="D228" s="27" t="s">
        <v>734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10.0</v>
      </c>
      <c r="K228" s="33" t="n">
        <f>2395</f>
        <v>2395.0</v>
      </c>
      <c r="L228" s="34" t="s">
        <v>48</v>
      </c>
      <c r="M228" s="33" t="n">
        <f>2406.5</f>
        <v>2406.5</v>
      </c>
      <c r="N228" s="34" t="s">
        <v>48</v>
      </c>
      <c r="O228" s="33" t="n">
        <f>2278</f>
        <v>2278.0</v>
      </c>
      <c r="P228" s="34" t="s">
        <v>49</v>
      </c>
      <c r="Q228" s="33" t="n">
        <f>2372</f>
        <v>2372.0</v>
      </c>
      <c r="R228" s="34" t="s">
        <v>50</v>
      </c>
      <c r="S228" s="35" t="n">
        <f>2336.2</f>
        <v>2336.2</v>
      </c>
      <c r="T228" s="32" t="n">
        <f>9667560</f>
        <v>9667560.0</v>
      </c>
      <c r="U228" s="32" t="n">
        <f>7124900</f>
        <v>7124900.0</v>
      </c>
      <c r="V228" s="32" t="n">
        <f>22739995810</f>
        <v>2.273999581E10</v>
      </c>
      <c r="W228" s="32" t="n">
        <f>16777922790</f>
        <v>1.677792279E10</v>
      </c>
      <c r="X228" s="36" t="n">
        <f>22</f>
        <v>22.0</v>
      </c>
    </row>
    <row r="229">
      <c r="A229" s="27" t="s">
        <v>42</v>
      </c>
      <c r="B229" s="27" t="s">
        <v>735</v>
      </c>
      <c r="C229" s="27" t="s">
        <v>736</v>
      </c>
      <c r="D229" s="27" t="s">
        <v>737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1.0</v>
      </c>
      <c r="K229" s="33" t="n">
        <f>33950</f>
        <v>33950.0</v>
      </c>
      <c r="L229" s="34" t="s">
        <v>48</v>
      </c>
      <c r="M229" s="33" t="n">
        <f>34140</f>
        <v>34140.0</v>
      </c>
      <c r="N229" s="34" t="s">
        <v>48</v>
      </c>
      <c r="O229" s="33" t="n">
        <f>31570</f>
        <v>31570.0</v>
      </c>
      <c r="P229" s="34" t="s">
        <v>72</v>
      </c>
      <c r="Q229" s="33" t="n">
        <f>32990</f>
        <v>32990.0</v>
      </c>
      <c r="R229" s="34" t="s">
        <v>50</v>
      </c>
      <c r="S229" s="35" t="n">
        <f>32632.27</f>
        <v>32632.27</v>
      </c>
      <c r="T229" s="32" t="n">
        <f>457591</f>
        <v>457591.0</v>
      </c>
      <c r="U229" s="32" t="n">
        <f>341890</f>
        <v>341890.0</v>
      </c>
      <c r="V229" s="32" t="n">
        <f>15084416485</f>
        <v>1.5084416485E10</v>
      </c>
      <c r="W229" s="32" t="n">
        <f>11312538515</f>
        <v>1.1312538515E10</v>
      </c>
      <c r="X229" s="36" t="n">
        <f>22</f>
        <v>22.0</v>
      </c>
    </row>
    <row r="230">
      <c r="A230" s="27" t="s">
        <v>42</v>
      </c>
      <c r="B230" s="27" t="s">
        <v>738</v>
      </c>
      <c r="C230" s="27" t="s">
        <v>739</v>
      </c>
      <c r="D230" s="27" t="s">
        <v>740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1.0</v>
      </c>
      <c r="K230" s="33" t="n">
        <f>21470</f>
        <v>21470.0</v>
      </c>
      <c r="L230" s="34" t="s">
        <v>209</v>
      </c>
      <c r="M230" s="33" t="n">
        <f>21480</f>
        <v>21480.0</v>
      </c>
      <c r="N230" s="34" t="s">
        <v>209</v>
      </c>
      <c r="O230" s="33" t="n">
        <f>20385</f>
        <v>20385.0</v>
      </c>
      <c r="P230" s="34" t="s">
        <v>49</v>
      </c>
      <c r="Q230" s="33" t="n">
        <f>21350</f>
        <v>21350.0</v>
      </c>
      <c r="R230" s="34" t="s">
        <v>50</v>
      </c>
      <c r="S230" s="35" t="n">
        <f>21064.23</f>
        <v>21064.23</v>
      </c>
      <c r="T230" s="32" t="n">
        <f>34096</f>
        <v>34096.0</v>
      </c>
      <c r="U230" s="32" t="n">
        <f>28000</f>
        <v>28000.0</v>
      </c>
      <c r="V230" s="32" t="n">
        <f>716547615</f>
        <v>7.16547615E8</v>
      </c>
      <c r="W230" s="32" t="n">
        <f>588812000</f>
        <v>5.88812E8</v>
      </c>
      <c r="X230" s="36" t="n">
        <f>13</f>
        <v>13.0</v>
      </c>
    </row>
    <row r="231">
      <c r="A231" s="27" t="s">
        <v>42</v>
      </c>
      <c r="B231" s="27" t="s">
        <v>741</v>
      </c>
      <c r="C231" s="27" t="s">
        <v>742</v>
      </c>
      <c r="D231" s="27" t="s">
        <v>743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10.0</v>
      </c>
      <c r="K231" s="33" t="n">
        <f>1136</f>
        <v>1136.0</v>
      </c>
      <c r="L231" s="34" t="s">
        <v>48</v>
      </c>
      <c r="M231" s="33" t="n">
        <f>1153</f>
        <v>1153.0</v>
      </c>
      <c r="N231" s="34" t="s">
        <v>174</v>
      </c>
      <c r="O231" s="33" t="n">
        <f>1118.5</f>
        <v>1118.5</v>
      </c>
      <c r="P231" s="34" t="s">
        <v>68</v>
      </c>
      <c r="Q231" s="33" t="n">
        <f>1153</f>
        <v>1153.0</v>
      </c>
      <c r="R231" s="34" t="s">
        <v>174</v>
      </c>
      <c r="S231" s="35" t="n">
        <f>1130.97</f>
        <v>1130.97</v>
      </c>
      <c r="T231" s="32" t="n">
        <f>291920</f>
        <v>291920.0</v>
      </c>
      <c r="U231" s="32" t="str">
        <f>"－"</f>
        <v>－</v>
      </c>
      <c r="V231" s="32" t="n">
        <f>329499300</f>
        <v>3.294993E8</v>
      </c>
      <c r="W231" s="32" t="str">
        <f>"－"</f>
        <v>－</v>
      </c>
      <c r="X231" s="36" t="n">
        <f>16</f>
        <v>16.0</v>
      </c>
    </row>
    <row r="232">
      <c r="A232" s="27" t="s">
        <v>42</v>
      </c>
      <c r="B232" s="27" t="s">
        <v>744</v>
      </c>
      <c r="C232" s="27" t="s">
        <v>745</v>
      </c>
      <c r="D232" s="27" t="s">
        <v>746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10.0</v>
      </c>
      <c r="K232" s="33" t="n">
        <f>1133</f>
        <v>1133.0</v>
      </c>
      <c r="L232" s="34" t="s">
        <v>48</v>
      </c>
      <c r="M232" s="33" t="n">
        <f>1158</f>
        <v>1158.0</v>
      </c>
      <c r="N232" s="34" t="s">
        <v>50</v>
      </c>
      <c r="O232" s="33" t="n">
        <f>1116</f>
        <v>1116.0</v>
      </c>
      <c r="P232" s="34" t="s">
        <v>68</v>
      </c>
      <c r="Q232" s="33" t="n">
        <f>1158</f>
        <v>1158.0</v>
      </c>
      <c r="R232" s="34" t="s">
        <v>50</v>
      </c>
      <c r="S232" s="35" t="n">
        <f>1131.18</f>
        <v>1131.18</v>
      </c>
      <c r="T232" s="32" t="n">
        <f>274380</f>
        <v>274380.0</v>
      </c>
      <c r="U232" s="32" t="n">
        <f>261440</f>
        <v>261440.0</v>
      </c>
      <c r="V232" s="32" t="n">
        <f>313637033</f>
        <v>3.13637033E8</v>
      </c>
      <c r="W232" s="32" t="n">
        <f>298977663</f>
        <v>2.98977663E8</v>
      </c>
      <c r="X232" s="36" t="n">
        <f>22</f>
        <v>22.0</v>
      </c>
    </row>
    <row r="233">
      <c r="A233" s="27" t="s">
        <v>42</v>
      </c>
      <c r="B233" s="27" t="s">
        <v>747</v>
      </c>
      <c r="C233" s="27" t="s">
        <v>748</v>
      </c>
      <c r="D233" s="27" t="s">
        <v>749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1.0</v>
      </c>
      <c r="K233" s="33" t="n">
        <f>1468</f>
        <v>1468.0</v>
      </c>
      <c r="L233" s="34" t="s">
        <v>48</v>
      </c>
      <c r="M233" s="33" t="n">
        <f>1481</f>
        <v>1481.0</v>
      </c>
      <c r="N233" s="34" t="s">
        <v>48</v>
      </c>
      <c r="O233" s="33" t="n">
        <f>1418</f>
        <v>1418.0</v>
      </c>
      <c r="P233" s="34" t="s">
        <v>49</v>
      </c>
      <c r="Q233" s="33" t="n">
        <f>1479</f>
        <v>1479.0</v>
      </c>
      <c r="R233" s="34" t="s">
        <v>50</v>
      </c>
      <c r="S233" s="35" t="n">
        <f>1455.5</f>
        <v>1455.5</v>
      </c>
      <c r="T233" s="32" t="n">
        <f>322096</f>
        <v>322096.0</v>
      </c>
      <c r="U233" s="32" t="n">
        <f>27900</f>
        <v>27900.0</v>
      </c>
      <c r="V233" s="32" t="n">
        <f>467273884</f>
        <v>4.67273884E8</v>
      </c>
      <c r="W233" s="32" t="n">
        <f>40326640</f>
        <v>4.032664E7</v>
      </c>
      <c r="X233" s="36" t="n">
        <f>22</f>
        <v>22.0</v>
      </c>
    </row>
    <row r="234">
      <c r="A234" s="27" t="s">
        <v>42</v>
      </c>
      <c r="B234" s="27" t="s">
        <v>750</v>
      </c>
      <c r="C234" s="27" t="s">
        <v>751</v>
      </c>
      <c r="D234" s="27" t="s">
        <v>752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1.0</v>
      </c>
      <c r="K234" s="33" t="n">
        <f>14040</f>
        <v>14040.0</v>
      </c>
      <c r="L234" s="34" t="s">
        <v>48</v>
      </c>
      <c r="M234" s="33" t="n">
        <f>14060</f>
        <v>14060.0</v>
      </c>
      <c r="N234" s="34" t="s">
        <v>209</v>
      </c>
      <c r="O234" s="33" t="n">
        <f>12805</f>
        <v>12805.0</v>
      </c>
      <c r="P234" s="34" t="s">
        <v>241</v>
      </c>
      <c r="Q234" s="33" t="n">
        <f>13175</f>
        <v>13175.0</v>
      </c>
      <c r="R234" s="34" t="s">
        <v>50</v>
      </c>
      <c r="S234" s="35" t="n">
        <f>13335</f>
        <v>13335.0</v>
      </c>
      <c r="T234" s="32" t="n">
        <f>3194</f>
        <v>3194.0</v>
      </c>
      <c r="U234" s="32" t="str">
        <f>"－"</f>
        <v>－</v>
      </c>
      <c r="V234" s="32" t="n">
        <f>42733180</f>
        <v>4.273318E7</v>
      </c>
      <c r="W234" s="32" t="str">
        <f>"－"</f>
        <v>－</v>
      </c>
      <c r="X234" s="36" t="n">
        <f>22</f>
        <v>22.0</v>
      </c>
    </row>
    <row r="235">
      <c r="A235" s="27" t="s">
        <v>42</v>
      </c>
      <c r="B235" s="27" t="s">
        <v>753</v>
      </c>
      <c r="C235" s="27" t="s">
        <v>754</v>
      </c>
      <c r="D235" s="27" t="s">
        <v>755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1.0</v>
      </c>
      <c r="K235" s="33" t="n">
        <f>2021</f>
        <v>2021.0</v>
      </c>
      <c r="L235" s="34" t="s">
        <v>48</v>
      </c>
      <c r="M235" s="33" t="n">
        <f>2051</f>
        <v>2051.0</v>
      </c>
      <c r="N235" s="34" t="s">
        <v>50</v>
      </c>
      <c r="O235" s="33" t="n">
        <f>1975</f>
        <v>1975.0</v>
      </c>
      <c r="P235" s="34" t="s">
        <v>60</v>
      </c>
      <c r="Q235" s="33" t="n">
        <f>2035</f>
        <v>2035.0</v>
      </c>
      <c r="R235" s="34" t="s">
        <v>50</v>
      </c>
      <c r="S235" s="35" t="n">
        <f>2006.23</f>
        <v>2006.23</v>
      </c>
      <c r="T235" s="32" t="n">
        <f>132858</f>
        <v>132858.0</v>
      </c>
      <c r="U235" s="32" t="n">
        <f>100014</f>
        <v>100014.0</v>
      </c>
      <c r="V235" s="32" t="n">
        <f>264212859</f>
        <v>2.64212859E8</v>
      </c>
      <c r="W235" s="32" t="n">
        <f>198376534</f>
        <v>1.98376534E8</v>
      </c>
      <c r="X235" s="36" t="n">
        <f>22</f>
        <v>22.0</v>
      </c>
    </row>
    <row r="236">
      <c r="A236" s="27" t="s">
        <v>42</v>
      </c>
      <c r="B236" s="27" t="s">
        <v>756</v>
      </c>
      <c r="C236" s="27" t="s">
        <v>757</v>
      </c>
      <c r="D236" s="27" t="s">
        <v>758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10.0</v>
      </c>
      <c r="K236" s="33" t="n">
        <f>1645</f>
        <v>1645.0</v>
      </c>
      <c r="L236" s="34" t="s">
        <v>48</v>
      </c>
      <c r="M236" s="33" t="n">
        <f>1665</f>
        <v>1665.0</v>
      </c>
      <c r="N236" s="34" t="s">
        <v>154</v>
      </c>
      <c r="O236" s="33" t="n">
        <f>1513</f>
        <v>1513.0</v>
      </c>
      <c r="P236" s="34" t="s">
        <v>241</v>
      </c>
      <c r="Q236" s="33" t="n">
        <f>1525</f>
        <v>1525.0</v>
      </c>
      <c r="R236" s="34" t="s">
        <v>372</v>
      </c>
      <c r="S236" s="35" t="n">
        <f>1596.32</f>
        <v>1596.32</v>
      </c>
      <c r="T236" s="32" t="n">
        <f>1540</f>
        <v>1540.0</v>
      </c>
      <c r="U236" s="32" t="str">
        <f>"－"</f>
        <v>－</v>
      </c>
      <c r="V236" s="32" t="n">
        <f>2469435</f>
        <v>2469435.0</v>
      </c>
      <c r="W236" s="32" t="str">
        <f>"－"</f>
        <v>－</v>
      </c>
      <c r="X236" s="36" t="n">
        <f>17</f>
        <v>17.0</v>
      </c>
    </row>
    <row r="237">
      <c r="A237" s="27" t="s">
        <v>42</v>
      </c>
      <c r="B237" s="27" t="s">
        <v>759</v>
      </c>
      <c r="C237" s="27" t="s">
        <v>760</v>
      </c>
      <c r="D237" s="27" t="s">
        <v>761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10.0</v>
      </c>
      <c r="K237" s="33" t="n">
        <f>828.2</f>
        <v>828.2</v>
      </c>
      <c r="L237" s="34" t="s">
        <v>48</v>
      </c>
      <c r="M237" s="33" t="n">
        <f>845</f>
        <v>845.0</v>
      </c>
      <c r="N237" s="34" t="s">
        <v>114</v>
      </c>
      <c r="O237" s="33" t="n">
        <f>815</f>
        <v>815.0</v>
      </c>
      <c r="P237" s="34" t="s">
        <v>314</v>
      </c>
      <c r="Q237" s="33" t="n">
        <f>827</f>
        <v>827.0</v>
      </c>
      <c r="R237" s="34" t="s">
        <v>50</v>
      </c>
      <c r="S237" s="35" t="n">
        <f>825.09</f>
        <v>825.09</v>
      </c>
      <c r="T237" s="32" t="n">
        <f>695950</f>
        <v>695950.0</v>
      </c>
      <c r="U237" s="32" t="n">
        <f>274900</f>
        <v>274900.0</v>
      </c>
      <c r="V237" s="32" t="n">
        <f>572195159</f>
        <v>5.72195159E8</v>
      </c>
      <c r="W237" s="32" t="n">
        <f>226100336</f>
        <v>2.26100336E8</v>
      </c>
      <c r="X237" s="36" t="n">
        <f>22</f>
        <v>22.0</v>
      </c>
    </row>
    <row r="238">
      <c r="A238" s="27" t="s">
        <v>42</v>
      </c>
      <c r="B238" s="27" t="s">
        <v>762</v>
      </c>
      <c r="C238" s="27" t="s">
        <v>763</v>
      </c>
      <c r="D238" s="27" t="s">
        <v>764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10.0</v>
      </c>
      <c r="K238" s="33" t="n">
        <f>1928</f>
        <v>1928.0</v>
      </c>
      <c r="L238" s="34" t="s">
        <v>48</v>
      </c>
      <c r="M238" s="33" t="n">
        <f>1962</f>
        <v>1962.0</v>
      </c>
      <c r="N238" s="34" t="s">
        <v>50</v>
      </c>
      <c r="O238" s="33" t="n">
        <f>1890</f>
        <v>1890.0</v>
      </c>
      <c r="P238" s="34" t="s">
        <v>60</v>
      </c>
      <c r="Q238" s="33" t="n">
        <f>1956</f>
        <v>1956.0</v>
      </c>
      <c r="R238" s="34" t="s">
        <v>50</v>
      </c>
      <c r="S238" s="35" t="n">
        <f>1916.81</f>
        <v>1916.81</v>
      </c>
      <c r="T238" s="32" t="n">
        <f>48330</f>
        <v>48330.0</v>
      </c>
      <c r="U238" s="32" t="str">
        <f>"－"</f>
        <v>－</v>
      </c>
      <c r="V238" s="32" t="n">
        <f>92561380</f>
        <v>9.256138E7</v>
      </c>
      <c r="W238" s="32" t="str">
        <f>"－"</f>
        <v>－</v>
      </c>
      <c r="X238" s="36" t="n">
        <f>21</f>
        <v>21.0</v>
      </c>
    </row>
    <row r="239">
      <c r="A239" s="27" t="s">
        <v>42</v>
      </c>
      <c r="B239" s="27" t="s">
        <v>765</v>
      </c>
      <c r="C239" s="27" t="s">
        <v>766</v>
      </c>
      <c r="D239" s="27" t="s">
        <v>767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10.0</v>
      </c>
      <c r="K239" s="33" t="n">
        <f>1926</f>
        <v>1926.0</v>
      </c>
      <c r="L239" s="34" t="s">
        <v>48</v>
      </c>
      <c r="M239" s="33" t="n">
        <f>1962.5</f>
        <v>1962.5</v>
      </c>
      <c r="N239" s="34" t="s">
        <v>50</v>
      </c>
      <c r="O239" s="33" t="n">
        <f>1889.5</f>
        <v>1889.5</v>
      </c>
      <c r="P239" s="34" t="s">
        <v>60</v>
      </c>
      <c r="Q239" s="33" t="n">
        <f>1947.5</f>
        <v>1947.5</v>
      </c>
      <c r="R239" s="34" t="s">
        <v>50</v>
      </c>
      <c r="S239" s="35" t="n">
        <f>1918.77</f>
        <v>1918.77</v>
      </c>
      <c r="T239" s="32" t="n">
        <f>1882000</f>
        <v>1882000.0</v>
      </c>
      <c r="U239" s="32" t="n">
        <f>768200</f>
        <v>768200.0</v>
      </c>
      <c r="V239" s="32" t="n">
        <f>3623935135</f>
        <v>3.623935135E9</v>
      </c>
      <c r="W239" s="32" t="n">
        <f>1480247950</f>
        <v>1.48024795E9</v>
      </c>
      <c r="X239" s="36" t="n">
        <f>22</f>
        <v>22.0</v>
      </c>
    </row>
    <row r="240">
      <c r="A240" s="27" t="s">
        <v>42</v>
      </c>
      <c r="B240" s="27" t="s">
        <v>768</v>
      </c>
      <c r="C240" s="27" t="s">
        <v>769</v>
      </c>
      <c r="D240" s="27" t="s">
        <v>770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10.0</v>
      </c>
      <c r="K240" s="33" t="n">
        <f>2351.5</f>
        <v>2351.5</v>
      </c>
      <c r="L240" s="34" t="s">
        <v>48</v>
      </c>
      <c r="M240" s="33" t="n">
        <f>2361</f>
        <v>2361.0</v>
      </c>
      <c r="N240" s="34" t="s">
        <v>48</v>
      </c>
      <c r="O240" s="33" t="n">
        <f>2251</f>
        <v>2251.0</v>
      </c>
      <c r="P240" s="34" t="s">
        <v>49</v>
      </c>
      <c r="Q240" s="33" t="n">
        <f>2347.5</f>
        <v>2347.5</v>
      </c>
      <c r="R240" s="34" t="s">
        <v>50</v>
      </c>
      <c r="S240" s="35" t="n">
        <f>2306.48</f>
        <v>2306.48</v>
      </c>
      <c r="T240" s="32" t="n">
        <f>1226650</f>
        <v>1226650.0</v>
      </c>
      <c r="U240" s="32" t="n">
        <f>897500</f>
        <v>897500.0</v>
      </c>
      <c r="V240" s="32" t="n">
        <f>2843707405</f>
        <v>2.843707405E9</v>
      </c>
      <c r="W240" s="32" t="n">
        <f>2083224520</f>
        <v>2.08322452E9</v>
      </c>
      <c r="X240" s="36" t="n">
        <f>22</f>
        <v>22.0</v>
      </c>
    </row>
    <row r="241">
      <c r="A241" s="27" t="s">
        <v>42</v>
      </c>
      <c r="B241" s="27" t="s">
        <v>771</v>
      </c>
      <c r="C241" s="27" t="s">
        <v>772</v>
      </c>
      <c r="D241" s="27" t="s">
        <v>773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1.0</v>
      </c>
      <c r="K241" s="33" t="n">
        <f>18760</f>
        <v>18760.0</v>
      </c>
      <c r="L241" s="34" t="s">
        <v>48</v>
      </c>
      <c r="M241" s="33" t="n">
        <f>19000</f>
        <v>19000.0</v>
      </c>
      <c r="N241" s="34" t="s">
        <v>50</v>
      </c>
      <c r="O241" s="33" t="n">
        <f>18225</f>
        <v>18225.0</v>
      </c>
      <c r="P241" s="34" t="s">
        <v>68</v>
      </c>
      <c r="Q241" s="33" t="n">
        <f>18970</f>
        <v>18970.0</v>
      </c>
      <c r="R241" s="34" t="s">
        <v>50</v>
      </c>
      <c r="S241" s="35" t="n">
        <f>18577.73</f>
        <v>18577.73</v>
      </c>
      <c r="T241" s="32" t="n">
        <f>705553</f>
        <v>705553.0</v>
      </c>
      <c r="U241" s="32" t="n">
        <f>24895</f>
        <v>24895.0</v>
      </c>
      <c r="V241" s="32" t="n">
        <f>13123085347</f>
        <v>1.3123085347E10</v>
      </c>
      <c r="W241" s="32" t="n">
        <f>458824427</f>
        <v>4.58824427E8</v>
      </c>
      <c r="X241" s="36" t="n">
        <f>22</f>
        <v>22.0</v>
      </c>
    </row>
    <row r="242">
      <c r="A242" s="27" t="s">
        <v>42</v>
      </c>
      <c r="B242" s="27" t="s">
        <v>774</v>
      </c>
      <c r="C242" s="27" t="s">
        <v>775</v>
      </c>
      <c r="D242" s="27" t="s">
        <v>776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1.0</v>
      </c>
      <c r="K242" s="33" t="n">
        <f>16655</f>
        <v>16655.0</v>
      </c>
      <c r="L242" s="34" t="s">
        <v>48</v>
      </c>
      <c r="M242" s="33" t="n">
        <f>16680</f>
        <v>16680.0</v>
      </c>
      <c r="N242" s="34" t="s">
        <v>48</v>
      </c>
      <c r="O242" s="33" t="n">
        <f>16025</f>
        <v>16025.0</v>
      </c>
      <c r="P242" s="34" t="s">
        <v>68</v>
      </c>
      <c r="Q242" s="33" t="n">
        <f>16550</f>
        <v>16550.0</v>
      </c>
      <c r="R242" s="34" t="s">
        <v>50</v>
      </c>
      <c r="S242" s="35" t="n">
        <f>16330</f>
        <v>16330.0</v>
      </c>
      <c r="T242" s="32" t="n">
        <f>202360</f>
        <v>202360.0</v>
      </c>
      <c r="U242" s="32" t="str">
        <f>"－"</f>
        <v>－</v>
      </c>
      <c r="V242" s="32" t="n">
        <f>3306817715</f>
        <v>3.306817715E9</v>
      </c>
      <c r="W242" s="32" t="str">
        <f>"－"</f>
        <v>－</v>
      </c>
      <c r="X242" s="36" t="n">
        <f>22</f>
        <v>22.0</v>
      </c>
    </row>
    <row r="243">
      <c r="A243" s="27" t="s">
        <v>42</v>
      </c>
      <c r="B243" s="27" t="s">
        <v>777</v>
      </c>
      <c r="C243" s="27" t="s">
        <v>778</v>
      </c>
      <c r="D243" s="27" t="s">
        <v>779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1.0</v>
      </c>
      <c r="K243" s="33" t="n">
        <f>31020</f>
        <v>31020.0</v>
      </c>
      <c r="L243" s="34" t="s">
        <v>209</v>
      </c>
      <c r="M243" s="33" t="n">
        <f>31080</f>
        <v>31080.0</v>
      </c>
      <c r="N243" s="34" t="s">
        <v>213</v>
      </c>
      <c r="O243" s="33" t="n">
        <f>29980</f>
        <v>29980.0</v>
      </c>
      <c r="P243" s="34" t="s">
        <v>68</v>
      </c>
      <c r="Q243" s="33" t="n">
        <f>30880</f>
        <v>30880.0</v>
      </c>
      <c r="R243" s="34" t="s">
        <v>50</v>
      </c>
      <c r="S243" s="35" t="n">
        <f>30556.25</f>
        <v>30556.25</v>
      </c>
      <c r="T243" s="32" t="n">
        <f>44</f>
        <v>44.0</v>
      </c>
      <c r="U243" s="32" t="str">
        <f>"－"</f>
        <v>－</v>
      </c>
      <c r="V243" s="32" t="n">
        <f>1350330</f>
        <v>1350330.0</v>
      </c>
      <c r="W243" s="32" t="str">
        <f>"－"</f>
        <v>－</v>
      </c>
      <c r="X243" s="36" t="n">
        <f>8</f>
        <v>8.0</v>
      </c>
    </row>
    <row r="244">
      <c r="A244" s="27" t="s">
        <v>42</v>
      </c>
      <c r="B244" s="27" t="s">
        <v>780</v>
      </c>
      <c r="C244" s="27" t="s">
        <v>781</v>
      </c>
      <c r="D244" s="27" t="s">
        <v>782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1.0</v>
      </c>
      <c r="K244" s="33" t="n">
        <f>2500</f>
        <v>2500.0</v>
      </c>
      <c r="L244" s="34" t="s">
        <v>48</v>
      </c>
      <c r="M244" s="33" t="n">
        <f>2502</f>
        <v>2502.0</v>
      </c>
      <c r="N244" s="34" t="s">
        <v>209</v>
      </c>
      <c r="O244" s="33" t="n">
        <f>2463</f>
        <v>2463.0</v>
      </c>
      <c r="P244" s="34" t="s">
        <v>372</v>
      </c>
      <c r="Q244" s="33" t="n">
        <f>2473</f>
        <v>2473.0</v>
      </c>
      <c r="R244" s="34" t="s">
        <v>50</v>
      </c>
      <c r="S244" s="35" t="n">
        <f>2479.73</f>
        <v>2479.73</v>
      </c>
      <c r="T244" s="32" t="n">
        <f>4700160</f>
        <v>4700160.0</v>
      </c>
      <c r="U244" s="32" t="n">
        <f>4461436</f>
        <v>4461436.0</v>
      </c>
      <c r="V244" s="32" t="n">
        <f>11681384238</f>
        <v>1.1681384238E10</v>
      </c>
      <c r="W244" s="32" t="n">
        <f>11088516244</f>
        <v>1.1088516244E10</v>
      </c>
      <c r="X244" s="36" t="n">
        <f>22</f>
        <v>22.0</v>
      </c>
    </row>
    <row r="245">
      <c r="A245" s="27" t="s">
        <v>42</v>
      </c>
      <c r="B245" s="27" t="s">
        <v>783</v>
      </c>
      <c r="C245" s="27" t="s">
        <v>784</v>
      </c>
      <c r="D245" s="27" t="s">
        <v>785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10.0</v>
      </c>
      <c r="K245" s="33" t="n">
        <f>2875.5</f>
        <v>2875.5</v>
      </c>
      <c r="L245" s="34" t="s">
        <v>48</v>
      </c>
      <c r="M245" s="33" t="n">
        <f>2881</f>
        <v>2881.0</v>
      </c>
      <c r="N245" s="34" t="s">
        <v>48</v>
      </c>
      <c r="O245" s="33" t="n">
        <f>2751</f>
        <v>2751.0</v>
      </c>
      <c r="P245" s="34" t="s">
        <v>241</v>
      </c>
      <c r="Q245" s="33" t="n">
        <f>2825</f>
        <v>2825.0</v>
      </c>
      <c r="R245" s="34" t="s">
        <v>50</v>
      </c>
      <c r="S245" s="35" t="n">
        <f>2823.7</f>
        <v>2823.7</v>
      </c>
      <c r="T245" s="32" t="n">
        <f>739010</f>
        <v>739010.0</v>
      </c>
      <c r="U245" s="32" t="n">
        <f>396110</f>
        <v>396110.0</v>
      </c>
      <c r="V245" s="32" t="n">
        <f>2105992215</f>
        <v>2.105992215E9</v>
      </c>
      <c r="W245" s="32" t="n">
        <f>1135460420</f>
        <v>1.13546042E9</v>
      </c>
      <c r="X245" s="36" t="n">
        <f>22</f>
        <v>22.0</v>
      </c>
    </row>
    <row r="246">
      <c r="A246" s="27" t="s">
        <v>42</v>
      </c>
      <c r="B246" s="27" t="s">
        <v>786</v>
      </c>
      <c r="C246" s="27" t="s">
        <v>787</v>
      </c>
      <c r="D246" s="27" t="s">
        <v>788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10.0</v>
      </c>
      <c r="K246" s="33" t="n">
        <f>281.4</f>
        <v>281.4</v>
      </c>
      <c r="L246" s="34" t="s">
        <v>48</v>
      </c>
      <c r="M246" s="33" t="n">
        <f>281.8</f>
        <v>281.8</v>
      </c>
      <c r="N246" s="34" t="s">
        <v>48</v>
      </c>
      <c r="O246" s="33" t="n">
        <f>264.7</f>
        <v>264.7</v>
      </c>
      <c r="P246" s="34" t="s">
        <v>72</v>
      </c>
      <c r="Q246" s="33" t="n">
        <f>274.1</f>
        <v>274.1</v>
      </c>
      <c r="R246" s="34" t="s">
        <v>50</v>
      </c>
      <c r="S246" s="35" t="n">
        <f>271.63</f>
        <v>271.63</v>
      </c>
      <c r="T246" s="32" t="n">
        <f>36480480</f>
        <v>3.648048E7</v>
      </c>
      <c r="U246" s="32" t="n">
        <f>6972100</f>
        <v>6972100.0</v>
      </c>
      <c r="V246" s="32" t="n">
        <f>9862412735</f>
        <v>9.862412735E9</v>
      </c>
      <c r="W246" s="32" t="n">
        <f>1893612730</f>
        <v>1.89361273E9</v>
      </c>
      <c r="X246" s="36" t="n">
        <f>22</f>
        <v>22.0</v>
      </c>
    </row>
    <row r="247">
      <c r="A247" s="27" t="s">
        <v>42</v>
      </c>
      <c r="B247" s="27" t="s">
        <v>789</v>
      </c>
      <c r="C247" s="27" t="s">
        <v>790</v>
      </c>
      <c r="D247" s="27" t="s">
        <v>791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1.0</v>
      </c>
      <c r="K247" s="33" t="n">
        <f>2405</f>
        <v>2405.0</v>
      </c>
      <c r="L247" s="34" t="s">
        <v>48</v>
      </c>
      <c r="M247" s="33" t="n">
        <f>2474</f>
        <v>2474.0</v>
      </c>
      <c r="N247" s="34" t="s">
        <v>50</v>
      </c>
      <c r="O247" s="33" t="n">
        <f>2349</f>
        <v>2349.0</v>
      </c>
      <c r="P247" s="34" t="s">
        <v>49</v>
      </c>
      <c r="Q247" s="33" t="n">
        <f>2473</f>
        <v>2473.0</v>
      </c>
      <c r="R247" s="34" t="s">
        <v>50</v>
      </c>
      <c r="S247" s="35" t="n">
        <f>2413.27</f>
        <v>2413.27</v>
      </c>
      <c r="T247" s="32" t="n">
        <f>710075</f>
        <v>710075.0</v>
      </c>
      <c r="U247" s="32" t="n">
        <f>47799</f>
        <v>47799.0</v>
      </c>
      <c r="V247" s="32" t="n">
        <f>1712010352</f>
        <v>1.712010352E9</v>
      </c>
      <c r="W247" s="32" t="n">
        <f>114201151</f>
        <v>1.14201151E8</v>
      </c>
      <c r="X247" s="36" t="n">
        <f>22</f>
        <v>22.0</v>
      </c>
    </row>
    <row r="248">
      <c r="A248" s="27" t="s">
        <v>42</v>
      </c>
      <c r="B248" s="27" t="s">
        <v>792</v>
      </c>
      <c r="C248" s="27" t="s">
        <v>793</v>
      </c>
      <c r="D248" s="27" t="s">
        <v>794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1.0</v>
      </c>
      <c r="K248" s="33" t="n">
        <f>981</f>
        <v>981.0</v>
      </c>
      <c r="L248" s="34" t="s">
        <v>48</v>
      </c>
      <c r="M248" s="33" t="n">
        <f>983</f>
        <v>983.0</v>
      </c>
      <c r="N248" s="34" t="s">
        <v>50</v>
      </c>
      <c r="O248" s="33" t="n">
        <f>949</f>
        <v>949.0</v>
      </c>
      <c r="P248" s="34" t="s">
        <v>154</v>
      </c>
      <c r="Q248" s="33" t="n">
        <f>974</f>
        <v>974.0</v>
      </c>
      <c r="R248" s="34" t="s">
        <v>50</v>
      </c>
      <c r="S248" s="35" t="n">
        <f>964</f>
        <v>964.0</v>
      </c>
      <c r="T248" s="32" t="n">
        <f>1358505</f>
        <v>1358505.0</v>
      </c>
      <c r="U248" s="32" t="str">
        <f>"－"</f>
        <v>－</v>
      </c>
      <c r="V248" s="32" t="n">
        <f>1300339433</f>
        <v>1.300339433E9</v>
      </c>
      <c r="W248" s="32" t="str">
        <f>"－"</f>
        <v>－</v>
      </c>
      <c r="X248" s="36" t="n">
        <f>22</f>
        <v>22.0</v>
      </c>
    </row>
    <row r="249">
      <c r="A249" s="27" t="s">
        <v>42</v>
      </c>
      <c r="B249" s="27" t="s">
        <v>795</v>
      </c>
      <c r="C249" s="27" t="s">
        <v>796</v>
      </c>
      <c r="D249" s="27" t="s">
        <v>797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10.0</v>
      </c>
      <c r="K249" s="33" t="n">
        <f>1059.5</f>
        <v>1059.5</v>
      </c>
      <c r="L249" s="34" t="s">
        <v>48</v>
      </c>
      <c r="M249" s="33" t="n">
        <f>1078</f>
        <v>1078.0</v>
      </c>
      <c r="N249" s="34" t="s">
        <v>50</v>
      </c>
      <c r="O249" s="33" t="n">
        <f>1041</f>
        <v>1041.0</v>
      </c>
      <c r="P249" s="34" t="s">
        <v>154</v>
      </c>
      <c r="Q249" s="33" t="n">
        <f>1071</f>
        <v>1071.0</v>
      </c>
      <c r="R249" s="34" t="s">
        <v>50</v>
      </c>
      <c r="S249" s="35" t="n">
        <f>1054.39</f>
        <v>1054.39</v>
      </c>
      <c r="T249" s="32" t="n">
        <f>120710</f>
        <v>120710.0</v>
      </c>
      <c r="U249" s="32" t="n">
        <f>100000</f>
        <v>100000.0</v>
      </c>
      <c r="V249" s="32" t="n">
        <f>129212940</f>
        <v>1.2921294E8</v>
      </c>
      <c r="W249" s="32" t="n">
        <f>107360000</f>
        <v>1.0736E8</v>
      </c>
      <c r="X249" s="36" t="n">
        <f>22</f>
        <v>22.0</v>
      </c>
    </row>
    <row r="250">
      <c r="A250" s="27" t="s">
        <v>42</v>
      </c>
      <c r="B250" s="27" t="s">
        <v>798</v>
      </c>
      <c r="C250" s="27" t="s">
        <v>799</v>
      </c>
      <c r="D250" s="27" t="s">
        <v>800</v>
      </c>
      <c r="E250" s="28" t="s">
        <v>46</v>
      </c>
      <c r="F250" s="29" t="s">
        <v>46</v>
      </c>
      <c r="G250" s="30" t="s">
        <v>46</v>
      </c>
      <c r="H250" s="31"/>
      <c r="I250" s="31" t="s">
        <v>47</v>
      </c>
      <c r="J250" s="32" t="n">
        <v>10.0</v>
      </c>
      <c r="K250" s="33" t="n">
        <f>312.2</f>
        <v>312.2</v>
      </c>
      <c r="L250" s="34" t="s">
        <v>48</v>
      </c>
      <c r="M250" s="33" t="n">
        <f>338.7</f>
        <v>338.7</v>
      </c>
      <c r="N250" s="34" t="s">
        <v>174</v>
      </c>
      <c r="O250" s="33" t="n">
        <f>280.3</f>
        <v>280.3</v>
      </c>
      <c r="P250" s="34" t="s">
        <v>205</v>
      </c>
      <c r="Q250" s="33" t="n">
        <f>309</f>
        <v>309.0</v>
      </c>
      <c r="R250" s="34" t="s">
        <v>50</v>
      </c>
      <c r="S250" s="35" t="n">
        <f>305.77</f>
        <v>305.77</v>
      </c>
      <c r="T250" s="32" t="n">
        <f>14840</f>
        <v>14840.0</v>
      </c>
      <c r="U250" s="32" t="str">
        <f>"－"</f>
        <v>－</v>
      </c>
      <c r="V250" s="32" t="n">
        <f>4586373</f>
        <v>4586373.0</v>
      </c>
      <c r="W250" s="32" t="str">
        <f>"－"</f>
        <v>－</v>
      </c>
      <c r="X250" s="36" t="n">
        <f>19</f>
        <v>19.0</v>
      </c>
    </row>
    <row r="251">
      <c r="A251" s="27" t="s">
        <v>42</v>
      </c>
      <c r="B251" s="27" t="s">
        <v>801</v>
      </c>
      <c r="C251" s="27" t="s">
        <v>802</v>
      </c>
      <c r="D251" s="27" t="s">
        <v>803</v>
      </c>
      <c r="E251" s="28" t="s">
        <v>46</v>
      </c>
      <c r="F251" s="29" t="s">
        <v>46</v>
      </c>
      <c r="G251" s="30" t="s">
        <v>46</v>
      </c>
      <c r="H251" s="31"/>
      <c r="I251" s="31" t="s">
        <v>47</v>
      </c>
      <c r="J251" s="32" t="n">
        <v>10.0</v>
      </c>
      <c r="K251" s="33" t="n">
        <f>3852</f>
        <v>3852.0</v>
      </c>
      <c r="L251" s="34" t="s">
        <v>48</v>
      </c>
      <c r="M251" s="33" t="n">
        <f>3890</f>
        <v>3890.0</v>
      </c>
      <c r="N251" s="34" t="s">
        <v>50</v>
      </c>
      <c r="O251" s="33" t="n">
        <f>3664</f>
        <v>3664.0</v>
      </c>
      <c r="P251" s="34" t="s">
        <v>68</v>
      </c>
      <c r="Q251" s="33" t="n">
        <f>3882</f>
        <v>3882.0</v>
      </c>
      <c r="R251" s="34" t="s">
        <v>50</v>
      </c>
      <c r="S251" s="35" t="n">
        <f>3775.73</f>
        <v>3775.73</v>
      </c>
      <c r="T251" s="32" t="n">
        <f>2158770</f>
        <v>2158770.0</v>
      </c>
      <c r="U251" s="32" t="str">
        <f>"－"</f>
        <v>－</v>
      </c>
      <c r="V251" s="32" t="n">
        <f>8196959940</f>
        <v>8.19695994E9</v>
      </c>
      <c r="W251" s="32" t="str">
        <f>"－"</f>
        <v>－</v>
      </c>
      <c r="X251" s="36" t="n">
        <f>22</f>
        <v>22.0</v>
      </c>
    </row>
    <row r="252">
      <c r="A252" s="27" t="s">
        <v>42</v>
      </c>
      <c r="B252" s="27" t="s">
        <v>804</v>
      </c>
      <c r="C252" s="27" t="s">
        <v>805</v>
      </c>
      <c r="D252" s="27" t="s">
        <v>806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10.0</v>
      </c>
      <c r="K252" s="33" t="n">
        <f>2639</f>
        <v>2639.0</v>
      </c>
      <c r="L252" s="34" t="s">
        <v>48</v>
      </c>
      <c r="M252" s="33" t="n">
        <f>2644</f>
        <v>2644.0</v>
      </c>
      <c r="N252" s="34" t="s">
        <v>48</v>
      </c>
      <c r="O252" s="33" t="n">
        <f>2449</f>
        <v>2449.0</v>
      </c>
      <c r="P252" s="34" t="s">
        <v>68</v>
      </c>
      <c r="Q252" s="33" t="n">
        <f>2581.5</f>
        <v>2581.5</v>
      </c>
      <c r="R252" s="34" t="s">
        <v>50</v>
      </c>
      <c r="S252" s="35" t="n">
        <f>2536.52</f>
        <v>2536.52</v>
      </c>
      <c r="T252" s="32" t="n">
        <f>4393510</f>
        <v>4393510.0</v>
      </c>
      <c r="U252" s="32" t="n">
        <f>2831290</f>
        <v>2831290.0</v>
      </c>
      <c r="V252" s="32" t="n">
        <f>11283338695</f>
        <v>1.1283338695E10</v>
      </c>
      <c r="W252" s="32" t="n">
        <f>7300538600</f>
        <v>7.3005386E9</v>
      </c>
      <c r="X252" s="36" t="n">
        <f>22</f>
        <v>22.0</v>
      </c>
    </row>
    <row r="253">
      <c r="A253" s="27" t="s">
        <v>42</v>
      </c>
      <c r="B253" s="27" t="s">
        <v>807</v>
      </c>
      <c r="C253" s="27" t="s">
        <v>808</v>
      </c>
      <c r="D253" s="27" t="s">
        <v>809</v>
      </c>
      <c r="E253" s="28" t="s">
        <v>46</v>
      </c>
      <c r="F253" s="29" t="s">
        <v>46</v>
      </c>
      <c r="G253" s="30" t="s">
        <v>46</v>
      </c>
      <c r="H253" s="31"/>
      <c r="I253" s="31" t="s">
        <v>47</v>
      </c>
      <c r="J253" s="32" t="n">
        <v>10.0</v>
      </c>
      <c r="K253" s="33" t="n">
        <f>317</f>
        <v>317.0</v>
      </c>
      <c r="L253" s="34" t="s">
        <v>48</v>
      </c>
      <c r="M253" s="33" t="n">
        <f>325.8</f>
        <v>325.8</v>
      </c>
      <c r="N253" s="34" t="s">
        <v>174</v>
      </c>
      <c r="O253" s="33" t="n">
        <f>315</f>
        <v>315.0</v>
      </c>
      <c r="P253" s="34" t="s">
        <v>213</v>
      </c>
      <c r="Q253" s="33" t="n">
        <f>324.9</f>
        <v>324.9</v>
      </c>
      <c r="R253" s="34" t="s">
        <v>50</v>
      </c>
      <c r="S253" s="35" t="n">
        <f>321.79</f>
        <v>321.79</v>
      </c>
      <c r="T253" s="32" t="n">
        <f>58767740</f>
        <v>5.876774E7</v>
      </c>
      <c r="U253" s="32" t="n">
        <f>53928910</f>
        <v>5.392891E7</v>
      </c>
      <c r="V253" s="32" t="n">
        <f>19009769382</f>
        <v>1.9009769382E10</v>
      </c>
      <c r="W253" s="32" t="n">
        <f>17459129345</f>
        <v>1.7459129345E10</v>
      </c>
      <c r="X253" s="36" t="n">
        <f>22</f>
        <v>22.0</v>
      </c>
    </row>
    <row r="254">
      <c r="A254" s="27" t="s">
        <v>42</v>
      </c>
      <c r="B254" s="27" t="s">
        <v>810</v>
      </c>
      <c r="C254" s="27" t="s">
        <v>811</v>
      </c>
      <c r="D254" s="27" t="s">
        <v>812</v>
      </c>
      <c r="E254" s="28" t="s">
        <v>46</v>
      </c>
      <c r="F254" s="29" t="s">
        <v>46</v>
      </c>
      <c r="G254" s="30" t="s">
        <v>46</v>
      </c>
      <c r="H254" s="31"/>
      <c r="I254" s="31" t="s">
        <v>47</v>
      </c>
      <c r="J254" s="32" t="n">
        <v>1.0</v>
      </c>
      <c r="K254" s="33" t="n">
        <f>1402</f>
        <v>1402.0</v>
      </c>
      <c r="L254" s="34" t="s">
        <v>48</v>
      </c>
      <c r="M254" s="33" t="n">
        <f>1405</f>
        <v>1405.0</v>
      </c>
      <c r="N254" s="34" t="s">
        <v>48</v>
      </c>
      <c r="O254" s="33" t="n">
        <f>1290</f>
        <v>1290.0</v>
      </c>
      <c r="P254" s="34" t="s">
        <v>60</v>
      </c>
      <c r="Q254" s="33" t="n">
        <f>1350</f>
        <v>1350.0</v>
      </c>
      <c r="R254" s="34" t="s">
        <v>50</v>
      </c>
      <c r="S254" s="35" t="n">
        <f>1341.27</f>
        <v>1341.27</v>
      </c>
      <c r="T254" s="32" t="n">
        <f>18830138</f>
        <v>1.8830138E7</v>
      </c>
      <c r="U254" s="32" t="n">
        <f>235322</f>
        <v>235322.0</v>
      </c>
      <c r="V254" s="32" t="n">
        <f>25292757509</f>
        <v>2.5292757509E10</v>
      </c>
      <c r="W254" s="32" t="n">
        <f>311120326</f>
        <v>3.11120326E8</v>
      </c>
      <c r="X254" s="36" t="n">
        <f>22</f>
        <v>22.0</v>
      </c>
    </row>
    <row r="255">
      <c r="A255" s="27" t="s">
        <v>42</v>
      </c>
      <c r="B255" s="27" t="s">
        <v>813</v>
      </c>
      <c r="C255" s="27" t="s">
        <v>814</v>
      </c>
      <c r="D255" s="27" t="s">
        <v>815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1.0</v>
      </c>
      <c r="K255" s="33" t="n">
        <f>1829</f>
        <v>1829.0</v>
      </c>
      <c r="L255" s="34" t="s">
        <v>48</v>
      </c>
      <c r="M255" s="33" t="n">
        <f>1829</f>
        <v>1829.0</v>
      </c>
      <c r="N255" s="34" t="s">
        <v>48</v>
      </c>
      <c r="O255" s="33" t="n">
        <f>1739</f>
        <v>1739.0</v>
      </c>
      <c r="P255" s="34" t="s">
        <v>60</v>
      </c>
      <c r="Q255" s="33" t="n">
        <f>1782</f>
        <v>1782.0</v>
      </c>
      <c r="R255" s="34" t="s">
        <v>50</v>
      </c>
      <c r="S255" s="35" t="n">
        <f>1781.45</f>
        <v>1781.45</v>
      </c>
      <c r="T255" s="32" t="n">
        <f>55899</f>
        <v>55899.0</v>
      </c>
      <c r="U255" s="32" t="str">
        <f>"－"</f>
        <v>－</v>
      </c>
      <c r="V255" s="32" t="n">
        <f>99597016</f>
        <v>9.9597016E7</v>
      </c>
      <c r="W255" s="32" t="str">
        <f>"－"</f>
        <v>－</v>
      </c>
      <c r="X255" s="36" t="n">
        <f>22</f>
        <v>22.0</v>
      </c>
    </row>
    <row r="256">
      <c r="A256" s="27" t="s">
        <v>42</v>
      </c>
      <c r="B256" s="27" t="s">
        <v>816</v>
      </c>
      <c r="C256" s="27" t="s">
        <v>817</v>
      </c>
      <c r="D256" s="27" t="s">
        <v>818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1.0</v>
      </c>
      <c r="K256" s="33" t="n">
        <f>2094</f>
        <v>2094.0</v>
      </c>
      <c r="L256" s="34" t="s">
        <v>48</v>
      </c>
      <c r="M256" s="33" t="n">
        <f>2103</f>
        <v>2103.0</v>
      </c>
      <c r="N256" s="34" t="s">
        <v>276</v>
      </c>
      <c r="O256" s="33" t="n">
        <f>2068</f>
        <v>2068.0</v>
      </c>
      <c r="P256" s="34" t="s">
        <v>72</v>
      </c>
      <c r="Q256" s="33" t="n">
        <f>2085</f>
        <v>2085.0</v>
      </c>
      <c r="R256" s="34" t="s">
        <v>50</v>
      </c>
      <c r="S256" s="35" t="n">
        <f>2086.73</f>
        <v>2086.73</v>
      </c>
      <c r="T256" s="32" t="n">
        <f>1007742</f>
        <v>1007742.0</v>
      </c>
      <c r="U256" s="32" t="n">
        <f>1006000</f>
        <v>1006000.0</v>
      </c>
      <c r="V256" s="32" t="n">
        <f>2110730299</f>
        <v>2.110730299E9</v>
      </c>
      <c r="W256" s="32" t="n">
        <f>2107099000</f>
        <v>2.107099E9</v>
      </c>
      <c r="X256" s="36" t="n">
        <f>22</f>
        <v>22.0</v>
      </c>
    </row>
    <row r="257">
      <c r="A257" s="27" t="s">
        <v>42</v>
      </c>
      <c r="B257" s="27" t="s">
        <v>819</v>
      </c>
      <c r="C257" s="27" t="s">
        <v>820</v>
      </c>
      <c r="D257" s="27" t="s">
        <v>821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1.0</v>
      </c>
      <c r="K257" s="33" t="n">
        <f>3335</f>
        <v>3335.0</v>
      </c>
      <c r="L257" s="34" t="s">
        <v>48</v>
      </c>
      <c r="M257" s="33" t="n">
        <f>3360</f>
        <v>3360.0</v>
      </c>
      <c r="N257" s="34" t="s">
        <v>48</v>
      </c>
      <c r="O257" s="33" t="n">
        <f>3135</f>
        <v>3135.0</v>
      </c>
      <c r="P257" s="34" t="s">
        <v>72</v>
      </c>
      <c r="Q257" s="33" t="n">
        <f>3270</f>
        <v>3270.0</v>
      </c>
      <c r="R257" s="34" t="s">
        <v>50</v>
      </c>
      <c r="S257" s="35" t="n">
        <f>3226.59</f>
        <v>3226.59</v>
      </c>
      <c r="T257" s="32" t="n">
        <f>1240784</f>
        <v>1240784.0</v>
      </c>
      <c r="U257" s="32" t="n">
        <f>1016308</f>
        <v>1016308.0</v>
      </c>
      <c r="V257" s="32" t="n">
        <f>4032786209</f>
        <v>4.032786209E9</v>
      </c>
      <c r="W257" s="32" t="n">
        <f>3309528024</f>
        <v>3.309528024E9</v>
      </c>
      <c r="X257" s="36" t="n">
        <f>22</f>
        <v>22.0</v>
      </c>
    </row>
    <row r="258">
      <c r="A258" s="27" t="s">
        <v>42</v>
      </c>
      <c r="B258" s="27" t="s">
        <v>822</v>
      </c>
      <c r="C258" s="27" t="s">
        <v>823</v>
      </c>
      <c r="D258" s="27" t="s">
        <v>824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1.0</v>
      </c>
      <c r="K258" s="33" t="n">
        <f>2324</f>
        <v>2324.0</v>
      </c>
      <c r="L258" s="34" t="s">
        <v>48</v>
      </c>
      <c r="M258" s="33" t="n">
        <f>2340</f>
        <v>2340.0</v>
      </c>
      <c r="N258" s="34" t="s">
        <v>48</v>
      </c>
      <c r="O258" s="33" t="n">
        <f>2229</f>
        <v>2229.0</v>
      </c>
      <c r="P258" s="34" t="s">
        <v>49</v>
      </c>
      <c r="Q258" s="33" t="n">
        <f>2334</f>
        <v>2334.0</v>
      </c>
      <c r="R258" s="34" t="s">
        <v>50</v>
      </c>
      <c r="S258" s="35" t="n">
        <f>2285.36</f>
        <v>2285.36</v>
      </c>
      <c r="T258" s="32" t="n">
        <f>1576789</f>
        <v>1576789.0</v>
      </c>
      <c r="U258" s="32" t="n">
        <f>534000</f>
        <v>534000.0</v>
      </c>
      <c r="V258" s="32" t="n">
        <f>3619839791</f>
        <v>3.619839791E9</v>
      </c>
      <c r="W258" s="32" t="n">
        <f>1229803200</f>
        <v>1.2298032E9</v>
      </c>
      <c r="X258" s="36" t="n">
        <f>22</f>
        <v>22.0</v>
      </c>
    </row>
    <row r="259">
      <c r="A259" s="27" t="s">
        <v>42</v>
      </c>
      <c r="B259" s="27" t="s">
        <v>825</v>
      </c>
      <c r="C259" s="27" t="s">
        <v>826</v>
      </c>
      <c r="D259" s="27" t="s">
        <v>827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1.0</v>
      </c>
      <c r="K259" s="33" t="n">
        <f>2043</f>
        <v>2043.0</v>
      </c>
      <c r="L259" s="34" t="s">
        <v>48</v>
      </c>
      <c r="M259" s="33" t="n">
        <f>2043</f>
        <v>2043.0</v>
      </c>
      <c r="N259" s="34" t="s">
        <v>48</v>
      </c>
      <c r="O259" s="33" t="n">
        <f>1951</f>
        <v>1951.0</v>
      </c>
      <c r="P259" s="34" t="s">
        <v>72</v>
      </c>
      <c r="Q259" s="33" t="n">
        <f>2034</f>
        <v>2034.0</v>
      </c>
      <c r="R259" s="34" t="s">
        <v>50</v>
      </c>
      <c r="S259" s="35" t="n">
        <f>1999.05</f>
        <v>1999.05</v>
      </c>
      <c r="T259" s="32" t="n">
        <f>15137</f>
        <v>15137.0</v>
      </c>
      <c r="U259" s="32" t="str">
        <f>"－"</f>
        <v>－</v>
      </c>
      <c r="V259" s="32" t="n">
        <f>30245661</f>
        <v>3.0245661E7</v>
      </c>
      <c r="W259" s="32" t="str">
        <f>"－"</f>
        <v>－</v>
      </c>
      <c r="X259" s="36" t="n">
        <f>22</f>
        <v>22.0</v>
      </c>
    </row>
    <row r="260">
      <c r="A260" s="27" t="s">
        <v>42</v>
      </c>
      <c r="B260" s="27" t="s">
        <v>828</v>
      </c>
      <c r="C260" s="27" t="s">
        <v>829</v>
      </c>
      <c r="D260" s="27" t="s">
        <v>830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1.0</v>
      </c>
      <c r="K260" s="33" t="n">
        <f>1393</f>
        <v>1393.0</v>
      </c>
      <c r="L260" s="34" t="s">
        <v>48</v>
      </c>
      <c r="M260" s="33" t="n">
        <f>1393</f>
        <v>1393.0</v>
      </c>
      <c r="N260" s="34" t="s">
        <v>48</v>
      </c>
      <c r="O260" s="33" t="n">
        <f>1277</f>
        <v>1277.0</v>
      </c>
      <c r="P260" s="34" t="s">
        <v>72</v>
      </c>
      <c r="Q260" s="33" t="n">
        <f>1330</f>
        <v>1330.0</v>
      </c>
      <c r="R260" s="34" t="s">
        <v>50</v>
      </c>
      <c r="S260" s="35" t="n">
        <f>1326.91</f>
        <v>1326.91</v>
      </c>
      <c r="T260" s="32" t="n">
        <f>19496</f>
        <v>19496.0</v>
      </c>
      <c r="U260" s="32" t="str">
        <f>"－"</f>
        <v>－</v>
      </c>
      <c r="V260" s="32" t="n">
        <f>26443613</f>
        <v>2.6443613E7</v>
      </c>
      <c r="W260" s="32" t="str">
        <f>"－"</f>
        <v>－</v>
      </c>
      <c r="X260" s="36" t="n">
        <f>22</f>
        <v>22.0</v>
      </c>
    </row>
    <row r="261">
      <c r="A261" s="27" t="s">
        <v>42</v>
      </c>
      <c r="B261" s="27" t="s">
        <v>831</v>
      </c>
      <c r="C261" s="27" t="s">
        <v>832</v>
      </c>
      <c r="D261" s="27" t="s">
        <v>833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1.0</v>
      </c>
      <c r="K261" s="33" t="n">
        <f>1990</f>
        <v>1990.0</v>
      </c>
      <c r="L261" s="34" t="s">
        <v>48</v>
      </c>
      <c r="M261" s="33" t="n">
        <f>2000</f>
        <v>2000.0</v>
      </c>
      <c r="N261" s="34" t="s">
        <v>154</v>
      </c>
      <c r="O261" s="33" t="n">
        <f>1787</f>
        <v>1787.0</v>
      </c>
      <c r="P261" s="34" t="s">
        <v>241</v>
      </c>
      <c r="Q261" s="33" t="n">
        <f>1935</f>
        <v>1935.0</v>
      </c>
      <c r="R261" s="34" t="s">
        <v>50</v>
      </c>
      <c r="S261" s="35" t="n">
        <f>1895.27</f>
        <v>1895.27</v>
      </c>
      <c r="T261" s="32" t="n">
        <f>35715</f>
        <v>35715.0</v>
      </c>
      <c r="U261" s="32" t="str">
        <f>"－"</f>
        <v>－</v>
      </c>
      <c r="V261" s="32" t="n">
        <f>66799292</f>
        <v>6.6799292E7</v>
      </c>
      <c r="W261" s="32" t="str">
        <f>"－"</f>
        <v>－</v>
      </c>
      <c r="X261" s="36" t="n">
        <f>22</f>
        <v>22.0</v>
      </c>
    </row>
    <row r="262">
      <c r="A262" s="27" t="s">
        <v>42</v>
      </c>
      <c r="B262" s="27" t="s">
        <v>834</v>
      </c>
      <c r="C262" s="27" t="s">
        <v>835</v>
      </c>
      <c r="D262" s="27" t="s">
        <v>836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1.0</v>
      </c>
      <c r="K262" s="33" t="n">
        <f>2605</f>
        <v>2605.0</v>
      </c>
      <c r="L262" s="34" t="s">
        <v>48</v>
      </c>
      <c r="M262" s="33" t="n">
        <f>2615</f>
        <v>2615.0</v>
      </c>
      <c r="N262" s="34" t="s">
        <v>154</v>
      </c>
      <c r="O262" s="33" t="n">
        <f>2350</f>
        <v>2350.0</v>
      </c>
      <c r="P262" s="34" t="s">
        <v>80</v>
      </c>
      <c r="Q262" s="33" t="n">
        <f>2424</f>
        <v>2424.0</v>
      </c>
      <c r="R262" s="34" t="s">
        <v>50</v>
      </c>
      <c r="S262" s="35" t="n">
        <f>2467.35</f>
        <v>2467.35</v>
      </c>
      <c r="T262" s="32" t="n">
        <f>9900</f>
        <v>9900.0</v>
      </c>
      <c r="U262" s="32" t="str">
        <f>"－"</f>
        <v>－</v>
      </c>
      <c r="V262" s="32" t="n">
        <f>24406459</f>
        <v>2.4406459E7</v>
      </c>
      <c r="W262" s="32" t="str">
        <f>"－"</f>
        <v>－</v>
      </c>
      <c r="X262" s="36" t="n">
        <f>20</f>
        <v>20.0</v>
      </c>
    </row>
    <row r="263">
      <c r="A263" s="27" t="s">
        <v>42</v>
      </c>
      <c r="B263" s="27" t="s">
        <v>837</v>
      </c>
      <c r="C263" s="27" t="s">
        <v>838</v>
      </c>
      <c r="D263" s="27" t="s">
        <v>839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1.0</v>
      </c>
      <c r="K263" s="33" t="n">
        <f>11100</f>
        <v>11100.0</v>
      </c>
      <c r="L263" s="34" t="s">
        <v>48</v>
      </c>
      <c r="M263" s="33" t="n">
        <f>11115</f>
        <v>11115.0</v>
      </c>
      <c r="N263" s="34" t="s">
        <v>48</v>
      </c>
      <c r="O263" s="33" t="n">
        <f>10515</f>
        <v>10515.0</v>
      </c>
      <c r="P263" s="34" t="s">
        <v>68</v>
      </c>
      <c r="Q263" s="33" t="n">
        <f>10890</f>
        <v>10890.0</v>
      </c>
      <c r="R263" s="34" t="s">
        <v>50</v>
      </c>
      <c r="S263" s="35" t="n">
        <f>10773.18</f>
        <v>10773.18</v>
      </c>
      <c r="T263" s="32" t="n">
        <f>310159</f>
        <v>310159.0</v>
      </c>
      <c r="U263" s="32" t="str">
        <f>"－"</f>
        <v>－</v>
      </c>
      <c r="V263" s="32" t="n">
        <f>3340020190</f>
        <v>3.34002019E9</v>
      </c>
      <c r="W263" s="32" t="str">
        <f>"－"</f>
        <v>－</v>
      </c>
      <c r="X263" s="36" t="n">
        <f>22</f>
        <v>22.0</v>
      </c>
    </row>
    <row r="264">
      <c r="A264" s="27" t="s">
        <v>42</v>
      </c>
      <c r="B264" s="27" t="s">
        <v>840</v>
      </c>
      <c r="C264" s="27" t="s">
        <v>841</v>
      </c>
      <c r="D264" s="27" t="s">
        <v>842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1.0</v>
      </c>
      <c r="K264" s="33" t="n">
        <f>16115</f>
        <v>16115.0</v>
      </c>
      <c r="L264" s="34" t="s">
        <v>48</v>
      </c>
      <c r="M264" s="33" t="n">
        <f>16265</f>
        <v>16265.0</v>
      </c>
      <c r="N264" s="34" t="s">
        <v>50</v>
      </c>
      <c r="O264" s="33" t="n">
        <f>15320</f>
        <v>15320.0</v>
      </c>
      <c r="P264" s="34" t="s">
        <v>68</v>
      </c>
      <c r="Q264" s="33" t="n">
        <f>16230</f>
        <v>16230.0</v>
      </c>
      <c r="R264" s="34" t="s">
        <v>50</v>
      </c>
      <c r="S264" s="35" t="n">
        <f>15785.91</f>
        <v>15785.91</v>
      </c>
      <c r="T264" s="32" t="n">
        <f>923660</f>
        <v>923660.0</v>
      </c>
      <c r="U264" s="32" t="str">
        <f>"－"</f>
        <v>－</v>
      </c>
      <c r="V264" s="32" t="n">
        <f>14639680605</f>
        <v>1.4639680605E10</v>
      </c>
      <c r="W264" s="32" t="str">
        <f>"－"</f>
        <v>－</v>
      </c>
      <c r="X264" s="36" t="n">
        <f>22</f>
        <v>22.0</v>
      </c>
    </row>
    <row r="265">
      <c r="A265" s="27" t="s">
        <v>42</v>
      </c>
      <c r="B265" s="27" t="s">
        <v>843</v>
      </c>
      <c r="C265" s="27" t="s">
        <v>844</v>
      </c>
      <c r="D265" s="27" t="s">
        <v>845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1.0</v>
      </c>
      <c r="K265" s="33" t="n">
        <f>11085</f>
        <v>11085.0</v>
      </c>
      <c r="L265" s="34" t="s">
        <v>48</v>
      </c>
      <c r="M265" s="33" t="n">
        <f>11105</f>
        <v>11105.0</v>
      </c>
      <c r="N265" s="34" t="s">
        <v>48</v>
      </c>
      <c r="O265" s="33" t="n">
        <f>10265</f>
        <v>10265.0</v>
      </c>
      <c r="P265" s="34" t="s">
        <v>68</v>
      </c>
      <c r="Q265" s="33" t="n">
        <f>10835</f>
        <v>10835.0</v>
      </c>
      <c r="R265" s="34" t="s">
        <v>50</v>
      </c>
      <c r="S265" s="35" t="n">
        <f>10640</f>
        <v>10640.0</v>
      </c>
      <c r="T265" s="32" t="n">
        <f>577474</f>
        <v>577474.0</v>
      </c>
      <c r="U265" s="32" t="n">
        <f>236540</f>
        <v>236540.0</v>
      </c>
      <c r="V265" s="32" t="n">
        <f>6168248853</f>
        <v>6.168248853E9</v>
      </c>
      <c r="W265" s="32" t="n">
        <f>2519630973</f>
        <v>2.519630973E9</v>
      </c>
      <c r="X265" s="36" t="n">
        <f>22</f>
        <v>22.0</v>
      </c>
    </row>
    <row r="266">
      <c r="A266" s="27" t="s">
        <v>42</v>
      </c>
      <c r="B266" s="27" t="s">
        <v>846</v>
      </c>
      <c r="C266" s="27" t="s">
        <v>847</v>
      </c>
      <c r="D266" s="27" t="s">
        <v>848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10.0</v>
      </c>
      <c r="K266" s="33" t="n">
        <f>3019</f>
        <v>3019.0</v>
      </c>
      <c r="L266" s="34" t="s">
        <v>48</v>
      </c>
      <c r="M266" s="33" t="n">
        <f>3059</f>
        <v>3059.0</v>
      </c>
      <c r="N266" s="34" t="s">
        <v>50</v>
      </c>
      <c r="O266" s="33" t="n">
        <f>2936.5</f>
        <v>2936.5</v>
      </c>
      <c r="P266" s="34" t="s">
        <v>68</v>
      </c>
      <c r="Q266" s="33" t="n">
        <f>3056</f>
        <v>3056.0</v>
      </c>
      <c r="R266" s="34" t="s">
        <v>50</v>
      </c>
      <c r="S266" s="35" t="n">
        <f>2991.68</f>
        <v>2991.68</v>
      </c>
      <c r="T266" s="32" t="n">
        <f>841900</f>
        <v>841900.0</v>
      </c>
      <c r="U266" s="32" t="n">
        <f>100000</f>
        <v>100000.0</v>
      </c>
      <c r="V266" s="32" t="n">
        <f>2520599790</f>
        <v>2.52059979E9</v>
      </c>
      <c r="W266" s="32" t="n">
        <f>298898000</f>
        <v>2.98898E8</v>
      </c>
      <c r="X266" s="36" t="n">
        <f>22</f>
        <v>22.0</v>
      </c>
    </row>
    <row r="267">
      <c r="A267" s="27" t="s">
        <v>42</v>
      </c>
      <c r="B267" s="27" t="s">
        <v>849</v>
      </c>
      <c r="C267" s="27" t="s">
        <v>850</v>
      </c>
      <c r="D267" s="27" t="s">
        <v>851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10.0</v>
      </c>
      <c r="K267" s="33" t="n">
        <f>2187</f>
        <v>2187.0</v>
      </c>
      <c r="L267" s="34" t="s">
        <v>48</v>
      </c>
      <c r="M267" s="33" t="n">
        <f>2191</f>
        <v>2191.0</v>
      </c>
      <c r="N267" s="34" t="s">
        <v>48</v>
      </c>
      <c r="O267" s="33" t="n">
        <f>2072.5</f>
        <v>2072.5</v>
      </c>
      <c r="P267" s="34" t="s">
        <v>68</v>
      </c>
      <c r="Q267" s="33" t="n">
        <f>2146</f>
        <v>2146.0</v>
      </c>
      <c r="R267" s="34" t="s">
        <v>50</v>
      </c>
      <c r="S267" s="35" t="n">
        <f>2123.2</f>
        <v>2123.2</v>
      </c>
      <c r="T267" s="32" t="n">
        <f>1364070</f>
        <v>1364070.0</v>
      </c>
      <c r="U267" s="32" t="n">
        <f>340000</f>
        <v>340000.0</v>
      </c>
      <c r="V267" s="32" t="n">
        <f>2890116520</f>
        <v>2.89011652E9</v>
      </c>
      <c r="W267" s="32" t="n">
        <f>717192000</f>
        <v>7.17192E8</v>
      </c>
      <c r="X267" s="36" t="n">
        <f>22</f>
        <v>22.0</v>
      </c>
    </row>
    <row r="268">
      <c r="A268" s="27" t="s">
        <v>42</v>
      </c>
      <c r="B268" s="27" t="s">
        <v>852</v>
      </c>
      <c r="C268" s="27" t="s">
        <v>853</v>
      </c>
      <c r="D268" s="27" t="s">
        <v>854</v>
      </c>
      <c r="E268" s="28" t="s">
        <v>46</v>
      </c>
      <c r="F268" s="29" t="s">
        <v>46</v>
      </c>
      <c r="G268" s="30" t="s">
        <v>46</v>
      </c>
      <c r="H268" s="31"/>
      <c r="I268" s="31" t="s">
        <v>47</v>
      </c>
      <c r="J268" s="32" t="n">
        <v>10.0</v>
      </c>
      <c r="K268" s="33" t="n">
        <f>3130</f>
        <v>3130.0</v>
      </c>
      <c r="L268" s="34" t="s">
        <v>48</v>
      </c>
      <c r="M268" s="33" t="n">
        <f>3200</f>
        <v>3200.0</v>
      </c>
      <c r="N268" s="34" t="s">
        <v>50</v>
      </c>
      <c r="O268" s="33" t="n">
        <f>3056</f>
        <v>3056.0</v>
      </c>
      <c r="P268" s="34" t="s">
        <v>68</v>
      </c>
      <c r="Q268" s="33" t="n">
        <f>3186</f>
        <v>3186.0</v>
      </c>
      <c r="R268" s="34" t="s">
        <v>50</v>
      </c>
      <c r="S268" s="35" t="n">
        <f>3116.24</f>
        <v>3116.24</v>
      </c>
      <c r="T268" s="32" t="n">
        <f>9660</f>
        <v>9660.0</v>
      </c>
      <c r="U268" s="32" t="n">
        <f>20</f>
        <v>20.0</v>
      </c>
      <c r="V268" s="32" t="n">
        <f>30188530</f>
        <v>3.018853E7</v>
      </c>
      <c r="W268" s="32" t="n">
        <f>63020</f>
        <v>63020.0</v>
      </c>
      <c r="X268" s="36" t="n">
        <f>21</f>
        <v>21.0</v>
      </c>
    </row>
    <row r="269">
      <c r="A269" s="27" t="s">
        <v>42</v>
      </c>
      <c r="B269" s="27" t="s">
        <v>855</v>
      </c>
      <c r="C269" s="27" t="s">
        <v>856</v>
      </c>
      <c r="D269" s="27" t="s">
        <v>857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1.0</v>
      </c>
      <c r="K269" s="33" t="n">
        <f>2858</f>
        <v>2858.0</v>
      </c>
      <c r="L269" s="34" t="s">
        <v>48</v>
      </c>
      <c r="M269" s="33" t="n">
        <f>2860</f>
        <v>2860.0</v>
      </c>
      <c r="N269" s="34" t="s">
        <v>48</v>
      </c>
      <c r="O269" s="33" t="n">
        <f>2691</f>
        <v>2691.0</v>
      </c>
      <c r="P269" s="34" t="s">
        <v>72</v>
      </c>
      <c r="Q269" s="33" t="n">
        <f>2804</f>
        <v>2804.0</v>
      </c>
      <c r="R269" s="34" t="s">
        <v>50</v>
      </c>
      <c r="S269" s="35" t="n">
        <f>2762.91</f>
        <v>2762.91</v>
      </c>
      <c r="T269" s="32" t="n">
        <f>21178</f>
        <v>21178.0</v>
      </c>
      <c r="U269" s="32" t="str">
        <f>"－"</f>
        <v>－</v>
      </c>
      <c r="V269" s="32" t="n">
        <f>58566926</f>
        <v>5.8566926E7</v>
      </c>
      <c r="W269" s="32" t="str">
        <f>"－"</f>
        <v>－</v>
      </c>
      <c r="X269" s="36" t="n">
        <f>22</f>
        <v>22.0</v>
      </c>
    </row>
    <row r="270">
      <c r="A270" s="27" t="s">
        <v>42</v>
      </c>
      <c r="B270" s="27" t="s">
        <v>858</v>
      </c>
      <c r="C270" s="27" t="s">
        <v>859</v>
      </c>
      <c r="D270" s="27" t="s">
        <v>860</v>
      </c>
      <c r="E270" s="28" t="s">
        <v>46</v>
      </c>
      <c r="F270" s="29" t="s">
        <v>46</v>
      </c>
      <c r="G270" s="30" t="s">
        <v>46</v>
      </c>
      <c r="H270" s="31"/>
      <c r="I270" s="31" t="s">
        <v>47</v>
      </c>
      <c r="J270" s="32" t="n">
        <v>1.0</v>
      </c>
      <c r="K270" s="33" t="n">
        <f>1616</f>
        <v>1616.0</v>
      </c>
      <c r="L270" s="34" t="s">
        <v>48</v>
      </c>
      <c r="M270" s="33" t="n">
        <f>1621</f>
        <v>1621.0</v>
      </c>
      <c r="N270" s="34" t="s">
        <v>48</v>
      </c>
      <c r="O270" s="33" t="n">
        <f>1474</f>
        <v>1474.0</v>
      </c>
      <c r="P270" s="34" t="s">
        <v>49</v>
      </c>
      <c r="Q270" s="33" t="n">
        <f>1555</f>
        <v>1555.0</v>
      </c>
      <c r="R270" s="34" t="s">
        <v>50</v>
      </c>
      <c r="S270" s="35" t="n">
        <f>1540.36</f>
        <v>1540.36</v>
      </c>
      <c r="T270" s="32" t="n">
        <f>44848</f>
        <v>44848.0</v>
      </c>
      <c r="U270" s="32" t="n">
        <f>2</f>
        <v>2.0</v>
      </c>
      <c r="V270" s="32" t="n">
        <f>68658912</f>
        <v>6.8658912E7</v>
      </c>
      <c r="W270" s="32" t="n">
        <f>3097</f>
        <v>3097.0</v>
      </c>
      <c r="X270" s="36" t="n">
        <f>22</f>
        <v>22.0</v>
      </c>
    </row>
    <row r="271">
      <c r="A271" s="27" t="s">
        <v>42</v>
      </c>
      <c r="B271" s="27" t="s">
        <v>861</v>
      </c>
      <c r="C271" s="27" t="s">
        <v>862</v>
      </c>
      <c r="D271" s="27" t="s">
        <v>863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1.0</v>
      </c>
      <c r="K271" s="33" t="n">
        <f>2083</f>
        <v>2083.0</v>
      </c>
      <c r="L271" s="34" t="s">
        <v>48</v>
      </c>
      <c r="M271" s="33" t="n">
        <f>2083</f>
        <v>2083.0</v>
      </c>
      <c r="N271" s="34" t="s">
        <v>48</v>
      </c>
      <c r="O271" s="33" t="n">
        <f>1890</f>
        <v>1890.0</v>
      </c>
      <c r="P271" s="34" t="s">
        <v>72</v>
      </c>
      <c r="Q271" s="33" t="n">
        <f>2003</f>
        <v>2003.0</v>
      </c>
      <c r="R271" s="34" t="s">
        <v>50</v>
      </c>
      <c r="S271" s="35" t="n">
        <f>1972.95</f>
        <v>1972.95</v>
      </c>
      <c r="T271" s="32" t="n">
        <f>127822</f>
        <v>127822.0</v>
      </c>
      <c r="U271" s="32" t="str">
        <f>"－"</f>
        <v>－</v>
      </c>
      <c r="V271" s="32" t="n">
        <f>255126388</f>
        <v>2.55126388E8</v>
      </c>
      <c r="W271" s="32" t="str">
        <f>"－"</f>
        <v>－</v>
      </c>
      <c r="X271" s="36" t="n">
        <f>22</f>
        <v>22.0</v>
      </c>
    </row>
    <row r="272">
      <c r="A272" s="27" t="s">
        <v>42</v>
      </c>
      <c r="B272" s="27" t="s">
        <v>864</v>
      </c>
      <c r="C272" s="27" t="s">
        <v>865</v>
      </c>
      <c r="D272" s="27" t="s">
        <v>866</v>
      </c>
      <c r="E272" s="28" t="s">
        <v>46</v>
      </c>
      <c r="F272" s="29" t="s">
        <v>46</v>
      </c>
      <c r="G272" s="30" t="s">
        <v>46</v>
      </c>
      <c r="H272" s="31"/>
      <c r="I272" s="31" t="s">
        <v>47</v>
      </c>
      <c r="J272" s="32" t="n">
        <v>1.0</v>
      </c>
      <c r="K272" s="33" t="n">
        <f>1670</f>
        <v>1670.0</v>
      </c>
      <c r="L272" s="34" t="s">
        <v>48</v>
      </c>
      <c r="M272" s="33" t="n">
        <f>1670</f>
        <v>1670.0</v>
      </c>
      <c r="N272" s="34" t="s">
        <v>48</v>
      </c>
      <c r="O272" s="33" t="n">
        <f>1529</f>
        <v>1529.0</v>
      </c>
      <c r="P272" s="34" t="s">
        <v>72</v>
      </c>
      <c r="Q272" s="33" t="n">
        <f>1614</f>
        <v>1614.0</v>
      </c>
      <c r="R272" s="34" t="s">
        <v>50</v>
      </c>
      <c r="S272" s="35" t="n">
        <f>1592.73</f>
        <v>1592.73</v>
      </c>
      <c r="T272" s="32" t="n">
        <f>13472</f>
        <v>13472.0</v>
      </c>
      <c r="U272" s="32" t="str">
        <f>"－"</f>
        <v>－</v>
      </c>
      <c r="V272" s="32" t="n">
        <f>21885371</f>
        <v>2.1885371E7</v>
      </c>
      <c r="W272" s="32" t="str">
        <f>"－"</f>
        <v>－</v>
      </c>
      <c r="X272" s="36" t="n">
        <f>22</f>
        <v>22.0</v>
      </c>
    </row>
    <row r="273">
      <c r="A273" s="27" t="s">
        <v>42</v>
      </c>
      <c r="B273" s="27" t="s">
        <v>867</v>
      </c>
      <c r="C273" s="27" t="s">
        <v>868</v>
      </c>
      <c r="D273" s="27" t="s">
        <v>869</v>
      </c>
      <c r="E273" s="28" t="s">
        <v>46</v>
      </c>
      <c r="F273" s="29" t="s">
        <v>46</v>
      </c>
      <c r="G273" s="30" t="s">
        <v>46</v>
      </c>
      <c r="H273" s="31"/>
      <c r="I273" s="31" t="s">
        <v>47</v>
      </c>
      <c r="J273" s="32" t="n">
        <v>1.0</v>
      </c>
      <c r="K273" s="33" t="n">
        <f>2934</f>
        <v>2934.0</v>
      </c>
      <c r="L273" s="34" t="s">
        <v>48</v>
      </c>
      <c r="M273" s="33" t="n">
        <f>2934</f>
        <v>2934.0</v>
      </c>
      <c r="N273" s="34" t="s">
        <v>48</v>
      </c>
      <c r="O273" s="33" t="n">
        <f>2759</f>
        <v>2759.0</v>
      </c>
      <c r="P273" s="34" t="s">
        <v>72</v>
      </c>
      <c r="Q273" s="33" t="n">
        <f>2848</f>
        <v>2848.0</v>
      </c>
      <c r="R273" s="34" t="s">
        <v>50</v>
      </c>
      <c r="S273" s="35" t="n">
        <f>2825.41</f>
        <v>2825.41</v>
      </c>
      <c r="T273" s="32" t="n">
        <f>59103</f>
        <v>59103.0</v>
      </c>
      <c r="U273" s="32" t="str">
        <f>"－"</f>
        <v>－</v>
      </c>
      <c r="V273" s="32" t="n">
        <f>167630779</f>
        <v>1.67630779E8</v>
      </c>
      <c r="W273" s="32" t="str">
        <f>"－"</f>
        <v>－</v>
      </c>
      <c r="X273" s="36" t="n">
        <f>22</f>
        <v>22.0</v>
      </c>
    </row>
    <row r="274">
      <c r="A274" s="27" t="s">
        <v>42</v>
      </c>
      <c r="B274" s="27" t="s">
        <v>870</v>
      </c>
      <c r="C274" s="27" t="s">
        <v>871</v>
      </c>
      <c r="D274" s="27" t="s">
        <v>872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1.0</v>
      </c>
      <c r="K274" s="33" t="n">
        <f>2569</f>
        <v>2569.0</v>
      </c>
      <c r="L274" s="34" t="s">
        <v>48</v>
      </c>
      <c r="M274" s="33" t="n">
        <f>2582</f>
        <v>2582.0</v>
      </c>
      <c r="N274" s="34" t="s">
        <v>48</v>
      </c>
      <c r="O274" s="33" t="n">
        <f>2429</f>
        <v>2429.0</v>
      </c>
      <c r="P274" s="34" t="s">
        <v>49</v>
      </c>
      <c r="Q274" s="33" t="n">
        <f>2548</f>
        <v>2548.0</v>
      </c>
      <c r="R274" s="34" t="s">
        <v>50</v>
      </c>
      <c r="S274" s="35" t="n">
        <f>2504.18</f>
        <v>2504.18</v>
      </c>
      <c r="T274" s="32" t="n">
        <f>127804</f>
        <v>127804.0</v>
      </c>
      <c r="U274" s="32" t="n">
        <f>5</f>
        <v>5.0</v>
      </c>
      <c r="V274" s="32" t="n">
        <f>318928108</f>
        <v>3.18928108E8</v>
      </c>
      <c r="W274" s="32" t="n">
        <f>12551</f>
        <v>12551.0</v>
      </c>
      <c r="X274" s="36" t="n">
        <f>22</f>
        <v>22.0</v>
      </c>
    </row>
    <row r="275">
      <c r="A275" s="27" t="s">
        <v>42</v>
      </c>
      <c r="B275" s="27" t="s">
        <v>873</v>
      </c>
      <c r="C275" s="27" t="s">
        <v>874</v>
      </c>
      <c r="D275" s="27" t="s">
        <v>875</v>
      </c>
      <c r="E275" s="28" t="s">
        <v>46</v>
      </c>
      <c r="F275" s="29" t="s">
        <v>46</v>
      </c>
      <c r="G275" s="30" t="s">
        <v>46</v>
      </c>
      <c r="H275" s="31"/>
      <c r="I275" s="31" t="s">
        <v>47</v>
      </c>
      <c r="J275" s="32" t="n">
        <v>1.0</v>
      </c>
      <c r="K275" s="33" t="n">
        <f>30670</f>
        <v>30670.0</v>
      </c>
      <c r="L275" s="34" t="s">
        <v>48</v>
      </c>
      <c r="M275" s="33" t="n">
        <f>30670</f>
        <v>30670.0</v>
      </c>
      <c r="N275" s="34" t="s">
        <v>48</v>
      </c>
      <c r="O275" s="33" t="n">
        <f>29470</f>
        <v>29470.0</v>
      </c>
      <c r="P275" s="34" t="s">
        <v>72</v>
      </c>
      <c r="Q275" s="33" t="n">
        <f>30650</f>
        <v>30650.0</v>
      </c>
      <c r="R275" s="34" t="s">
        <v>50</v>
      </c>
      <c r="S275" s="35" t="n">
        <f>30137.67</f>
        <v>30137.67</v>
      </c>
      <c r="T275" s="32" t="n">
        <f>36</f>
        <v>36.0</v>
      </c>
      <c r="U275" s="32" t="str">
        <f>"－"</f>
        <v>－</v>
      </c>
      <c r="V275" s="32" t="n">
        <f>1082730</f>
        <v>1082730.0</v>
      </c>
      <c r="W275" s="32" t="str">
        <f>"－"</f>
        <v>－</v>
      </c>
      <c r="X275" s="36" t="n">
        <f>15</f>
        <v>15.0</v>
      </c>
    </row>
    <row r="276">
      <c r="A276" s="27" t="s">
        <v>42</v>
      </c>
      <c r="B276" s="27" t="s">
        <v>876</v>
      </c>
      <c r="C276" s="27" t="s">
        <v>877</v>
      </c>
      <c r="D276" s="27" t="s">
        <v>878</v>
      </c>
      <c r="E276" s="28" t="s">
        <v>46</v>
      </c>
      <c r="F276" s="29" t="s">
        <v>46</v>
      </c>
      <c r="G276" s="30" t="s">
        <v>46</v>
      </c>
      <c r="H276" s="31"/>
      <c r="I276" s="31" t="s">
        <v>47</v>
      </c>
      <c r="J276" s="32" t="n">
        <v>1.0</v>
      </c>
      <c r="K276" s="33" t="n">
        <f>2379</f>
        <v>2379.0</v>
      </c>
      <c r="L276" s="34" t="s">
        <v>48</v>
      </c>
      <c r="M276" s="33" t="n">
        <f>2379</f>
        <v>2379.0</v>
      </c>
      <c r="N276" s="34" t="s">
        <v>48</v>
      </c>
      <c r="O276" s="33" t="n">
        <f>2266</f>
        <v>2266.0</v>
      </c>
      <c r="P276" s="34" t="s">
        <v>72</v>
      </c>
      <c r="Q276" s="33" t="n">
        <f>2365</f>
        <v>2365.0</v>
      </c>
      <c r="R276" s="34" t="s">
        <v>50</v>
      </c>
      <c r="S276" s="35" t="n">
        <f>2321.19</f>
        <v>2321.19</v>
      </c>
      <c r="T276" s="32" t="n">
        <f>927</f>
        <v>927.0</v>
      </c>
      <c r="U276" s="32" t="str">
        <f>"－"</f>
        <v>－</v>
      </c>
      <c r="V276" s="32" t="n">
        <f>2148749</f>
        <v>2148749.0</v>
      </c>
      <c r="W276" s="32" t="str">
        <f>"－"</f>
        <v>－</v>
      </c>
      <c r="X276" s="36" t="n">
        <f>21</f>
        <v>21.0</v>
      </c>
    </row>
    <row r="277">
      <c r="A277" s="27" t="s">
        <v>42</v>
      </c>
      <c r="B277" s="27" t="s">
        <v>879</v>
      </c>
      <c r="C277" s="27" t="s">
        <v>880</v>
      </c>
      <c r="D277" s="27" t="s">
        <v>881</v>
      </c>
      <c r="E277" s="28" t="s">
        <v>46</v>
      </c>
      <c r="F277" s="29" t="s">
        <v>46</v>
      </c>
      <c r="G277" s="30" t="s">
        <v>46</v>
      </c>
      <c r="H277" s="31"/>
      <c r="I277" s="31" t="s">
        <v>47</v>
      </c>
      <c r="J277" s="32" t="n">
        <v>1.0</v>
      </c>
      <c r="K277" s="33" t="n">
        <f>3320</f>
        <v>3320.0</v>
      </c>
      <c r="L277" s="34" t="s">
        <v>48</v>
      </c>
      <c r="M277" s="33" t="n">
        <f>3370</f>
        <v>3370.0</v>
      </c>
      <c r="N277" s="34" t="s">
        <v>48</v>
      </c>
      <c r="O277" s="33" t="n">
        <f>3035</f>
        <v>3035.0</v>
      </c>
      <c r="P277" s="34" t="s">
        <v>72</v>
      </c>
      <c r="Q277" s="33" t="n">
        <f>3225</f>
        <v>3225.0</v>
      </c>
      <c r="R277" s="34" t="s">
        <v>50</v>
      </c>
      <c r="S277" s="35" t="n">
        <f>3159.77</f>
        <v>3159.77</v>
      </c>
      <c r="T277" s="32" t="n">
        <f>1686289</f>
        <v>1686289.0</v>
      </c>
      <c r="U277" s="32" t="n">
        <f>90500</f>
        <v>90500.0</v>
      </c>
      <c r="V277" s="32" t="n">
        <f>5375434237</f>
        <v>5.375434237E9</v>
      </c>
      <c r="W277" s="32" t="n">
        <f>294789717</f>
        <v>2.94789717E8</v>
      </c>
      <c r="X277" s="36" t="n">
        <f>22</f>
        <v>22.0</v>
      </c>
    </row>
    <row r="278">
      <c r="A278" s="27" t="s">
        <v>42</v>
      </c>
      <c r="B278" s="27" t="s">
        <v>882</v>
      </c>
      <c r="C278" s="27" t="s">
        <v>883</v>
      </c>
      <c r="D278" s="27" t="s">
        <v>884</v>
      </c>
      <c r="E278" s="28" t="s">
        <v>46</v>
      </c>
      <c r="F278" s="29" t="s">
        <v>46</v>
      </c>
      <c r="G278" s="30" t="s">
        <v>46</v>
      </c>
      <c r="H278" s="31"/>
      <c r="I278" s="31" t="s">
        <v>47</v>
      </c>
      <c r="J278" s="32" t="n">
        <v>1.0</v>
      </c>
      <c r="K278" s="33" t="n">
        <f>1943</f>
        <v>1943.0</v>
      </c>
      <c r="L278" s="34" t="s">
        <v>48</v>
      </c>
      <c r="M278" s="33" t="n">
        <f>1993</f>
        <v>1993.0</v>
      </c>
      <c r="N278" s="34" t="s">
        <v>114</v>
      </c>
      <c r="O278" s="33" t="n">
        <f>1887</f>
        <v>1887.0</v>
      </c>
      <c r="P278" s="34" t="s">
        <v>72</v>
      </c>
      <c r="Q278" s="33" t="n">
        <f>1965</f>
        <v>1965.0</v>
      </c>
      <c r="R278" s="34" t="s">
        <v>50</v>
      </c>
      <c r="S278" s="35" t="n">
        <f>1939.86</f>
        <v>1939.86</v>
      </c>
      <c r="T278" s="32" t="n">
        <f>19709</f>
        <v>19709.0</v>
      </c>
      <c r="U278" s="32" t="str">
        <f>"－"</f>
        <v>－</v>
      </c>
      <c r="V278" s="32" t="n">
        <f>38563058</f>
        <v>3.8563058E7</v>
      </c>
      <c r="W278" s="32" t="str">
        <f>"－"</f>
        <v>－</v>
      </c>
      <c r="X278" s="36" t="n">
        <f>22</f>
        <v>22.0</v>
      </c>
    </row>
    <row r="279">
      <c r="A279" s="27" t="s">
        <v>42</v>
      </c>
      <c r="B279" s="27" t="s">
        <v>885</v>
      </c>
      <c r="C279" s="27" t="s">
        <v>886</v>
      </c>
      <c r="D279" s="27" t="s">
        <v>887</v>
      </c>
      <c r="E279" s="28" t="s">
        <v>46</v>
      </c>
      <c r="F279" s="29" t="s">
        <v>46</v>
      </c>
      <c r="G279" s="30" t="s">
        <v>46</v>
      </c>
      <c r="H279" s="31"/>
      <c r="I279" s="31" t="s">
        <v>47</v>
      </c>
      <c r="J279" s="32" t="n">
        <v>1.0</v>
      </c>
      <c r="K279" s="33" t="n">
        <f>1713</f>
        <v>1713.0</v>
      </c>
      <c r="L279" s="34" t="s">
        <v>48</v>
      </c>
      <c r="M279" s="33" t="n">
        <f>1730</f>
        <v>1730.0</v>
      </c>
      <c r="N279" s="34" t="s">
        <v>48</v>
      </c>
      <c r="O279" s="33" t="n">
        <f>1610</f>
        <v>1610.0</v>
      </c>
      <c r="P279" s="34" t="s">
        <v>49</v>
      </c>
      <c r="Q279" s="33" t="n">
        <f>1717</f>
        <v>1717.0</v>
      </c>
      <c r="R279" s="34" t="s">
        <v>50</v>
      </c>
      <c r="S279" s="35" t="n">
        <f>1673.27</f>
        <v>1673.27</v>
      </c>
      <c r="T279" s="32" t="n">
        <f>12491</f>
        <v>12491.0</v>
      </c>
      <c r="U279" s="32" t="str">
        <f>"－"</f>
        <v>－</v>
      </c>
      <c r="V279" s="32" t="n">
        <f>21103756</f>
        <v>2.1103756E7</v>
      </c>
      <c r="W279" s="32" t="str">
        <f>"－"</f>
        <v>－</v>
      </c>
      <c r="X279" s="36" t="n">
        <f>22</f>
        <v>22.0</v>
      </c>
    </row>
    <row r="280">
      <c r="A280" s="27" t="s">
        <v>42</v>
      </c>
      <c r="B280" s="27" t="s">
        <v>888</v>
      </c>
      <c r="C280" s="27" t="s">
        <v>889</v>
      </c>
      <c r="D280" s="27" t="s">
        <v>890</v>
      </c>
      <c r="E280" s="28" t="s">
        <v>46</v>
      </c>
      <c r="F280" s="29" t="s">
        <v>46</v>
      </c>
      <c r="G280" s="30" t="s">
        <v>46</v>
      </c>
      <c r="H280" s="31"/>
      <c r="I280" s="31" t="s">
        <v>47</v>
      </c>
      <c r="J280" s="32" t="n">
        <v>10.0</v>
      </c>
      <c r="K280" s="33" t="n">
        <f>5306</f>
        <v>5306.0</v>
      </c>
      <c r="L280" s="34" t="s">
        <v>48</v>
      </c>
      <c r="M280" s="33" t="n">
        <f>5400</f>
        <v>5400.0</v>
      </c>
      <c r="N280" s="34" t="s">
        <v>50</v>
      </c>
      <c r="O280" s="33" t="n">
        <f>5238</f>
        <v>5238.0</v>
      </c>
      <c r="P280" s="34" t="s">
        <v>154</v>
      </c>
      <c r="Q280" s="33" t="n">
        <f>5400</f>
        <v>5400.0</v>
      </c>
      <c r="R280" s="34" t="s">
        <v>50</v>
      </c>
      <c r="S280" s="35" t="n">
        <f>5326.6</f>
        <v>5326.6</v>
      </c>
      <c r="T280" s="32" t="n">
        <f>406150</f>
        <v>406150.0</v>
      </c>
      <c r="U280" s="32" t="n">
        <f>251900</f>
        <v>251900.0</v>
      </c>
      <c r="V280" s="32" t="n">
        <f>2159033849</f>
        <v>2.159033849E9</v>
      </c>
      <c r="W280" s="32" t="n">
        <f>1336620299</f>
        <v>1.336620299E9</v>
      </c>
      <c r="X280" s="36" t="n">
        <f>20</f>
        <v>20.0</v>
      </c>
    </row>
    <row r="281">
      <c r="A281" s="27" t="s">
        <v>42</v>
      </c>
      <c r="B281" s="27" t="s">
        <v>891</v>
      </c>
      <c r="C281" s="27" t="s">
        <v>892</v>
      </c>
      <c r="D281" s="27" t="s">
        <v>893</v>
      </c>
      <c r="E281" s="28" t="s">
        <v>46</v>
      </c>
      <c r="F281" s="29" t="s">
        <v>46</v>
      </c>
      <c r="G281" s="30" t="s">
        <v>46</v>
      </c>
      <c r="H281" s="31"/>
      <c r="I281" s="31" t="s">
        <v>47</v>
      </c>
      <c r="J281" s="32" t="n">
        <v>10.0</v>
      </c>
      <c r="K281" s="33" t="n">
        <f>3973</f>
        <v>3973.0</v>
      </c>
      <c r="L281" s="34" t="s">
        <v>48</v>
      </c>
      <c r="M281" s="33" t="n">
        <f>3973</f>
        <v>3973.0</v>
      </c>
      <c r="N281" s="34" t="s">
        <v>48</v>
      </c>
      <c r="O281" s="33" t="n">
        <f>3845</f>
        <v>3845.0</v>
      </c>
      <c r="P281" s="34" t="s">
        <v>60</v>
      </c>
      <c r="Q281" s="33" t="n">
        <f>3906</f>
        <v>3906.0</v>
      </c>
      <c r="R281" s="34" t="s">
        <v>50</v>
      </c>
      <c r="S281" s="35" t="n">
        <f>3896.05</f>
        <v>3896.05</v>
      </c>
      <c r="T281" s="32" t="n">
        <f>2264510</f>
        <v>2264510.0</v>
      </c>
      <c r="U281" s="32" t="n">
        <f>1992300</f>
        <v>1992300.0</v>
      </c>
      <c r="V281" s="32" t="n">
        <f>8741044230</f>
        <v>8.74104423E9</v>
      </c>
      <c r="W281" s="32" t="n">
        <f>7673268720</f>
        <v>7.67326872E9</v>
      </c>
      <c r="X281" s="36" t="n">
        <f>20</f>
        <v>20.0</v>
      </c>
    </row>
    <row r="282">
      <c r="A282" s="27" t="s">
        <v>42</v>
      </c>
      <c r="B282" s="27" t="s">
        <v>894</v>
      </c>
      <c r="C282" s="27" t="s">
        <v>895</v>
      </c>
      <c r="D282" s="27" t="s">
        <v>896</v>
      </c>
      <c r="E282" s="28" t="s">
        <v>46</v>
      </c>
      <c r="F282" s="29" t="s">
        <v>46</v>
      </c>
      <c r="G282" s="30" t="s">
        <v>46</v>
      </c>
      <c r="H282" s="31"/>
      <c r="I282" s="31" t="s">
        <v>47</v>
      </c>
      <c r="J282" s="32" t="n">
        <v>10.0</v>
      </c>
      <c r="K282" s="33" t="n">
        <f>661.1</f>
        <v>661.1</v>
      </c>
      <c r="L282" s="34" t="s">
        <v>209</v>
      </c>
      <c r="M282" s="33" t="n">
        <f>665</f>
        <v>665.0</v>
      </c>
      <c r="N282" s="34" t="s">
        <v>205</v>
      </c>
      <c r="O282" s="33" t="n">
        <f>646</f>
        <v>646.0</v>
      </c>
      <c r="P282" s="34" t="s">
        <v>314</v>
      </c>
      <c r="Q282" s="33" t="n">
        <f>658</f>
        <v>658.0</v>
      </c>
      <c r="R282" s="34" t="s">
        <v>50</v>
      </c>
      <c r="S282" s="35" t="n">
        <f>655.25</f>
        <v>655.25</v>
      </c>
      <c r="T282" s="32" t="n">
        <f>13300</f>
        <v>13300.0</v>
      </c>
      <c r="U282" s="32" t="str">
        <f>"－"</f>
        <v>－</v>
      </c>
      <c r="V282" s="32" t="n">
        <f>8680811</f>
        <v>8680811.0</v>
      </c>
      <c r="W282" s="32" t="str">
        <f>"－"</f>
        <v>－</v>
      </c>
      <c r="X282" s="36" t="n">
        <f>19</f>
        <v>19.0</v>
      </c>
    </row>
    <row r="283">
      <c r="A283" s="27" t="s">
        <v>42</v>
      </c>
      <c r="B283" s="27" t="s">
        <v>897</v>
      </c>
      <c r="C283" s="27" t="s">
        <v>898</v>
      </c>
      <c r="D283" s="27" t="s">
        <v>899</v>
      </c>
      <c r="E283" s="28" t="s">
        <v>46</v>
      </c>
      <c r="F283" s="29" t="s">
        <v>46</v>
      </c>
      <c r="G283" s="30" t="s">
        <v>46</v>
      </c>
      <c r="H283" s="31"/>
      <c r="I283" s="31" t="s">
        <v>47</v>
      </c>
      <c r="J283" s="32" t="n">
        <v>1.0</v>
      </c>
      <c r="K283" s="33" t="n">
        <f>2245</f>
        <v>2245.0</v>
      </c>
      <c r="L283" s="34" t="s">
        <v>48</v>
      </c>
      <c r="M283" s="33" t="n">
        <f>2245</f>
        <v>2245.0</v>
      </c>
      <c r="N283" s="34" t="s">
        <v>48</v>
      </c>
      <c r="O283" s="33" t="n">
        <f>2088</f>
        <v>2088.0</v>
      </c>
      <c r="P283" s="34" t="s">
        <v>72</v>
      </c>
      <c r="Q283" s="33" t="n">
        <f>2183</f>
        <v>2183.0</v>
      </c>
      <c r="R283" s="34" t="s">
        <v>50</v>
      </c>
      <c r="S283" s="35" t="n">
        <f>2160.64</f>
        <v>2160.64</v>
      </c>
      <c r="T283" s="32" t="n">
        <f>5435</f>
        <v>5435.0</v>
      </c>
      <c r="U283" s="32" t="str">
        <f>"－"</f>
        <v>－</v>
      </c>
      <c r="V283" s="32" t="n">
        <f>11743217</f>
        <v>1.1743217E7</v>
      </c>
      <c r="W283" s="32" t="str">
        <f>"－"</f>
        <v>－</v>
      </c>
      <c r="X283" s="36" t="n">
        <f>22</f>
        <v>22.0</v>
      </c>
    </row>
    <row r="284">
      <c r="A284" s="27" t="s">
        <v>42</v>
      </c>
      <c r="B284" s="27" t="s">
        <v>900</v>
      </c>
      <c r="C284" s="27" t="s">
        <v>901</v>
      </c>
      <c r="D284" s="27" t="s">
        <v>902</v>
      </c>
      <c r="E284" s="28" t="s">
        <v>46</v>
      </c>
      <c r="F284" s="29" t="s">
        <v>46</v>
      </c>
      <c r="G284" s="30" t="s">
        <v>46</v>
      </c>
      <c r="H284" s="31"/>
      <c r="I284" s="31" t="s">
        <v>47</v>
      </c>
      <c r="J284" s="32" t="n">
        <v>1.0</v>
      </c>
      <c r="K284" s="33" t="n">
        <f>2138</f>
        <v>2138.0</v>
      </c>
      <c r="L284" s="34" t="s">
        <v>48</v>
      </c>
      <c r="M284" s="33" t="n">
        <f>2138</f>
        <v>2138.0</v>
      </c>
      <c r="N284" s="34" t="s">
        <v>48</v>
      </c>
      <c r="O284" s="33" t="n">
        <f>2021</f>
        <v>2021.0</v>
      </c>
      <c r="P284" s="34" t="s">
        <v>72</v>
      </c>
      <c r="Q284" s="33" t="n">
        <f>2128</f>
        <v>2128.0</v>
      </c>
      <c r="R284" s="34" t="s">
        <v>50</v>
      </c>
      <c r="S284" s="35" t="n">
        <f>2086.36</f>
        <v>2086.36</v>
      </c>
      <c r="T284" s="32" t="n">
        <f>1871</f>
        <v>1871.0</v>
      </c>
      <c r="U284" s="32" t="str">
        <f>"－"</f>
        <v>－</v>
      </c>
      <c r="V284" s="32" t="n">
        <f>3919442</f>
        <v>3919442.0</v>
      </c>
      <c r="W284" s="32" t="str">
        <f>"－"</f>
        <v>－</v>
      </c>
      <c r="X284" s="36" t="n">
        <f>22</f>
        <v>22.0</v>
      </c>
    </row>
    <row r="285">
      <c r="A285" s="27" t="s">
        <v>42</v>
      </c>
      <c r="B285" s="27" t="s">
        <v>903</v>
      </c>
      <c r="C285" s="27" t="s">
        <v>904</v>
      </c>
      <c r="D285" s="27" t="s">
        <v>905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1.0</v>
      </c>
      <c r="K285" s="33" t="n">
        <f>7939</f>
        <v>7939.0</v>
      </c>
      <c r="L285" s="34" t="s">
        <v>48</v>
      </c>
      <c r="M285" s="33" t="n">
        <f>8046</f>
        <v>8046.0</v>
      </c>
      <c r="N285" s="34" t="s">
        <v>50</v>
      </c>
      <c r="O285" s="33" t="n">
        <f>7819</f>
        <v>7819.0</v>
      </c>
      <c r="P285" s="34" t="s">
        <v>154</v>
      </c>
      <c r="Q285" s="33" t="n">
        <f>8030</f>
        <v>8030.0</v>
      </c>
      <c r="R285" s="34" t="s">
        <v>50</v>
      </c>
      <c r="S285" s="35" t="n">
        <f>7933.05</f>
        <v>7933.05</v>
      </c>
      <c r="T285" s="32" t="n">
        <f>450839</f>
        <v>450839.0</v>
      </c>
      <c r="U285" s="32" t="n">
        <f>402586</f>
        <v>402586.0</v>
      </c>
      <c r="V285" s="32" t="n">
        <f>3579605047</f>
        <v>3.579605047E9</v>
      </c>
      <c r="W285" s="32" t="n">
        <f>3195937813</f>
        <v>3.195937813E9</v>
      </c>
      <c r="X285" s="36" t="n">
        <f>22</f>
        <v>22.0</v>
      </c>
    </row>
    <row r="286">
      <c r="A286" s="27" t="s">
        <v>42</v>
      </c>
      <c r="B286" s="27" t="s">
        <v>906</v>
      </c>
      <c r="C286" s="27" t="s">
        <v>907</v>
      </c>
      <c r="D286" s="27" t="s">
        <v>908</v>
      </c>
      <c r="E286" s="28" t="s">
        <v>46</v>
      </c>
      <c r="F286" s="29" t="s">
        <v>46</v>
      </c>
      <c r="G286" s="30" t="s">
        <v>46</v>
      </c>
      <c r="H286" s="31"/>
      <c r="I286" s="31" t="s">
        <v>47</v>
      </c>
      <c r="J286" s="32" t="n">
        <v>1.0</v>
      </c>
      <c r="K286" s="33" t="n">
        <f>5885</f>
        <v>5885.0</v>
      </c>
      <c r="L286" s="34" t="s">
        <v>48</v>
      </c>
      <c r="M286" s="33" t="n">
        <f>5902</f>
        <v>5902.0</v>
      </c>
      <c r="N286" s="34" t="s">
        <v>48</v>
      </c>
      <c r="O286" s="33" t="n">
        <f>5690</f>
        <v>5690.0</v>
      </c>
      <c r="P286" s="34" t="s">
        <v>60</v>
      </c>
      <c r="Q286" s="33" t="n">
        <f>5790</f>
        <v>5790.0</v>
      </c>
      <c r="R286" s="34" t="s">
        <v>50</v>
      </c>
      <c r="S286" s="35" t="n">
        <f>5797.05</f>
        <v>5797.05</v>
      </c>
      <c r="T286" s="32" t="n">
        <f>96343</f>
        <v>96343.0</v>
      </c>
      <c r="U286" s="32" t="n">
        <f>68710</f>
        <v>68710.0</v>
      </c>
      <c r="V286" s="32" t="n">
        <f>559239556</f>
        <v>5.59239556E8</v>
      </c>
      <c r="W286" s="32" t="n">
        <f>399126156</f>
        <v>3.99126156E8</v>
      </c>
      <c r="X286" s="36" t="n">
        <f>22</f>
        <v>22.0</v>
      </c>
    </row>
    <row r="287">
      <c r="A287" s="27" t="s">
        <v>42</v>
      </c>
      <c r="B287" s="27" t="s">
        <v>909</v>
      </c>
      <c r="C287" s="27" t="s">
        <v>910</v>
      </c>
      <c r="D287" s="27" t="s">
        <v>911</v>
      </c>
      <c r="E287" s="28" t="s">
        <v>46</v>
      </c>
      <c r="F287" s="29" t="s">
        <v>46</v>
      </c>
      <c r="G287" s="30" t="s">
        <v>46</v>
      </c>
      <c r="H287" s="31"/>
      <c r="I287" s="31" t="s">
        <v>47</v>
      </c>
      <c r="J287" s="32" t="n">
        <v>1.0</v>
      </c>
      <c r="K287" s="33" t="n">
        <f>20930</f>
        <v>20930.0</v>
      </c>
      <c r="L287" s="34" t="s">
        <v>48</v>
      </c>
      <c r="M287" s="33" t="n">
        <f>21110</f>
        <v>21110.0</v>
      </c>
      <c r="N287" s="34" t="s">
        <v>50</v>
      </c>
      <c r="O287" s="33" t="n">
        <f>19895</f>
        <v>19895.0</v>
      </c>
      <c r="P287" s="34" t="s">
        <v>68</v>
      </c>
      <c r="Q287" s="33" t="n">
        <f>21065</f>
        <v>21065.0</v>
      </c>
      <c r="R287" s="34" t="s">
        <v>50</v>
      </c>
      <c r="S287" s="35" t="n">
        <f>20499.77</f>
        <v>20499.77</v>
      </c>
      <c r="T287" s="32" t="n">
        <f>426777</f>
        <v>426777.0</v>
      </c>
      <c r="U287" s="32" t="n">
        <f>70</f>
        <v>70.0</v>
      </c>
      <c r="V287" s="32" t="n">
        <f>8784264975</f>
        <v>8.784264975E9</v>
      </c>
      <c r="W287" s="32" t="n">
        <f>1467175</f>
        <v>1467175.0</v>
      </c>
      <c r="X287" s="36" t="n">
        <f>22</f>
        <v>22.0</v>
      </c>
    </row>
    <row r="288">
      <c r="A288" s="27" t="s">
        <v>42</v>
      </c>
      <c r="B288" s="27" t="s">
        <v>912</v>
      </c>
      <c r="C288" s="27" t="s">
        <v>913</v>
      </c>
      <c r="D288" s="27" t="s">
        <v>914</v>
      </c>
      <c r="E288" s="28" t="s">
        <v>46</v>
      </c>
      <c r="F288" s="29" t="s">
        <v>46</v>
      </c>
      <c r="G288" s="30" t="s">
        <v>46</v>
      </c>
      <c r="H288" s="31"/>
      <c r="I288" s="31" t="s">
        <v>47</v>
      </c>
      <c r="J288" s="32" t="n">
        <v>1.0</v>
      </c>
      <c r="K288" s="33" t="n">
        <f>10440</f>
        <v>10440.0</v>
      </c>
      <c r="L288" s="34" t="s">
        <v>48</v>
      </c>
      <c r="M288" s="33" t="n">
        <f>10460</f>
        <v>10460.0</v>
      </c>
      <c r="N288" s="34" t="s">
        <v>48</v>
      </c>
      <c r="O288" s="33" t="n">
        <f>9689</f>
        <v>9689.0</v>
      </c>
      <c r="P288" s="34" t="s">
        <v>68</v>
      </c>
      <c r="Q288" s="33" t="n">
        <f>10205</f>
        <v>10205.0</v>
      </c>
      <c r="R288" s="34" t="s">
        <v>50</v>
      </c>
      <c r="S288" s="35" t="n">
        <f>10029.23</f>
        <v>10029.23</v>
      </c>
      <c r="T288" s="32" t="n">
        <f>560538</f>
        <v>560538.0</v>
      </c>
      <c r="U288" s="32" t="n">
        <f>97101</f>
        <v>97101.0</v>
      </c>
      <c r="V288" s="32" t="n">
        <f>5642258593</f>
        <v>5.642258593E9</v>
      </c>
      <c r="W288" s="32" t="n">
        <f>987399675</f>
        <v>9.87399675E8</v>
      </c>
      <c r="X288" s="36" t="n">
        <f>22</f>
        <v>22.0</v>
      </c>
    </row>
    <row r="289">
      <c r="A289" s="27" t="s">
        <v>42</v>
      </c>
      <c r="B289" s="27" t="s">
        <v>915</v>
      </c>
      <c r="C289" s="27" t="s">
        <v>916</v>
      </c>
      <c r="D289" s="27" t="s">
        <v>917</v>
      </c>
      <c r="E289" s="28" t="s">
        <v>46</v>
      </c>
      <c r="F289" s="29" t="s">
        <v>46</v>
      </c>
      <c r="G289" s="30" t="s">
        <v>46</v>
      </c>
      <c r="H289" s="31"/>
      <c r="I289" s="31" t="s">
        <v>47</v>
      </c>
      <c r="J289" s="32" t="n">
        <v>1.0</v>
      </c>
      <c r="K289" s="33" t="n">
        <f>23090</f>
        <v>23090.0</v>
      </c>
      <c r="L289" s="34" t="s">
        <v>48</v>
      </c>
      <c r="M289" s="33" t="n">
        <f>24835</f>
        <v>24835.0</v>
      </c>
      <c r="N289" s="34" t="s">
        <v>68</v>
      </c>
      <c r="O289" s="33" t="n">
        <f>23060</f>
        <v>23060.0</v>
      </c>
      <c r="P289" s="34" t="s">
        <v>48</v>
      </c>
      <c r="Q289" s="33" t="n">
        <f>23535</f>
        <v>23535.0</v>
      </c>
      <c r="R289" s="34" t="s">
        <v>50</v>
      </c>
      <c r="S289" s="35" t="n">
        <f>24015.68</f>
        <v>24015.68</v>
      </c>
      <c r="T289" s="32" t="n">
        <f>391179</f>
        <v>391179.0</v>
      </c>
      <c r="U289" s="32" t="n">
        <f>115400</f>
        <v>115400.0</v>
      </c>
      <c r="V289" s="32" t="n">
        <f>9416908780</f>
        <v>9.41690878E9</v>
      </c>
      <c r="W289" s="32" t="n">
        <f>2774782200</f>
        <v>2.7747822E9</v>
      </c>
      <c r="X289" s="36" t="n">
        <f>22</f>
        <v>22.0</v>
      </c>
    </row>
    <row r="290">
      <c r="A290" s="27" t="s">
        <v>42</v>
      </c>
      <c r="B290" s="27" t="s">
        <v>918</v>
      </c>
      <c r="C290" s="27" t="s">
        <v>919</v>
      </c>
      <c r="D290" s="27" t="s">
        <v>920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10.0</v>
      </c>
      <c r="K290" s="33" t="n">
        <f>4277</f>
        <v>4277.0</v>
      </c>
      <c r="L290" s="34" t="s">
        <v>48</v>
      </c>
      <c r="M290" s="33" t="n">
        <f>4373</f>
        <v>4373.0</v>
      </c>
      <c r="N290" s="34" t="s">
        <v>72</v>
      </c>
      <c r="O290" s="33" t="n">
        <f>4140</f>
        <v>4140.0</v>
      </c>
      <c r="P290" s="34" t="s">
        <v>60</v>
      </c>
      <c r="Q290" s="33" t="n">
        <f>4238</f>
        <v>4238.0</v>
      </c>
      <c r="R290" s="34" t="s">
        <v>50</v>
      </c>
      <c r="S290" s="35" t="n">
        <f>4210.06</f>
        <v>4210.06</v>
      </c>
      <c r="T290" s="32" t="n">
        <f>381540</f>
        <v>381540.0</v>
      </c>
      <c r="U290" s="32" t="n">
        <f>370000</f>
        <v>370000.0</v>
      </c>
      <c r="V290" s="32" t="n">
        <f>1607157846</f>
        <v>1.607157846E9</v>
      </c>
      <c r="W290" s="32" t="n">
        <f>1558920716</f>
        <v>1.558920716E9</v>
      </c>
      <c r="X290" s="36" t="n">
        <f>17</f>
        <v>17.0</v>
      </c>
    </row>
    <row r="291">
      <c r="A291" s="27" t="s">
        <v>42</v>
      </c>
      <c r="B291" s="27" t="s">
        <v>921</v>
      </c>
      <c r="C291" s="27" t="s">
        <v>922</v>
      </c>
      <c r="D291" s="27" t="s">
        <v>923</v>
      </c>
      <c r="E291" s="28" t="s">
        <v>46</v>
      </c>
      <c r="F291" s="29" t="s">
        <v>46</v>
      </c>
      <c r="G291" s="30" t="s">
        <v>46</v>
      </c>
      <c r="H291" s="31"/>
      <c r="I291" s="31" t="s">
        <v>47</v>
      </c>
      <c r="J291" s="32" t="n">
        <v>10.0</v>
      </c>
      <c r="K291" s="33" t="n">
        <f>5082</f>
        <v>5082.0</v>
      </c>
      <c r="L291" s="34" t="s">
        <v>48</v>
      </c>
      <c r="M291" s="33" t="n">
        <f>5136</f>
        <v>5136.0</v>
      </c>
      <c r="N291" s="34" t="s">
        <v>114</v>
      </c>
      <c r="O291" s="33" t="n">
        <f>4826</f>
        <v>4826.0</v>
      </c>
      <c r="P291" s="34" t="s">
        <v>49</v>
      </c>
      <c r="Q291" s="33" t="n">
        <f>5011</f>
        <v>5011.0</v>
      </c>
      <c r="R291" s="34" t="s">
        <v>50</v>
      </c>
      <c r="S291" s="35" t="n">
        <f>4931.9</f>
        <v>4931.9</v>
      </c>
      <c r="T291" s="32" t="n">
        <f>65400</f>
        <v>65400.0</v>
      </c>
      <c r="U291" s="32" t="n">
        <f>4010</f>
        <v>4010.0</v>
      </c>
      <c r="V291" s="32" t="n">
        <f>321086650</f>
        <v>3.2108665E8</v>
      </c>
      <c r="W291" s="32" t="n">
        <f>20075760</f>
        <v>2.007576E7</v>
      </c>
      <c r="X291" s="36" t="n">
        <f>20</f>
        <v>20.0</v>
      </c>
    </row>
    <row r="292">
      <c r="A292" s="27" t="s">
        <v>42</v>
      </c>
      <c r="B292" s="27" t="s">
        <v>924</v>
      </c>
      <c r="C292" s="27" t="s">
        <v>925</v>
      </c>
      <c r="D292" s="27" t="s">
        <v>926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10.0</v>
      </c>
      <c r="K292" s="33" t="n">
        <f>2183</f>
        <v>2183.0</v>
      </c>
      <c r="L292" s="34" t="s">
        <v>48</v>
      </c>
      <c r="M292" s="33" t="n">
        <f>2186.5</f>
        <v>2186.5</v>
      </c>
      <c r="N292" s="34" t="s">
        <v>48</v>
      </c>
      <c r="O292" s="33" t="n">
        <f>2017</f>
        <v>2017.0</v>
      </c>
      <c r="P292" s="34" t="s">
        <v>68</v>
      </c>
      <c r="Q292" s="33" t="n">
        <f>2127.5</f>
        <v>2127.5</v>
      </c>
      <c r="R292" s="34" t="s">
        <v>50</v>
      </c>
      <c r="S292" s="35" t="n">
        <f>2091.82</f>
        <v>2091.82</v>
      </c>
      <c r="T292" s="32" t="n">
        <f>1526150</f>
        <v>1526150.0</v>
      </c>
      <c r="U292" s="32" t="n">
        <f>21260</f>
        <v>21260.0</v>
      </c>
      <c r="V292" s="32" t="n">
        <f>3211365785</f>
        <v>3.211365785E9</v>
      </c>
      <c r="W292" s="32" t="n">
        <f>45302995</f>
        <v>4.5302995E7</v>
      </c>
      <c r="X292" s="36" t="n">
        <f>22</f>
        <v>22.0</v>
      </c>
    </row>
    <row r="293">
      <c r="A293" s="27" t="s">
        <v>42</v>
      </c>
      <c r="B293" s="27" t="s">
        <v>927</v>
      </c>
      <c r="C293" s="27" t="s">
        <v>928</v>
      </c>
      <c r="D293" s="27" t="s">
        <v>929</v>
      </c>
      <c r="E293" s="28" t="s">
        <v>46</v>
      </c>
      <c r="F293" s="29" t="s">
        <v>46</v>
      </c>
      <c r="G293" s="30" t="s">
        <v>46</v>
      </c>
      <c r="H293" s="31"/>
      <c r="I293" s="31" t="s">
        <v>47</v>
      </c>
      <c r="J293" s="32" t="n">
        <v>10.0</v>
      </c>
      <c r="K293" s="33" t="n">
        <f>1993</f>
        <v>1993.0</v>
      </c>
      <c r="L293" s="34" t="s">
        <v>48</v>
      </c>
      <c r="M293" s="33" t="n">
        <f>1994</f>
        <v>1994.0</v>
      </c>
      <c r="N293" s="34" t="s">
        <v>48</v>
      </c>
      <c r="O293" s="33" t="n">
        <f>1892.5</f>
        <v>1892.5</v>
      </c>
      <c r="P293" s="34" t="s">
        <v>241</v>
      </c>
      <c r="Q293" s="33" t="n">
        <f>1942</f>
        <v>1942.0</v>
      </c>
      <c r="R293" s="34" t="s">
        <v>50</v>
      </c>
      <c r="S293" s="35" t="n">
        <f>1944.05</f>
        <v>1944.05</v>
      </c>
      <c r="T293" s="32" t="n">
        <f>1148490</f>
        <v>1148490.0</v>
      </c>
      <c r="U293" s="32" t="str">
        <f>"－"</f>
        <v>－</v>
      </c>
      <c r="V293" s="32" t="n">
        <f>2194692775</f>
        <v>2.194692775E9</v>
      </c>
      <c r="W293" s="32" t="str">
        <f>"－"</f>
        <v>－</v>
      </c>
      <c r="X293" s="36" t="n">
        <f>22</f>
        <v>22.0</v>
      </c>
    </row>
    <row r="294">
      <c r="A294" s="27" t="s">
        <v>42</v>
      </c>
      <c r="B294" s="27" t="s">
        <v>930</v>
      </c>
      <c r="C294" s="27" t="s">
        <v>931</v>
      </c>
      <c r="D294" s="27" t="s">
        <v>932</v>
      </c>
      <c r="E294" s="28" t="s">
        <v>46</v>
      </c>
      <c r="F294" s="29" t="s">
        <v>46</v>
      </c>
      <c r="G294" s="30" t="s">
        <v>46</v>
      </c>
      <c r="H294" s="31"/>
      <c r="I294" s="31" t="s">
        <v>47</v>
      </c>
      <c r="J294" s="32" t="n">
        <v>1.0</v>
      </c>
      <c r="K294" s="33" t="n">
        <f>1729</f>
        <v>1729.0</v>
      </c>
      <c r="L294" s="34" t="s">
        <v>48</v>
      </c>
      <c r="M294" s="33" t="n">
        <f>1730</f>
        <v>1730.0</v>
      </c>
      <c r="N294" s="34" t="s">
        <v>67</v>
      </c>
      <c r="O294" s="33" t="n">
        <f>1659</f>
        <v>1659.0</v>
      </c>
      <c r="P294" s="34" t="s">
        <v>154</v>
      </c>
      <c r="Q294" s="33" t="n">
        <f>1727</f>
        <v>1727.0</v>
      </c>
      <c r="R294" s="34" t="s">
        <v>67</v>
      </c>
      <c r="S294" s="35" t="n">
        <f>1693.9</f>
        <v>1693.9</v>
      </c>
      <c r="T294" s="32" t="n">
        <f>4189</f>
        <v>4189.0</v>
      </c>
      <c r="U294" s="32" t="str">
        <f>"－"</f>
        <v>－</v>
      </c>
      <c r="V294" s="32" t="n">
        <f>7073710</f>
        <v>7073710.0</v>
      </c>
      <c r="W294" s="32" t="str">
        <f>"－"</f>
        <v>－</v>
      </c>
      <c r="X294" s="36" t="n">
        <f>20</f>
        <v>20.0</v>
      </c>
    </row>
    <row r="295">
      <c r="A295" s="27" t="s">
        <v>42</v>
      </c>
      <c r="B295" s="27" t="s">
        <v>933</v>
      </c>
      <c r="C295" s="27" t="s">
        <v>934</v>
      </c>
      <c r="D295" s="27" t="s">
        <v>935</v>
      </c>
      <c r="E295" s="28" t="s">
        <v>46</v>
      </c>
      <c r="F295" s="29" t="s">
        <v>46</v>
      </c>
      <c r="G295" s="30" t="s">
        <v>46</v>
      </c>
      <c r="H295" s="31"/>
      <c r="I295" s="31" t="s">
        <v>47</v>
      </c>
      <c r="J295" s="32" t="n">
        <v>1.0</v>
      </c>
      <c r="K295" s="33" t="n">
        <f>1824</f>
        <v>1824.0</v>
      </c>
      <c r="L295" s="34" t="s">
        <v>48</v>
      </c>
      <c r="M295" s="33" t="n">
        <f>1825</f>
        <v>1825.0</v>
      </c>
      <c r="N295" s="34" t="s">
        <v>48</v>
      </c>
      <c r="O295" s="33" t="n">
        <f>1733</f>
        <v>1733.0</v>
      </c>
      <c r="P295" s="34" t="s">
        <v>49</v>
      </c>
      <c r="Q295" s="33" t="n">
        <f>1797</f>
        <v>1797.0</v>
      </c>
      <c r="R295" s="34" t="s">
        <v>50</v>
      </c>
      <c r="S295" s="35" t="n">
        <f>1773.64</f>
        <v>1773.64</v>
      </c>
      <c r="T295" s="32" t="n">
        <f>1480</f>
        <v>1480.0</v>
      </c>
      <c r="U295" s="32" t="str">
        <f>"－"</f>
        <v>－</v>
      </c>
      <c r="V295" s="32" t="n">
        <f>2627570</f>
        <v>2627570.0</v>
      </c>
      <c r="W295" s="32" t="str">
        <f>"－"</f>
        <v>－</v>
      </c>
      <c r="X295" s="36" t="n">
        <f>22</f>
        <v>22.0</v>
      </c>
    </row>
    <row r="296">
      <c r="A296" s="27" t="s">
        <v>42</v>
      </c>
      <c r="B296" s="27" t="s">
        <v>936</v>
      </c>
      <c r="C296" s="27" t="s">
        <v>937</v>
      </c>
      <c r="D296" s="27" t="s">
        <v>938</v>
      </c>
      <c r="E296" s="28" t="s">
        <v>46</v>
      </c>
      <c r="F296" s="29" t="s">
        <v>46</v>
      </c>
      <c r="G296" s="30" t="s">
        <v>46</v>
      </c>
      <c r="H296" s="31"/>
      <c r="I296" s="31" t="s">
        <v>47</v>
      </c>
      <c r="J296" s="32" t="n">
        <v>1.0</v>
      </c>
      <c r="K296" s="33" t="n">
        <f>3830</f>
        <v>3830.0</v>
      </c>
      <c r="L296" s="34" t="s">
        <v>48</v>
      </c>
      <c r="M296" s="33" t="n">
        <f>3870</f>
        <v>3870.0</v>
      </c>
      <c r="N296" s="34" t="s">
        <v>50</v>
      </c>
      <c r="O296" s="33" t="n">
        <f>3725</f>
        <v>3725.0</v>
      </c>
      <c r="P296" s="34" t="s">
        <v>72</v>
      </c>
      <c r="Q296" s="33" t="n">
        <f>3870</f>
        <v>3870.0</v>
      </c>
      <c r="R296" s="34" t="s">
        <v>50</v>
      </c>
      <c r="S296" s="35" t="n">
        <f>3799.55</f>
        <v>3799.55</v>
      </c>
      <c r="T296" s="32" t="n">
        <f>32293</f>
        <v>32293.0</v>
      </c>
      <c r="U296" s="32" t="n">
        <f>20000</f>
        <v>20000.0</v>
      </c>
      <c r="V296" s="32" t="n">
        <f>122041115</f>
        <v>1.22041115E8</v>
      </c>
      <c r="W296" s="32" t="n">
        <f>75675000</f>
        <v>7.5675E7</v>
      </c>
      <c r="X296" s="36" t="n">
        <f>22</f>
        <v>22.0</v>
      </c>
    </row>
    <row r="297">
      <c r="A297" s="27" t="s">
        <v>42</v>
      </c>
      <c r="B297" s="27" t="s">
        <v>939</v>
      </c>
      <c r="C297" s="27" t="s">
        <v>940</v>
      </c>
      <c r="D297" s="27" t="s">
        <v>941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10.0</v>
      </c>
      <c r="K297" s="33" t="n">
        <f>2293</f>
        <v>2293.0</v>
      </c>
      <c r="L297" s="34" t="s">
        <v>173</v>
      </c>
      <c r="M297" s="33" t="n">
        <f>2293</f>
        <v>2293.0</v>
      </c>
      <c r="N297" s="34" t="s">
        <v>173</v>
      </c>
      <c r="O297" s="33" t="n">
        <f>2243</f>
        <v>2243.0</v>
      </c>
      <c r="P297" s="34" t="s">
        <v>60</v>
      </c>
      <c r="Q297" s="33" t="n">
        <f>2243</f>
        <v>2243.0</v>
      </c>
      <c r="R297" s="34" t="s">
        <v>60</v>
      </c>
      <c r="S297" s="35" t="n">
        <f>2268</f>
        <v>2268.0</v>
      </c>
      <c r="T297" s="32" t="n">
        <f>180</f>
        <v>180.0</v>
      </c>
      <c r="U297" s="32" t="str">
        <f>"－"</f>
        <v>－</v>
      </c>
      <c r="V297" s="32" t="n">
        <f>407740</f>
        <v>407740.0</v>
      </c>
      <c r="W297" s="32" t="str">
        <f>"－"</f>
        <v>－</v>
      </c>
      <c r="X297" s="36" t="n">
        <f>2</f>
        <v>2.0</v>
      </c>
    </row>
    <row r="298">
      <c r="A298" s="27" t="s">
        <v>42</v>
      </c>
      <c r="B298" s="27" t="s">
        <v>942</v>
      </c>
      <c r="C298" s="27" t="s">
        <v>943</v>
      </c>
      <c r="D298" s="27" t="s">
        <v>944</v>
      </c>
      <c r="E298" s="28" t="s">
        <v>46</v>
      </c>
      <c r="F298" s="29" t="s">
        <v>46</v>
      </c>
      <c r="G298" s="30" t="s">
        <v>46</v>
      </c>
      <c r="H298" s="31"/>
      <c r="I298" s="31" t="s">
        <v>47</v>
      </c>
      <c r="J298" s="32" t="n">
        <v>10.0</v>
      </c>
      <c r="K298" s="33" t="n">
        <f>235</f>
        <v>235.0</v>
      </c>
      <c r="L298" s="34" t="s">
        <v>48</v>
      </c>
      <c r="M298" s="33" t="n">
        <f>235</f>
        <v>235.0</v>
      </c>
      <c r="N298" s="34" t="s">
        <v>48</v>
      </c>
      <c r="O298" s="33" t="n">
        <f>217.3</f>
        <v>217.3</v>
      </c>
      <c r="P298" s="34" t="s">
        <v>72</v>
      </c>
      <c r="Q298" s="33" t="n">
        <f>228.3</f>
        <v>228.3</v>
      </c>
      <c r="R298" s="34" t="s">
        <v>50</v>
      </c>
      <c r="S298" s="35" t="n">
        <f>226.96</f>
        <v>226.96</v>
      </c>
      <c r="T298" s="32" t="n">
        <f>9580</f>
        <v>9580.0</v>
      </c>
      <c r="U298" s="32" t="str">
        <f>"－"</f>
        <v>－</v>
      </c>
      <c r="V298" s="32" t="n">
        <f>2143834</f>
        <v>2143834.0</v>
      </c>
      <c r="W298" s="32" t="str">
        <f>"－"</f>
        <v>－</v>
      </c>
      <c r="X298" s="36" t="n">
        <f>22</f>
        <v>22.0</v>
      </c>
    </row>
    <row r="299">
      <c r="A299" s="27" t="s">
        <v>42</v>
      </c>
      <c r="B299" s="27" t="s">
        <v>945</v>
      </c>
      <c r="C299" s="27" t="s">
        <v>946</v>
      </c>
      <c r="D299" s="27" t="s">
        <v>947</v>
      </c>
      <c r="E299" s="28" t="s">
        <v>46</v>
      </c>
      <c r="F299" s="29" t="s">
        <v>46</v>
      </c>
      <c r="G299" s="30" t="s">
        <v>46</v>
      </c>
      <c r="H299" s="31"/>
      <c r="I299" s="31" t="s">
        <v>47</v>
      </c>
      <c r="J299" s="32" t="n">
        <v>10.0</v>
      </c>
      <c r="K299" s="33" t="n">
        <f>191.5</f>
        <v>191.5</v>
      </c>
      <c r="L299" s="34" t="s">
        <v>48</v>
      </c>
      <c r="M299" s="33" t="n">
        <f>191.5</f>
        <v>191.5</v>
      </c>
      <c r="N299" s="34" t="s">
        <v>48</v>
      </c>
      <c r="O299" s="33" t="n">
        <f>184.5</f>
        <v>184.5</v>
      </c>
      <c r="P299" s="34" t="s">
        <v>60</v>
      </c>
      <c r="Q299" s="33" t="n">
        <f>190</f>
        <v>190.0</v>
      </c>
      <c r="R299" s="34" t="s">
        <v>50</v>
      </c>
      <c r="S299" s="35" t="n">
        <f>186.85</f>
        <v>186.85</v>
      </c>
      <c r="T299" s="32" t="n">
        <f>4379850</f>
        <v>4379850.0</v>
      </c>
      <c r="U299" s="32" t="n">
        <f>4371320</f>
        <v>4371320.0</v>
      </c>
      <c r="V299" s="32" t="n">
        <f>810833258</f>
        <v>8.10833258E8</v>
      </c>
      <c r="W299" s="32" t="n">
        <f>809243992</f>
        <v>8.09243992E8</v>
      </c>
      <c r="X299" s="36" t="n">
        <f>22</f>
        <v>22.0</v>
      </c>
    </row>
    <row r="300">
      <c r="A300" s="27" t="s">
        <v>42</v>
      </c>
      <c r="B300" s="27" t="s">
        <v>948</v>
      </c>
      <c r="C300" s="27" t="s">
        <v>949</v>
      </c>
      <c r="D300" s="27" t="s">
        <v>950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10.0</v>
      </c>
      <c r="K300" s="33" t="n">
        <f>690</f>
        <v>690.0</v>
      </c>
      <c r="L300" s="34" t="s">
        <v>48</v>
      </c>
      <c r="M300" s="33" t="n">
        <f>696.2</f>
        <v>696.2</v>
      </c>
      <c r="N300" s="34" t="s">
        <v>276</v>
      </c>
      <c r="O300" s="33" t="n">
        <f>676.9</f>
        <v>676.9</v>
      </c>
      <c r="P300" s="34" t="s">
        <v>72</v>
      </c>
      <c r="Q300" s="33" t="n">
        <f>682.3</f>
        <v>682.3</v>
      </c>
      <c r="R300" s="34" t="s">
        <v>50</v>
      </c>
      <c r="S300" s="35" t="n">
        <f>687.91</f>
        <v>687.91</v>
      </c>
      <c r="T300" s="32" t="n">
        <f>11070</f>
        <v>11070.0</v>
      </c>
      <c r="U300" s="32" t="n">
        <f>9990</f>
        <v>9990.0</v>
      </c>
      <c r="V300" s="32" t="n">
        <f>7537995</f>
        <v>7537995.0</v>
      </c>
      <c r="W300" s="32" t="n">
        <f>6795497</f>
        <v>6795497.0</v>
      </c>
      <c r="X300" s="36" t="n">
        <f>14</f>
        <v>14.0</v>
      </c>
    </row>
    <row r="301">
      <c r="A301" s="27" t="s">
        <v>42</v>
      </c>
      <c r="B301" s="27" t="s">
        <v>951</v>
      </c>
      <c r="C301" s="27" t="s">
        <v>952</v>
      </c>
      <c r="D301" s="27" t="s">
        <v>953</v>
      </c>
      <c r="E301" s="28" t="s">
        <v>46</v>
      </c>
      <c r="F301" s="29" t="s">
        <v>46</v>
      </c>
      <c r="G301" s="30" t="s">
        <v>46</v>
      </c>
      <c r="H301" s="31"/>
      <c r="I301" s="31" t="s">
        <v>47</v>
      </c>
      <c r="J301" s="32" t="n">
        <v>1.0</v>
      </c>
      <c r="K301" s="33" t="n">
        <f>1218</f>
        <v>1218.0</v>
      </c>
      <c r="L301" s="34" t="s">
        <v>48</v>
      </c>
      <c r="M301" s="33" t="n">
        <f>1218</f>
        <v>1218.0</v>
      </c>
      <c r="N301" s="34" t="s">
        <v>48</v>
      </c>
      <c r="O301" s="33" t="n">
        <f>1146</f>
        <v>1146.0</v>
      </c>
      <c r="P301" s="34" t="s">
        <v>72</v>
      </c>
      <c r="Q301" s="33" t="n">
        <f>1196</f>
        <v>1196.0</v>
      </c>
      <c r="R301" s="34" t="s">
        <v>50</v>
      </c>
      <c r="S301" s="35" t="n">
        <f>1177.41</f>
        <v>1177.41</v>
      </c>
      <c r="T301" s="32" t="n">
        <f>85682</f>
        <v>85682.0</v>
      </c>
      <c r="U301" s="32" t="n">
        <f>4</f>
        <v>4.0</v>
      </c>
      <c r="V301" s="32" t="n">
        <f>101287555</f>
        <v>1.01287555E8</v>
      </c>
      <c r="W301" s="32" t="n">
        <f>4699</f>
        <v>4699.0</v>
      </c>
      <c r="X301" s="36" t="n">
        <f>22</f>
        <v>22.0</v>
      </c>
    </row>
    <row r="302">
      <c r="A302" s="27" t="s">
        <v>42</v>
      </c>
      <c r="B302" s="27" t="s">
        <v>954</v>
      </c>
      <c r="C302" s="27" t="s">
        <v>955</v>
      </c>
      <c r="D302" s="27" t="s">
        <v>956</v>
      </c>
      <c r="E302" s="28" t="s">
        <v>46</v>
      </c>
      <c r="F302" s="29" t="s">
        <v>46</v>
      </c>
      <c r="G302" s="30" t="s">
        <v>46</v>
      </c>
      <c r="H302" s="31"/>
      <c r="I302" s="31" t="s">
        <v>47</v>
      </c>
      <c r="J302" s="32" t="n">
        <v>1.0</v>
      </c>
      <c r="K302" s="33" t="n">
        <f>974</f>
        <v>974.0</v>
      </c>
      <c r="L302" s="34" t="s">
        <v>48</v>
      </c>
      <c r="M302" s="33" t="n">
        <f>988</f>
        <v>988.0</v>
      </c>
      <c r="N302" s="34" t="s">
        <v>50</v>
      </c>
      <c r="O302" s="33" t="n">
        <f>953</f>
        <v>953.0</v>
      </c>
      <c r="P302" s="34" t="s">
        <v>314</v>
      </c>
      <c r="Q302" s="33" t="n">
        <f>983</f>
        <v>983.0</v>
      </c>
      <c r="R302" s="34" t="s">
        <v>50</v>
      </c>
      <c r="S302" s="35" t="n">
        <f>966.41</f>
        <v>966.41</v>
      </c>
      <c r="T302" s="32" t="n">
        <f>403607</f>
        <v>403607.0</v>
      </c>
      <c r="U302" s="32" t="str">
        <f>"－"</f>
        <v>－</v>
      </c>
      <c r="V302" s="32" t="n">
        <f>386237082</f>
        <v>3.86237082E8</v>
      </c>
      <c r="W302" s="32" t="str">
        <f>"－"</f>
        <v>－</v>
      </c>
      <c r="X302" s="36" t="n">
        <f>22</f>
        <v>22.0</v>
      </c>
    </row>
    <row r="303">
      <c r="A303" s="27" t="s">
        <v>42</v>
      </c>
      <c r="B303" s="27" t="s">
        <v>957</v>
      </c>
      <c r="C303" s="27" t="s">
        <v>958</v>
      </c>
      <c r="D303" s="27" t="s">
        <v>959</v>
      </c>
      <c r="E303" s="28" t="s">
        <v>46</v>
      </c>
      <c r="F303" s="29" t="s">
        <v>46</v>
      </c>
      <c r="G303" s="30" t="s">
        <v>46</v>
      </c>
      <c r="H303" s="31"/>
      <c r="I303" s="31" t="s">
        <v>47</v>
      </c>
      <c r="J303" s="32" t="n">
        <v>10.0</v>
      </c>
      <c r="K303" s="33" t="n">
        <f>730</f>
        <v>730.0</v>
      </c>
      <c r="L303" s="34" t="s">
        <v>48</v>
      </c>
      <c r="M303" s="33" t="n">
        <f>732.2</f>
        <v>732.2</v>
      </c>
      <c r="N303" s="34" t="s">
        <v>205</v>
      </c>
      <c r="O303" s="33" t="n">
        <f>718.5</f>
        <v>718.5</v>
      </c>
      <c r="P303" s="34" t="s">
        <v>72</v>
      </c>
      <c r="Q303" s="33" t="n">
        <f>724.7</f>
        <v>724.7</v>
      </c>
      <c r="R303" s="34" t="s">
        <v>50</v>
      </c>
      <c r="S303" s="35" t="n">
        <f>724.68</f>
        <v>724.68</v>
      </c>
      <c r="T303" s="32" t="n">
        <f>3482500</f>
        <v>3482500.0</v>
      </c>
      <c r="U303" s="32" t="n">
        <f>2945740</f>
        <v>2945740.0</v>
      </c>
      <c r="V303" s="32" t="n">
        <f>2531624393</f>
        <v>2.531624393E9</v>
      </c>
      <c r="W303" s="32" t="n">
        <f>2142442374</f>
        <v>2.142442374E9</v>
      </c>
      <c r="X303" s="36" t="n">
        <f>22</f>
        <v>22.0</v>
      </c>
    </row>
    <row r="304">
      <c r="A304" s="27" t="s">
        <v>42</v>
      </c>
      <c r="B304" s="27" t="s">
        <v>960</v>
      </c>
      <c r="C304" s="27" t="s">
        <v>961</v>
      </c>
      <c r="D304" s="27" t="s">
        <v>962</v>
      </c>
      <c r="E304" s="28" t="s">
        <v>46</v>
      </c>
      <c r="F304" s="29" t="s">
        <v>46</v>
      </c>
      <c r="G304" s="30" t="s">
        <v>46</v>
      </c>
      <c r="H304" s="31"/>
      <c r="I304" s="31" t="s">
        <v>47</v>
      </c>
      <c r="J304" s="32" t="n">
        <v>10.0</v>
      </c>
      <c r="K304" s="33" t="n">
        <f>702.3</f>
        <v>702.3</v>
      </c>
      <c r="L304" s="34" t="s">
        <v>48</v>
      </c>
      <c r="M304" s="33" t="n">
        <f>721.9</f>
        <v>721.9</v>
      </c>
      <c r="N304" s="34" t="s">
        <v>68</v>
      </c>
      <c r="O304" s="33" t="n">
        <f>687</f>
        <v>687.0</v>
      </c>
      <c r="P304" s="34" t="s">
        <v>49</v>
      </c>
      <c r="Q304" s="33" t="n">
        <f>698.3</f>
        <v>698.3</v>
      </c>
      <c r="R304" s="34" t="s">
        <v>50</v>
      </c>
      <c r="S304" s="35" t="n">
        <f>699.58</f>
        <v>699.58</v>
      </c>
      <c r="T304" s="32" t="n">
        <f>2259390</f>
        <v>2259390.0</v>
      </c>
      <c r="U304" s="32" t="n">
        <f>2133010</f>
        <v>2133010.0</v>
      </c>
      <c r="V304" s="32" t="n">
        <f>1583276881</f>
        <v>1.583276881E9</v>
      </c>
      <c r="W304" s="32" t="n">
        <f>1495183890</f>
        <v>1.49518389E9</v>
      </c>
      <c r="X304" s="36" t="n">
        <f>22</f>
        <v>22.0</v>
      </c>
    </row>
    <row r="305">
      <c r="A305" s="27" t="s">
        <v>42</v>
      </c>
      <c r="B305" s="27" t="s">
        <v>963</v>
      </c>
      <c r="C305" s="27" t="s">
        <v>964</v>
      </c>
      <c r="D305" s="27" t="s">
        <v>965</v>
      </c>
      <c r="E305" s="28" t="s">
        <v>46</v>
      </c>
      <c r="F305" s="29" t="s">
        <v>46</v>
      </c>
      <c r="G305" s="30" t="s">
        <v>46</v>
      </c>
      <c r="H305" s="31"/>
      <c r="I305" s="31" t="s">
        <v>47</v>
      </c>
      <c r="J305" s="32" t="n">
        <v>1.0</v>
      </c>
      <c r="K305" s="33" t="n">
        <f>1132</f>
        <v>1132.0</v>
      </c>
      <c r="L305" s="34" t="s">
        <v>48</v>
      </c>
      <c r="M305" s="33" t="n">
        <f>1147</f>
        <v>1147.0</v>
      </c>
      <c r="N305" s="34" t="s">
        <v>50</v>
      </c>
      <c r="O305" s="33" t="n">
        <f>1108</f>
        <v>1108.0</v>
      </c>
      <c r="P305" s="34" t="s">
        <v>173</v>
      </c>
      <c r="Q305" s="33" t="n">
        <f>1147</f>
        <v>1147.0</v>
      </c>
      <c r="R305" s="34" t="s">
        <v>50</v>
      </c>
      <c r="S305" s="35" t="n">
        <f>1128.68</f>
        <v>1128.68</v>
      </c>
      <c r="T305" s="32" t="n">
        <f>14819</f>
        <v>14819.0</v>
      </c>
      <c r="U305" s="32" t="n">
        <f>603</f>
        <v>603.0</v>
      </c>
      <c r="V305" s="32" t="n">
        <f>16709495</f>
        <v>1.6709495E7</v>
      </c>
      <c r="W305" s="32" t="n">
        <f>646215</f>
        <v>646215.0</v>
      </c>
      <c r="X305" s="36" t="n">
        <f>22</f>
        <v>22.0</v>
      </c>
    </row>
    <row r="306">
      <c r="A306" s="27" t="s">
        <v>42</v>
      </c>
      <c r="B306" s="27" t="s">
        <v>966</v>
      </c>
      <c r="C306" s="27" t="s">
        <v>967</v>
      </c>
      <c r="D306" s="27" t="s">
        <v>968</v>
      </c>
      <c r="E306" s="28" t="s">
        <v>46</v>
      </c>
      <c r="F306" s="29" t="s">
        <v>46</v>
      </c>
      <c r="G306" s="30" t="s">
        <v>46</v>
      </c>
      <c r="H306" s="31"/>
      <c r="I306" s="31" t="s">
        <v>47</v>
      </c>
      <c r="J306" s="32" t="n">
        <v>10.0</v>
      </c>
      <c r="K306" s="33" t="n">
        <f>2457</f>
        <v>2457.0</v>
      </c>
      <c r="L306" s="34" t="s">
        <v>48</v>
      </c>
      <c r="M306" s="33" t="n">
        <f>2457</f>
        <v>2457.0</v>
      </c>
      <c r="N306" s="34" t="s">
        <v>48</v>
      </c>
      <c r="O306" s="33" t="n">
        <f>2295</f>
        <v>2295.0</v>
      </c>
      <c r="P306" s="34" t="s">
        <v>72</v>
      </c>
      <c r="Q306" s="33" t="n">
        <f>2350</f>
        <v>2350.0</v>
      </c>
      <c r="R306" s="34" t="s">
        <v>50</v>
      </c>
      <c r="S306" s="35" t="n">
        <f>2350.45</f>
        <v>2350.45</v>
      </c>
      <c r="T306" s="32" t="n">
        <f>576540</f>
        <v>576540.0</v>
      </c>
      <c r="U306" s="32" t="str">
        <f>"－"</f>
        <v>－</v>
      </c>
      <c r="V306" s="32" t="n">
        <f>1357265135</f>
        <v>1.357265135E9</v>
      </c>
      <c r="W306" s="32" t="str">
        <f>"－"</f>
        <v>－</v>
      </c>
      <c r="X306" s="36" t="n">
        <f>22</f>
        <v>22.0</v>
      </c>
    </row>
    <row r="307">
      <c r="A307" s="27" t="s">
        <v>42</v>
      </c>
      <c r="B307" s="27" t="s">
        <v>969</v>
      </c>
      <c r="C307" s="27" t="s">
        <v>970</v>
      </c>
      <c r="D307" s="27" t="s">
        <v>971</v>
      </c>
      <c r="E307" s="28" t="s">
        <v>46</v>
      </c>
      <c r="F307" s="29" t="s">
        <v>46</v>
      </c>
      <c r="G307" s="30" t="s">
        <v>46</v>
      </c>
      <c r="H307" s="31"/>
      <c r="I307" s="31" t="s">
        <v>47</v>
      </c>
      <c r="J307" s="32" t="n">
        <v>10.0</v>
      </c>
      <c r="K307" s="33" t="n">
        <f>2412</f>
        <v>2412.0</v>
      </c>
      <c r="L307" s="34" t="s">
        <v>48</v>
      </c>
      <c r="M307" s="33" t="n">
        <f>2421</f>
        <v>2421.0</v>
      </c>
      <c r="N307" s="34" t="s">
        <v>48</v>
      </c>
      <c r="O307" s="33" t="n">
        <f>2275</f>
        <v>2275.0</v>
      </c>
      <c r="P307" s="34" t="s">
        <v>241</v>
      </c>
      <c r="Q307" s="33" t="n">
        <f>2327.5</f>
        <v>2327.5</v>
      </c>
      <c r="R307" s="34" t="s">
        <v>50</v>
      </c>
      <c r="S307" s="35" t="n">
        <f>2322.65</f>
        <v>2322.65</v>
      </c>
      <c r="T307" s="32" t="n">
        <f>234700</f>
        <v>234700.0</v>
      </c>
      <c r="U307" s="32" t="n">
        <f>120990</f>
        <v>120990.0</v>
      </c>
      <c r="V307" s="32" t="n">
        <f>551072666</f>
        <v>5.51072666E8</v>
      </c>
      <c r="W307" s="32" t="n">
        <f>283465046</f>
        <v>2.83465046E8</v>
      </c>
      <c r="X307" s="36" t="n">
        <f>20</f>
        <v>20.0</v>
      </c>
    </row>
    <row r="308">
      <c r="A308" s="27" t="s">
        <v>42</v>
      </c>
      <c r="B308" s="27" t="s">
        <v>972</v>
      </c>
      <c r="C308" s="27" t="s">
        <v>973</v>
      </c>
      <c r="D308" s="27" t="s">
        <v>974</v>
      </c>
      <c r="E308" s="28" t="s">
        <v>46</v>
      </c>
      <c r="F308" s="29" t="s">
        <v>46</v>
      </c>
      <c r="G308" s="30" t="s">
        <v>46</v>
      </c>
      <c r="H308" s="31"/>
      <c r="I308" s="31" t="s">
        <v>47</v>
      </c>
      <c r="J308" s="32" t="n">
        <v>10.0</v>
      </c>
      <c r="K308" s="33" t="n">
        <f>5153</f>
        <v>5153.0</v>
      </c>
      <c r="L308" s="34" t="s">
        <v>209</v>
      </c>
      <c r="M308" s="33" t="n">
        <f>5164</f>
        <v>5164.0</v>
      </c>
      <c r="N308" s="34" t="s">
        <v>79</v>
      </c>
      <c r="O308" s="33" t="n">
        <f>5091</f>
        <v>5091.0</v>
      </c>
      <c r="P308" s="34" t="s">
        <v>68</v>
      </c>
      <c r="Q308" s="33" t="n">
        <f>5091</f>
        <v>5091.0</v>
      </c>
      <c r="R308" s="34" t="s">
        <v>68</v>
      </c>
      <c r="S308" s="35" t="n">
        <f>5131</f>
        <v>5131.0</v>
      </c>
      <c r="T308" s="32" t="n">
        <f>310</f>
        <v>310.0</v>
      </c>
      <c r="U308" s="32" t="str">
        <f>"－"</f>
        <v>－</v>
      </c>
      <c r="V308" s="32" t="n">
        <f>1589550</f>
        <v>1589550.0</v>
      </c>
      <c r="W308" s="32" t="str">
        <f>"－"</f>
        <v>－</v>
      </c>
      <c r="X308" s="36" t="n">
        <f>7</f>
        <v>7.0</v>
      </c>
    </row>
    <row r="309">
      <c r="A309" s="27" t="s">
        <v>42</v>
      </c>
      <c r="B309" s="27" t="s">
        <v>975</v>
      </c>
      <c r="C309" s="27" t="s">
        <v>976</v>
      </c>
      <c r="D309" s="27" t="s">
        <v>977</v>
      </c>
      <c r="E309" s="28" t="s">
        <v>46</v>
      </c>
      <c r="F309" s="29" t="s">
        <v>46</v>
      </c>
      <c r="G309" s="30" t="s">
        <v>46</v>
      </c>
      <c r="H309" s="31"/>
      <c r="I309" s="31" t="s">
        <v>47</v>
      </c>
      <c r="J309" s="32" t="n">
        <v>10.0</v>
      </c>
      <c r="K309" s="33" t="n">
        <f>4352</f>
        <v>4352.0</v>
      </c>
      <c r="L309" s="34" t="s">
        <v>209</v>
      </c>
      <c r="M309" s="33" t="n">
        <f>4359</f>
        <v>4359.0</v>
      </c>
      <c r="N309" s="34" t="s">
        <v>213</v>
      </c>
      <c r="O309" s="33" t="n">
        <f>4253</f>
        <v>4253.0</v>
      </c>
      <c r="P309" s="34" t="s">
        <v>60</v>
      </c>
      <c r="Q309" s="33" t="n">
        <f>4330</f>
        <v>4330.0</v>
      </c>
      <c r="R309" s="34" t="s">
        <v>50</v>
      </c>
      <c r="S309" s="35" t="n">
        <f>4319.29</f>
        <v>4319.29</v>
      </c>
      <c r="T309" s="32" t="n">
        <f>302370</f>
        <v>302370.0</v>
      </c>
      <c r="U309" s="32" t="n">
        <f>301570</f>
        <v>301570.0</v>
      </c>
      <c r="V309" s="32" t="n">
        <f>1306571969</f>
        <v>1.306571969E9</v>
      </c>
      <c r="W309" s="32" t="n">
        <f>1303131299</f>
        <v>1.303131299E9</v>
      </c>
      <c r="X309" s="36" t="n">
        <f>14</f>
        <v>14.0</v>
      </c>
    </row>
    <row r="310">
      <c r="A310" s="27" t="s">
        <v>42</v>
      </c>
      <c r="B310" s="27" t="s">
        <v>978</v>
      </c>
      <c r="C310" s="27" t="s">
        <v>979</v>
      </c>
      <c r="D310" s="27" t="s">
        <v>980</v>
      </c>
      <c r="E310" s="28" t="s">
        <v>46</v>
      </c>
      <c r="F310" s="29" t="s">
        <v>46</v>
      </c>
      <c r="G310" s="30" t="s">
        <v>46</v>
      </c>
      <c r="H310" s="31"/>
      <c r="I310" s="31" t="s">
        <v>47</v>
      </c>
      <c r="J310" s="32" t="n">
        <v>10.0</v>
      </c>
      <c r="K310" s="33" t="n">
        <f>1957.5</f>
        <v>1957.5</v>
      </c>
      <c r="L310" s="34" t="s">
        <v>48</v>
      </c>
      <c r="M310" s="33" t="n">
        <f>1957.5</f>
        <v>1957.5</v>
      </c>
      <c r="N310" s="34" t="s">
        <v>48</v>
      </c>
      <c r="O310" s="33" t="n">
        <f>1885</f>
        <v>1885.0</v>
      </c>
      <c r="P310" s="34" t="s">
        <v>314</v>
      </c>
      <c r="Q310" s="33" t="n">
        <f>1892.5</f>
        <v>1892.5</v>
      </c>
      <c r="R310" s="34" t="s">
        <v>174</v>
      </c>
      <c r="S310" s="35" t="n">
        <f>1913.78</f>
        <v>1913.78</v>
      </c>
      <c r="T310" s="32" t="n">
        <f>3290</f>
        <v>3290.0</v>
      </c>
      <c r="U310" s="32" t="str">
        <f>"－"</f>
        <v>－</v>
      </c>
      <c r="V310" s="32" t="n">
        <f>6304610</f>
        <v>6304610.0</v>
      </c>
      <c r="W310" s="32" t="str">
        <f>"－"</f>
        <v>－</v>
      </c>
      <c r="X310" s="36" t="n">
        <f>9</f>
        <v>9.0</v>
      </c>
    </row>
    <row r="311">
      <c r="A311" s="27" t="s">
        <v>42</v>
      </c>
      <c r="B311" s="27" t="s">
        <v>981</v>
      </c>
      <c r="C311" s="27" t="s">
        <v>982</v>
      </c>
      <c r="D311" s="27" t="s">
        <v>983</v>
      </c>
      <c r="E311" s="28" t="s">
        <v>46</v>
      </c>
      <c r="F311" s="29" t="s">
        <v>46</v>
      </c>
      <c r="G311" s="30" t="s">
        <v>46</v>
      </c>
      <c r="H311" s="31"/>
      <c r="I311" s="31" t="s">
        <v>47</v>
      </c>
      <c r="J311" s="32" t="n">
        <v>1.0</v>
      </c>
      <c r="K311" s="33" t="n">
        <f>1178</f>
        <v>1178.0</v>
      </c>
      <c r="L311" s="34" t="s">
        <v>48</v>
      </c>
      <c r="M311" s="33" t="n">
        <f>1260</f>
        <v>1260.0</v>
      </c>
      <c r="N311" s="34" t="s">
        <v>50</v>
      </c>
      <c r="O311" s="33" t="n">
        <f>1160</f>
        <v>1160.0</v>
      </c>
      <c r="P311" s="34" t="s">
        <v>173</v>
      </c>
      <c r="Q311" s="33" t="n">
        <f>1244</f>
        <v>1244.0</v>
      </c>
      <c r="R311" s="34" t="s">
        <v>50</v>
      </c>
      <c r="S311" s="35" t="n">
        <f>1188.59</f>
        <v>1188.59</v>
      </c>
      <c r="T311" s="32" t="n">
        <f>3136</f>
        <v>3136.0</v>
      </c>
      <c r="U311" s="32" t="str">
        <f>"－"</f>
        <v>－</v>
      </c>
      <c r="V311" s="32" t="n">
        <f>3749802</f>
        <v>3749802.0</v>
      </c>
      <c r="W311" s="32" t="str">
        <f>"－"</f>
        <v>－</v>
      </c>
      <c r="X311" s="36" t="n">
        <f>22</f>
        <v>22.0</v>
      </c>
    </row>
    <row r="312">
      <c r="A312" s="27" t="s">
        <v>42</v>
      </c>
      <c r="B312" s="27" t="s">
        <v>984</v>
      </c>
      <c r="C312" s="27" t="s">
        <v>985</v>
      </c>
      <c r="D312" s="27" t="s">
        <v>986</v>
      </c>
      <c r="E312" s="28" t="s">
        <v>46</v>
      </c>
      <c r="F312" s="29" t="s">
        <v>46</v>
      </c>
      <c r="G312" s="30" t="s">
        <v>46</v>
      </c>
      <c r="H312" s="31"/>
      <c r="I312" s="31" t="s">
        <v>47</v>
      </c>
      <c r="J312" s="32" t="n">
        <v>1.0</v>
      </c>
      <c r="K312" s="33" t="n">
        <f>1121</f>
        <v>1121.0</v>
      </c>
      <c r="L312" s="34" t="s">
        <v>48</v>
      </c>
      <c r="M312" s="33" t="n">
        <f>1131</f>
        <v>1131.0</v>
      </c>
      <c r="N312" s="34" t="s">
        <v>490</v>
      </c>
      <c r="O312" s="33" t="n">
        <f>1084</f>
        <v>1084.0</v>
      </c>
      <c r="P312" s="34" t="s">
        <v>68</v>
      </c>
      <c r="Q312" s="33" t="n">
        <f>1113</f>
        <v>1113.0</v>
      </c>
      <c r="R312" s="34" t="s">
        <v>50</v>
      </c>
      <c r="S312" s="35" t="n">
        <f>1109.86</f>
        <v>1109.86</v>
      </c>
      <c r="T312" s="32" t="n">
        <f>1067549</f>
        <v>1067549.0</v>
      </c>
      <c r="U312" s="32" t="n">
        <f>642</f>
        <v>642.0</v>
      </c>
      <c r="V312" s="32" t="n">
        <f>1185009032</f>
        <v>1.185009032E9</v>
      </c>
      <c r="W312" s="32" t="n">
        <f>659303</f>
        <v>659303.0</v>
      </c>
      <c r="X312" s="36" t="n">
        <f>22</f>
        <v>22.0</v>
      </c>
    </row>
    <row r="313">
      <c r="A313" s="27" t="s">
        <v>42</v>
      </c>
      <c r="B313" s="27" t="s">
        <v>987</v>
      </c>
      <c r="C313" s="27" t="s">
        <v>988</v>
      </c>
      <c r="D313" s="27" t="s">
        <v>989</v>
      </c>
      <c r="E313" s="28" t="s">
        <v>46</v>
      </c>
      <c r="F313" s="29" t="s">
        <v>46</v>
      </c>
      <c r="G313" s="30" t="s">
        <v>46</v>
      </c>
      <c r="H313" s="31"/>
      <c r="I313" s="31" t="s">
        <v>47</v>
      </c>
      <c r="J313" s="32" t="n">
        <v>1.0</v>
      </c>
      <c r="K313" s="33" t="n">
        <f>925</f>
        <v>925.0</v>
      </c>
      <c r="L313" s="34" t="s">
        <v>48</v>
      </c>
      <c r="M313" s="33" t="n">
        <f>940</f>
        <v>940.0</v>
      </c>
      <c r="N313" s="34" t="s">
        <v>48</v>
      </c>
      <c r="O313" s="33" t="n">
        <f>916</f>
        <v>916.0</v>
      </c>
      <c r="P313" s="34" t="s">
        <v>154</v>
      </c>
      <c r="Q313" s="33" t="n">
        <f>932</f>
        <v>932.0</v>
      </c>
      <c r="R313" s="34" t="s">
        <v>50</v>
      </c>
      <c r="S313" s="35" t="n">
        <f>927.14</f>
        <v>927.14</v>
      </c>
      <c r="T313" s="32" t="n">
        <f>584104</f>
        <v>584104.0</v>
      </c>
      <c r="U313" s="32" t="str">
        <f>"－"</f>
        <v>－</v>
      </c>
      <c r="V313" s="32" t="n">
        <f>541462624</f>
        <v>5.41462624E8</v>
      </c>
      <c r="W313" s="32" t="str">
        <f>"－"</f>
        <v>－</v>
      </c>
      <c r="X313" s="36" t="n">
        <f>22</f>
        <v>22.0</v>
      </c>
    </row>
    <row r="314">
      <c r="A314" s="27" t="s">
        <v>42</v>
      </c>
      <c r="B314" s="27" t="s">
        <v>990</v>
      </c>
      <c r="C314" s="27" t="s">
        <v>991</v>
      </c>
      <c r="D314" s="27" t="s">
        <v>992</v>
      </c>
      <c r="E314" s="28" t="s">
        <v>46</v>
      </c>
      <c r="F314" s="29" t="s">
        <v>46</v>
      </c>
      <c r="G314" s="30" t="s">
        <v>46</v>
      </c>
      <c r="H314" s="31"/>
      <c r="I314" s="31" t="s">
        <v>47</v>
      </c>
      <c r="J314" s="32" t="n">
        <v>1.0</v>
      </c>
      <c r="K314" s="33" t="n">
        <f>1245</f>
        <v>1245.0</v>
      </c>
      <c r="L314" s="34" t="s">
        <v>48</v>
      </c>
      <c r="M314" s="33" t="n">
        <f>1265</f>
        <v>1265.0</v>
      </c>
      <c r="N314" s="34" t="s">
        <v>48</v>
      </c>
      <c r="O314" s="33" t="n">
        <f>1100</f>
        <v>1100.0</v>
      </c>
      <c r="P314" s="34" t="s">
        <v>68</v>
      </c>
      <c r="Q314" s="33" t="n">
        <f>1157</f>
        <v>1157.0</v>
      </c>
      <c r="R314" s="34" t="s">
        <v>50</v>
      </c>
      <c r="S314" s="35" t="n">
        <f>1159.41</f>
        <v>1159.41</v>
      </c>
      <c r="T314" s="32" t="n">
        <f>59380</f>
        <v>59380.0</v>
      </c>
      <c r="U314" s="32" t="str">
        <f>"－"</f>
        <v>－</v>
      </c>
      <c r="V314" s="32" t="n">
        <f>69218804</f>
        <v>6.9218804E7</v>
      </c>
      <c r="W314" s="32" t="str">
        <f>"－"</f>
        <v>－</v>
      </c>
      <c r="X314" s="36" t="n">
        <f>22</f>
        <v>22.0</v>
      </c>
    </row>
    <row r="315">
      <c r="A315" s="27" t="s">
        <v>42</v>
      </c>
      <c r="B315" s="27" t="s">
        <v>993</v>
      </c>
      <c r="C315" s="27" t="s">
        <v>994</v>
      </c>
      <c r="D315" s="27" t="s">
        <v>995</v>
      </c>
      <c r="E315" s="28" t="s">
        <v>46</v>
      </c>
      <c r="F315" s="29" t="s">
        <v>46</v>
      </c>
      <c r="G315" s="30" t="s">
        <v>46</v>
      </c>
      <c r="H315" s="31"/>
      <c r="I315" s="31" t="s">
        <v>47</v>
      </c>
      <c r="J315" s="32" t="n">
        <v>1.0</v>
      </c>
      <c r="K315" s="33" t="n">
        <f>1025</f>
        <v>1025.0</v>
      </c>
      <c r="L315" s="34" t="s">
        <v>48</v>
      </c>
      <c r="M315" s="33" t="n">
        <f>1033</f>
        <v>1033.0</v>
      </c>
      <c r="N315" s="34" t="s">
        <v>490</v>
      </c>
      <c r="O315" s="33" t="n">
        <f>998</f>
        <v>998.0</v>
      </c>
      <c r="P315" s="34" t="s">
        <v>68</v>
      </c>
      <c r="Q315" s="33" t="n">
        <f>1014</f>
        <v>1014.0</v>
      </c>
      <c r="R315" s="34" t="s">
        <v>50</v>
      </c>
      <c r="S315" s="35" t="n">
        <f>1013.64</f>
        <v>1013.64</v>
      </c>
      <c r="T315" s="32" t="n">
        <f>481222</f>
        <v>481222.0</v>
      </c>
      <c r="U315" s="32" t="n">
        <f>903</f>
        <v>903.0</v>
      </c>
      <c r="V315" s="32" t="n">
        <f>485331022</f>
        <v>4.85331022E8</v>
      </c>
      <c r="W315" s="32" t="n">
        <f>848572</f>
        <v>848572.0</v>
      </c>
      <c r="X315" s="36" t="n">
        <f>22</f>
        <v>22.0</v>
      </c>
    </row>
    <row r="316">
      <c r="A316" s="27" t="s">
        <v>42</v>
      </c>
      <c r="B316" s="27" t="s">
        <v>996</v>
      </c>
      <c r="C316" s="27" t="s">
        <v>997</v>
      </c>
      <c r="D316" s="27" t="s">
        <v>998</v>
      </c>
      <c r="E316" s="28" t="s">
        <v>46</v>
      </c>
      <c r="F316" s="29" t="s">
        <v>46</v>
      </c>
      <c r="G316" s="30" t="s">
        <v>46</v>
      </c>
      <c r="H316" s="31"/>
      <c r="I316" s="31" t="s">
        <v>47</v>
      </c>
      <c r="J316" s="32" t="n">
        <v>1.0</v>
      </c>
      <c r="K316" s="33" t="n">
        <f>32400</f>
        <v>32400.0</v>
      </c>
      <c r="L316" s="34" t="s">
        <v>48</v>
      </c>
      <c r="M316" s="33" t="n">
        <f>32540</f>
        <v>32540.0</v>
      </c>
      <c r="N316" s="34" t="s">
        <v>48</v>
      </c>
      <c r="O316" s="33" t="n">
        <f>27920</f>
        <v>27920.0</v>
      </c>
      <c r="P316" s="34" t="s">
        <v>68</v>
      </c>
      <c r="Q316" s="33" t="n">
        <f>30880</f>
        <v>30880.0</v>
      </c>
      <c r="R316" s="34" t="s">
        <v>50</v>
      </c>
      <c r="S316" s="35" t="n">
        <f>29911.59</f>
        <v>29911.59</v>
      </c>
      <c r="T316" s="32" t="n">
        <f>437995</f>
        <v>437995.0</v>
      </c>
      <c r="U316" s="32" t="n">
        <f>2</f>
        <v>2.0</v>
      </c>
      <c r="V316" s="32" t="n">
        <f>13083420120</f>
        <v>1.308342012E10</v>
      </c>
      <c r="W316" s="32" t="n">
        <f>63700</f>
        <v>63700.0</v>
      </c>
      <c r="X316" s="36" t="n">
        <f>22</f>
        <v>22.0</v>
      </c>
    </row>
    <row r="317">
      <c r="A317" s="27" t="s">
        <v>42</v>
      </c>
      <c r="B317" s="27" t="s">
        <v>999</v>
      </c>
      <c r="C317" s="27" t="s">
        <v>1000</v>
      </c>
      <c r="D317" s="27" t="s">
        <v>1001</v>
      </c>
      <c r="E317" s="28" t="s">
        <v>46</v>
      </c>
      <c r="F317" s="29" t="s">
        <v>46</v>
      </c>
      <c r="G317" s="30" t="s">
        <v>46</v>
      </c>
      <c r="H317" s="31"/>
      <c r="I317" s="31" t="s">
        <v>47</v>
      </c>
      <c r="J317" s="32" t="n">
        <v>1.0</v>
      </c>
      <c r="K317" s="33" t="n">
        <f>31540</f>
        <v>31540.0</v>
      </c>
      <c r="L317" s="34" t="s">
        <v>48</v>
      </c>
      <c r="M317" s="33" t="n">
        <f>36440</f>
        <v>36440.0</v>
      </c>
      <c r="N317" s="34" t="s">
        <v>68</v>
      </c>
      <c r="O317" s="33" t="n">
        <f>31460</f>
        <v>31460.0</v>
      </c>
      <c r="P317" s="34" t="s">
        <v>48</v>
      </c>
      <c r="Q317" s="33" t="n">
        <f>32700</f>
        <v>32700.0</v>
      </c>
      <c r="R317" s="34" t="s">
        <v>50</v>
      </c>
      <c r="S317" s="35" t="n">
        <f>34085</f>
        <v>34085.0</v>
      </c>
      <c r="T317" s="32" t="n">
        <f>302613</f>
        <v>302613.0</v>
      </c>
      <c r="U317" s="32" t="n">
        <f>15136</f>
        <v>15136.0</v>
      </c>
      <c r="V317" s="32" t="n">
        <f>10385131525</f>
        <v>1.0385131525E10</v>
      </c>
      <c r="W317" s="32" t="n">
        <f>517628555</f>
        <v>5.17628555E8</v>
      </c>
      <c r="X317" s="36" t="n">
        <f>22</f>
        <v>22.0</v>
      </c>
    </row>
    <row r="318">
      <c r="A318" s="27" t="s">
        <v>42</v>
      </c>
      <c r="B318" s="27" t="s">
        <v>1002</v>
      </c>
      <c r="C318" s="27" t="s">
        <v>1003</v>
      </c>
      <c r="D318" s="27" t="s">
        <v>1004</v>
      </c>
      <c r="E318" s="28" t="s">
        <v>46</v>
      </c>
      <c r="F318" s="29" t="s">
        <v>46</v>
      </c>
      <c r="G318" s="30" t="s">
        <v>46</v>
      </c>
      <c r="H318" s="31"/>
      <c r="I318" s="31" t="s">
        <v>47</v>
      </c>
      <c r="J318" s="32" t="n">
        <v>1.0</v>
      </c>
      <c r="K318" s="33" t="n">
        <f>116100</f>
        <v>116100.0</v>
      </c>
      <c r="L318" s="34" t="s">
        <v>48</v>
      </c>
      <c r="M318" s="33" t="n">
        <f>117300</f>
        <v>117300.0</v>
      </c>
      <c r="N318" s="34" t="s">
        <v>50</v>
      </c>
      <c r="O318" s="33" t="n">
        <f>113300</f>
        <v>113300.0</v>
      </c>
      <c r="P318" s="34" t="s">
        <v>68</v>
      </c>
      <c r="Q318" s="33" t="n">
        <f>116500</f>
        <v>116500.0</v>
      </c>
      <c r="R318" s="34" t="s">
        <v>50</v>
      </c>
      <c r="S318" s="35" t="n">
        <f>115259.09</f>
        <v>115259.09</v>
      </c>
      <c r="T318" s="32" t="n">
        <f>12985</f>
        <v>12985.0</v>
      </c>
      <c r="U318" s="32" t="n">
        <f>1624</f>
        <v>1624.0</v>
      </c>
      <c r="V318" s="32" t="n">
        <f>1496527824</f>
        <v>1.496527824E9</v>
      </c>
      <c r="W318" s="32" t="n">
        <f>187299224</f>
        <v>1.87299224E8</v>
      </c>
      <c r="X318" s="36" t="n">
        <f>22</f>
        <v>22.0</v>
      </c>
    </row>
    <row r="319">
      <c r="A319" s="27" t="s">
        <v>42</v>
      </c>
      <c r="B319" s="27" t="s">
        <v>1005</v>
      </c>
      <c r="C319" s="27" t="s">
        <v>1006</v>
      </c>
      <c r="D319" s="27" t="s">
        <v>1007</v>
      </c>
      <c r="E319" s="28" t="s">
        <v>46</v>
      </c>
      <c r="F319" s="29" t="s">
        <v>46</v>
      </c>
      <c r="G319" s="30" t="s">
        <v>46</v>
      </c>
      <c r="H319" s="31"/>
      <c r="I319" s="31" t="s">
        <v>551</v>
      </c>
      <c r="J319" s="32" t="n">
        <v>1.0</v>
      </c>
      <c r="K319" s="33" t="n">
        <f>94900</f>
        <v>94900.0</v>
      </c>
      <c r="L319" s="34" t="s">
        <v>48</v>
      </c>
      <c r="M319" s="33" t="n">
        <f>96400</f>
        <v>96400.0</v>
      </c>
      <c r="N319" s="34" t="s">
        <v>79</v>
      </c>
      <c r="O319" s="33" t="n">
        <f>91800</f>
        <v>91800.0</v>
      </c>
      <c r="P319" s="34" t="s">
        <v>67</v>
      </c>
      <c r="Q319" s="33" t="n">
        <f>93300</f>
        <v>93300.0</v>
      </c>
      <c r="R319" s="34" t="s">
        <v>50</v>
      </c>
      <c r="S319" s="35" t="n">
        <f>94145.45</f>
        <v>94145.45</v>
      </c>
      <c r="T319" s="32" t="n">
        <f>33063</f>
        <v>33063.0</v>
      </c>
      <c r="U319" s="32" t="n">
        <f>5901</f>
        <v>5901.0</v>
      </c>
      <c r="V319" s="32" t="n">
        <f>3110820498</f>
        <v>3.110820498E9</v>
      </c>
      <c r="W319" s="32" t="n">
        <f>556495998</f>
        <v>5.56495998E8</v>
      </c>
      <c r="X319" s="36" t="n">
        <f>22</f>
        <v>22.0</v>
      </c>
    </row>
    <row r="320">
      <c r="A320" s="27" t="s">
        <v>42</v>
      </c>
      <c r="B320" s="27" t="s">
        <v>1008</v>
      </c>
      <c r="C320" s="27" t="s">
        <v>1009</v>
      </c>
      <c r="D320" s="27" t="s">
        <v>1010</v>
      </c>
      <c r="E320" s="28" t="s">
        <v>46</v>
      </c>
      <c r="F320" s="29" t="s">
        <v>46</v>
      </c>
      <c r="G320" s="30" t="s">
        <v>46</v>
      </c>
      <c r="H320" s="31"/>
      <c r="I320" s="31" t="s">
        <v>47</v>
      </c>
      <c r="J320" s="32" t="n">
        <v>1.0</v>
      </c>
      <c r="K320" s="33" t="n">
        <f>128900</f>
        <v>128900.0</v>
      </c>
      <c r="L320" s="34" t="s">
        <v>48</v>
      </c>
      <c r="M320" s="33" t="n">
        <f>129200</f>
        <v>129200.0</v>
      </c>
      <c r="N320" s="34" t="s">
        <v>79</v>
      </c>
      <c r="O320" s="33" t="n">
        <f>126400</f>
        <v>126400.0</v>
      </c>
      <c r="P320" s="34" t="s">
        <v>314</v>
      </c>
      <c r="Q320" s="33" t="n">
        <f>128200</f>
        <v>128200.0</v>
      </c>
      <c r="R320" s="34" t="s">
        <v>50</v>
      </c>
      <c r="S320" s="35" t="n">
        <f>127831.82</f>
        <v>127831.82</v>
      </c>
      <c r="T320" s="32" t="n">
        <f>28375</f>
        <v>28375.0</v>
      </c>
      <c r="U320" s="32" t="n">
        <f>5395</f>
        <v>5395.0</v>
      </c>
      <c r="V320" s="32" t="n">
        <f>3625763246</f>
        <v>3.625763246E9</v>
      </c>
      <c r="W320" s="32" t="n">
        <f>689696546</f>
        <v>6.89696546E8</v>
      </c>
      <c r="X320" s="36" t="n">
        <f>22</f>
        <v>22.0</v>
      </c>
    </row>
    <row r="321">
      <c r="A321" s="27" t="s">
        <v>42</v>
      </c>
      <c r="B321" s="27" t="s">
        <v>1011</v>
      </c>
      <c r="C321" s="27" t="s">
        <v>1012</v>
      </c>
      <c r="D321" s="27" t="s">
        <v>1013</v>
      </c>
      <c r="E321" s="28" t="s">
        <v>46</v>
      </c>
      <c r="F321" s="29" t="s">
        <v>46</v>
      </c>
      <c r="G321" s="30" t="s">
        <v>46</v>
      </c>
      <c r="H321" s="31"/>
      <c r="I321" s="31" t="s">
        <v>551</v>
      </c>
      <c r="J321" s="32" t="n">
        <v>1.0</v>
      </c>
      <c r="K321" s="33" t="n">
        <f>120900</f>
        <v>120900.0</v>
      </c>
      <c r="L321" s="34" t="s">
        <v>48</v>
      </c>
      <c r="M321" s="33" t="n">
        <f>123700</f>
        <v>123700.0</v>
      </c>
      <c r="N321" s="34" t="s">
        <v>50</v>
      </c>
      <c r="O321" s="33" t="n">
        <f>118100</f>
        <v>118100.0</v>
      </c>
      <c r="P321" s="34" t="s">
        <v>205</v>
      </c>
      <c r="Q321" s="33" t="n">
        <f>122800</f>
        <v>122800.0</v>
      </c>
      <c r="R321" s="34" t="s">
        <v>50</v>
      </c>
      <c r="S321" s="35" t="n">
        <f>119895.45</f>
        <v>119895.45</v>
      </c>
      <c r="T321" s="32" t="n">
        <f>17813</f>
        <v>17813.0</v>
      </c>
      <c r="U321" s="32" t="n">
        <f>1206</f>
        <v>1206.0</v>
      </c>
      <c r="V321" s="32" t="n">
        <f>2135105243</f>
        <v>2.135105243E9</v>
      </c>
      <c r="W321" s="32" t="n">
        <f>144637243</f>
        <v>1.44637243E8</v>
      </c>
      <c r="X321" s="36" t="n">
        <f>22</f>
        <v>22.0</v>
      </c>
    </row>
    <row r="322">
      <c r="A322" s="27" t="s">
        <v>42</v>
      </c>
      <c r="B322" s="27" t="s">
        <v>1014</v>
      </c>
      <c r="C322" s="27" t="s">
        <v>1015</v>
      </c>
      <c r="D322" s="27" t="s">
        <v>1016</v>
      </c>
      <c r="E322" s="28" t="s">
        <v>46</v>
      </c>
      <c r="F322" s="29" t="s">
        <v>46</v>
      </c>
      <c r="G322" s="30" t="s">
        <v>46</v>
      </c>
      <c r="H322" s="31"/>
      <c r="I322" s="31" t="s">
        <v>47</v>
      </c>
      <c r="J322" s="32" t="n">
        <v>1.0</v>
      </c>
      <c r="K322" s="33" t="n">
        <f>673000</f>
        <v>673000.0</v>
      </c>
      <c r="L322" s="34" t="s">
        <v>48</v>
      </c>
      <c r="M322" s="33" t="n">
        <f>685000</f>
        <v>685000.0</v>
      </c>
      <c r="N322" s="34" t="s">
        <v>174</v>
      </c>
      <c r="O322" s="33" t="n">
        <f>631000</f>
        <v>631000.0</v>
      </c>
      <c r="P322" s="34" t="s">
        <v>490</v>
      </c>
      <c r="Q322" s="33" t="n">
        <f>657000</f>
        <v>657000.0</v>
      </c>
      <c r="R322" s="34" t="s">
        <v>50</v>
      </c>
      <c r="S322" s="35" t="n">
        <f>655181.82</f>
        <v>655181.82</v>
      </c>
      <c r="T322" s="32" t="n">
        <f>31365</f>
        <v>31365.0</v>
      </c>
      <c r="U322" s="32" t="n">
        <f>5921</f>
        <v>5921.0</v>
      </c>
      <c r="V322" s="32" t="n">
        <f>20583129728</f>
        <v>2.0583129728E10</v>
      </c>
      <c r="W322" s="32" t="n">
        <f>3881760728</f>
        <v>3.881760728E9</v>
      </c>
      <c r="X322" s="36" t="n">
        <f>22</f>
        <v>22.0</v>
      </c>
    </row>
    <row r="323">
      <c r="A323" s="27" t="s">
        <v>42</v>
      </c>
      <c r="B323" s="27" t="s">
        <v>1017</v>
      </c>
      <c r="C323" s="27" t="s">
        <v>1018</v>
      </c>
      <c r="D323" s="27" t="s">
        <v>1019</v>
      </c>
      <c r="E323" s="28" t="s">
        <v>46</v>
      </c>
      <c r="F323" s="29" t="s">
        <v>46</v>
      </c>
      <c r="G323" s="30" t="s">
        <v>46</v>
      </c>
      <c r="H323" s="31"/>
      <c r="I323" s="31" t="s">
        <v>47</v>
      </c>
      <c r="J323" s="32" t="n">
        <v>1.0</v>
      </c>
      <c r="K323" s="33" t="n">
        <f>144800</f>
        <v>144800.0</v>
      </c>
      <c r="L323" s="34" t="s">
        <v>48</v>
      </c>
      <c r="M323" s="33" t="n">
        <f>147700</f>
        <v>147700.0</v>
      </c>
      <c r="N323" s="34" t="s">
        <v>50</v>
      </c>
      <c r="O323" s="33" t="n">
        <f>142100</f>
        <v>142100.0</v>
      </c>
      <c r="P323" s="34" t="s">
        <v>154</v>
      </c>
      <c r="Q323" s="33" t="n">
        <f>146700</f>
        <v>146700.0</v>
      </c>
      <c r="R323" s="34" t="s">
        <v>50</v>
      </c>
      <c r="S323" s="35" t="n">
        <f>144854.55</f>
        <v>144854.55</v>
      </c>
      <c r="T323" s="32" t="n">
        <f>82811</f>
        <v>82811.0</v>
      </c>
      <c r="U323" s="32" t="n">
        <f>18806</f>
        <v>18806.0</v>
      </c>
      <c r="V323" s="32" t="n">
        <f>11989797976</f>
        <v>1.1989797976E10</v>
      </c>
      <c r="W323" s="32" t="n">
        <f>2724120276</f>
        <v>2.724120276E9</v>
      </c>
      <c r="X323" s="36" t="n">
        <f>22</f>
        <v>22.0</v>
      </c>
    </row>
    <row r="324">
      <c r="A324" s="27" t="s">
        <v>42</v>
      </c>
      <c r="B324" s="27" t="s">
        <v>1020</v>
      </c>
      <c r="C324" s="27" t="s">
        <v>1021</v>
      </c>
      <c r="D324" s="27" t="s">
        <v>1022</v>
      </c>
      <c r="E324" s="28" t="s">
        <v>46</v>
      </c>
      <c r="F324" s="29" t="s">
        <v>46</v>
      </c>
      <c r="G324" s="30" t="s">
        <v>46</v>
      </c>
      <c r="H324" s="31"/>
      <c r="I324" s="31" t="s">
        <v>47</v>
      </c>
      <c r="J324" s="32" t="n">
        <v>1.0</v>
      </c>
      <c r="K324" s="33" t="n">
        <f>148500</f>
        <v>148500.0</v>
      </c>
      <c r="L324" s="34" t="s">
        <v>48</v>
      </c>
      <c r="M324" s="33" t="n">
        <f>148500</f>
        <v>148500.0</v>
      </c>
      <c r="N324" s="34" t="s">
        <v>48</v>
      </c>
      <c r="O324" s="33" t="n">
        <f>139200</f>
        <v>139200.0</v>
      </c>
      <c r="P324" s="34" t="s">
        <v>154</v>
      </c>
      <c r="Q324" s="33" t="n">
        <f>146000</f>
        <v>146000.0</v>
      </c>
      <c r="R324" s="34" t="s">
        <v>50</v>
      </c>
      <c r="S324" s="35" t="n">
        <f>143072.73</f>
        <v>143072.73</v>
      </c>
      <c r="T324" s="32" t="n">
        <f>120973</f>
        <v>120973.0</v>
      </c>
      <c r="U324" s="32" t="n">
        <f>26086</f>
        <v>26086.0</v>
      </c>
      <c r="V324" s="32" t="n">
        <f>17324583312</f>
        <v>1.7324583312E10</v>
      </c>
      <c r="W324" s="32" t="n">
        <f>3740970012</f>
        <v>3.740970012E9</v>
      </c>
      <c r="X324" s="36" t="n">
        <f>22</f>
        <v>22.0</v>
      </c>
    </row>
    <row r="325">
      <c r="A325" s="27" t="s">
        <v>42</v>
      </c>
      <c r="B325" s="27" t="s">
        <v>1023</v>
      </c>
      <c r="C325" s="27" t="s">
        <v>1024</v>
      </c>
      <c r="D325" s="27" t="s">
        <v>1025</v>
      </c>
      <c r="E325" s="28" t="s">
        <v>46</v>
      </c>
      <c r="F325" s="29" t="s">
        <v>46</v>
      </c>
      <c r="G325" s="30" t="s">
        <v>46</v>
      </c>
      <c r="H325" s="31"/>
      <c r="I325" s="31" t="s">
        <v>47</v>
      </c>
      <c r="J325" s="32" t="n">
        <v>1.0</v>
      </c>
      <c r="K325" s="33" t="n">
        <f>347000</f>
        <v>347000.0</v>
      </c>
      <c r="L325" s="34" t="s">
        <v>48</v>
      </c>
      <c r="M325" s="33" t="n">
        <f>361500</f>
        <v>361500.0</v>
      </c>
      <c r="N325" s="34" t="s">
        <v>174</v>
      </c>
      <c r="O325" s="33" t="n">
        <f>328000</f>
        <v>328000.0</v>
      </c>
      <c r="P325" s="34" t="s">
        <v>490</v>
      </c>
      <c r="Q325" s="33" t="n">
        <f>350500</f>
        <v>350500.0</v>
      </c>
      <c r="R325" s="34" t="s">
        <v>50</v>
      </c>
      <c r="S325" s="35" t="n">
        <f>342431.82</f>
        <v>342431.82</v>
      </c>
      <c r="T325" s="32" t="n">
        <f>74236</f>
        <v>74236.0</v>
      </c>
      <c r="U325" s="32" t="n">
        <f>22706</f>
        <v>22706.0</v>
      </c>
      <c r="V325" s="32" t="n">
        <f>25398398557</f>
        <v>2.5398398557E10</v>
      </c>
      <c r="W325" s="32" t="n">
        <f>7732934557</f>
        <v>7.732934557E9</v>
      </c>
      <c r="X325" s="36" t="n">
        <f>22</f>
        <v>22.0</v>
      </c>
    </row>
    <row r="326">
      <c r="A326" s="27" t="s">
        <v>42</v>
      </c>
      <c r="B326" s="27" t="s">
        <v>1026</v>
      </c>
      <c r="C326" s="27" t="s">
        <v>1027</v>
      </c>
      <c r="D326" s="27" t="s">
        <v>1028</v>
      </c>
      <c r="E326" s="28" t="s">
        <v>46</v>
      </c>
      <c r="F326" s="29" t="s">
        <v>46</v>
      </c>
      <c r="G326" s="30" t="s">
        <v>46</v>
      </c>
      <c r="H326" s="31"/>
      <c r="I326" s="31" t="s">
        <v>47</v>
      </c>
      <c r="J326" s="32" t="n">
        <v>1.0</v>
      </c>
      <c r="K326" s="33" t="n">
        <f>222500</f>
        <v>222500.0</v>
      </c>
      <c r="L326" s="34" t="s">
        <v>48</v>
      </c>
      <c r="M326" s="33" t="n">
        <f>229200</f>
        <v>229200.0</v>
      </c>
      <c r="N326" s="34" t="s">
        <v>67</v>
      </c>
      <c r="O326" s="33" t="n">
        <f>217800</f>
        <v>217800.0</v>
      </c>
      <c r="P326" s="34" t="s">
        <v>173</v>
      </c>
      <c r="Q326" s="33" t="n">
        <f>226000</f>
        <v>226000.0</v>
      </c>
      <c r="R326" s="34" t="s">
        <v>50</v>
      </c>
      <c r="S326" s="35" t="n">
        <f>222813.64</f>
        <v>222813.64</v>
      </c>
      <c r="T326" s="32" t="n">
        <f>68365</f>
        <v>68365.0</v>
      </c>
      <c r="U326" s="32" t="n">
        <f>15623</f>
        <v>15623.0</v>
      </c>
      <c r="V326" s="32" t="n">
        <f>15216161572</f>
        <v>1.5216161572E10</v>
      </c>
      <c r="W326" s="32" t="n">
        <f>3484670572</f>
        <v>3.484670572E9</v>
      </c>
      <c r="X326" s="36" t="n">
        <f>22</f>
        <v>22.0</v>
      </c>
    </row>
    <row r="327">
      <c r="A327" s="27" t="s">
        <v>42</v>
      </c>
      <c r="B327" s="27" t="s">
        <v>1029</v>
      </c>
      <c r="C327" s="27" t="s">
        <v>1030</v>
      </c>
      <c r="D327" s="27" t="s">
        <v>1031</v>
      </c>
      <c r="E327" s="28" t="s">
        <v>46</v>
      </c>
      <c r="F327" s="29" t="s">
        <v>46</v>
      </c>
      <c r="G327" s="30" t="s">
        <v>46</v>
      </c>
      <c r="H327" s="31"/>
      <c r="I327" s="31" t="s">
        <v>47</v>
      </c>
      <c r="J327" s="32" t="n">
        <v>1.0</v>
      </c>
      <c r="K327" s="33" t="n">
        <f>415000</f>
        <v>415000.0</v>
      </c>
      <c r="L327" s="34" t="s">
        <v>48</v>
      </c>
      <c r="M327" s="33" t="n">
        <f>415500</f>
        <v>415500.0</v>
      </c>
      <c r="N327" s="34" t="s">
        <v>48</v>
      </c>
      <c r="O327" s="33" t="n">
        <f>396500</f>
        <v>396500.0</v>
      </c>
      <c r="P327" s="34" t="s">
        <v>314</v>
      </c>
      <c r="Q327" s="33" t="n">
        <f>408000</f>
        <v>408000.0</v>
      </c>
      <c r="R327" s="34" t="s">
        <v>50</v>
      </c>
      <c r="S327" s="35" t="n">
        <f>405113.64</f>
        <v>405113.64</v>
      </c>
      <c r="T327" s="32" t="n">
        <f>41146</f>
        <v>41146.0</v>
      </c>
      <c r="U327" s="32" t="n">
        <f>9619</f>
        <v>9619.0</v>
      </c>
      <c r="V327" s="32" t="n">
        <f>16655301068</f>
        <v>1.6655301068E10</v>
      </c>
      <c r="W327" s="32" t="n">
        <f>3894630068</f>
        <v>3.894630068E9</v>
      </c>
      <c r="X327" s="36" t="n">
        <f>22</f>
        <v>22.0</v>
      </c>
    </row>
    <row r="328">
      <c r="A328" s="27" t="s">
        <v>42</v>
      </c>
      <c r="B328" s="27" t="s">
        <v>1032</v>
      </c>
      <c r="C328" s="27" t="s">
        <v>1033</v>
      </c>
      <c r="D328" s="27" t="s">
        <v>1034</v>
      </c>
      <c r="E328" s="28" t="s">
        <v>46</v>
      </c>
      <c r="F328" s="29" t="s">
        <v>46</v>
      </c>
      <c r="G328" s="30" t="s">
        <v>46</v>
      </c>
      <c r="H328" s="31"/>
      <c r="I328" s="31" t="s">
        <v>47</v>
      </c>
      <c r="J328" s="32" t="n">
        <v>1.0</v>
      </c>
      <c r="K328" s="33" t="n">
        <f>140200</f>
        <v>140200.0</v>
      </c>
      <c r="L328" s="34" t="s">
        <v>48</v>
      </c>
      <c r="M328" s="33" t="n">
        <f>141300</f>
        <v>141300.0</v>
      </c>
      <c r="N328" s="34" t="s">
        <v>174</v>
      </c>
      <c r="O328" s="33" t="n">
        <f>133800</f>
        <v>133800.0</v>
      </c>
      <c r="P328" s="34" t="s">
        <v>154</v>
      </c>
      <c r="Q328" s="33" t="n">
        <f>137300</f>
        <v>137300.0</v>
      </c>
      <c r="R328" s="34" t="s">
        <v>50</v>
      </c>
      <c r="S328" s="35" t="n">
        <f>137736.36</f>
        <v>137736.36</v>
      </c>
      <c r="T328" s="32" t="n">
        <f>315677</f>
        <v>315677.0</v>
      </c>
      <c r="U328" s="32" t="n">
        <f>70446</f>
        <v>70446.0</v>
      </c>
      <c r="V328" s="32" t="n">
        <f>43455863107</f>
        <v>4.3455863107E10</v>
      </c>
      <c r="W328" s="32" t="n">
        <f>9686329807</f>
        <v>9.686329807E9</v>
      </c>
      <c r="X328" s="36" t="n">
        <f>22</f>
        <v>22.0</v>
      </c>
    </row>
    <row r="329">
      <c r="A329" s="27" t="s">
        <v>42</v>
      </c>
      <c r="B329" s="27" t="s">
        <v>1035</v>
      </c>
      <c r="C329" s="27" t="s">
        <v>1036</v>
      </c>
      <c r="D329" s="27" t="s">
        <v>1037</v>
      </c>
      <c r="E329" s="28" t="s">
        <v>46</v>
      </c>
      <c r="F329" s="29" t="s">
        <v>46</v>
      </c>
      <c r="G329" s="30" t="s">
        <v>46</v>
      </c>
      <c r="H329" s="31"/>
      <c r="I329" s="31" t="s">
        <v>47</v>
      </c>
      <c r="J329" s="32" t="n">
        <v>1.0</v>
      </c>
      <c r="K329" s="33" t="n">
        <f>340500</f>
        <v>340500.0</v>
      </c>
      <c r="L329" s="34" t="s">
        <v>48</v>
      </c>
      <c r="M329" s="33" t="n">
        <f>348500</f>
        <v>348500.0</v>
      </c>
      <c r="N329" s="34" t="s">
        <v>67</v>
      </c>
      <c r="O329" s="33" t="n">
        <f>321500</f>
        <v>321500.0</v>
      </c>
      <c r="P329" s="34" t="s">
        <v>49</v>
      </c>
      <c r="Q329" s="33" t="n">
        <f>340500</f>
        <v>340500.0</v>
      </c>
      <c r="R329" s="34" t="s">
        <v>50</v>
      </c>
      <c r="S329" s="35" t="n">
        <f>333727.27</f>
        <v>333727.27</v>
      </c>
      <c r="T329" s="32" t="n">
        <f>71977</f>
        <v>71977.0</v>
      </c>
      <c r="U329" s="32" t="n">
        <f>12576</f>
        <v>12576.0</v>
      </c>
      <c r="V329" s="32" t="n">
        <f>23813836178</f>
        <v>2.3813836178E10</v>
      </c>
      <c r="W329" s="32" t="n">
        <f>4162405678</f>
        <v>4.162405678E9</v>
      </c>
      <c r="X329" s="36" t="n">
        <f>22</f>
        <v>22.0</v>
      </c>
    </row>
    <row r="330">
      <c r="A330" s="27" t="s">
        <v>42</v>
      </c>
      <c r="B330" s="27" t="s">
        <v>1038</v>
      </c>
      <c r="C330" s="27" t="s">
        <v>1039</v>
      </c>
      <c r="D330" s="27" t="s">
        <v>1040</v>
      </c>
      <c r="E330" s="28" t="s">
        <v>46</v>
      </c>
      <c r="F330" s="29" t="s">
        <v>46</v>
      </c>
      <c r="G330" s="30" t="s">
        <v>46</v>
      </c>
      <c r="H330" s="31"/>
      <c r="I330" s="31" t="s">
        <v>47</v>
      </c>
      <c r="J330" s="32" t="n">
        <v>1.0</v>
      </c>
      <c r="K330" s="33" t="n">
        <f>291400</f>
        <v>291400.0</v>
      </c>
      <c r="L330" s="34" t="s">
        <v>48</v>
      </c>
      <c r="M330" s="33" t="n">
        <f>297000</f>
        <v>297000.0</v>
      </c>
      <c r="N330" s="34" t="s">
        <v>50</v>
      </c>
      <c r="O330" s="33" t="n">
        <f>277700</f>
        <v>277700.0</v>
      </c>
      <c r="P330" s="34" t="s">
        <v>72</v>
      </c>
      <c r="Q330" s="33" t="n">
        <f>292900</f>
        <v>292900.0</v>
      </c>
      <c r="R330" s="34" t="s">
        <v>50</v>
      </c>
      <c r="S330" s="35" t="n">
        <f>286704.55</f>
        <v>286704.55</v>
      </c>
      <c r="T330" s="32" t="n">
        <f>151164</f>
        <v>151164.0</v>
      </c>
      <c r="U330" s="32" t="n">
        <f>32812</f>
        <v>32812.0</v>
      </c>
      <c r="V330" s="32" t="n">
        <f>43353652897</f>
        <v>4.3353652897E10</v>
      </c>
      <c r="W330" s="32" t="n">
        <f>9407062897</f>
        <v>9.407062897E9</v>
      </c>
      <c r="X330" s="36" t="n">
        <f>22</f>
        <v>22.0</v>
      </c>
    </row>
    <row r="331">
      <c r="A331" s="27" t="s">
        <v>42</v>
      </c>
      <c r="B331" s="27" t="s">
        <v>1041</v>
      </c>
      <c r="C331" s="27" t="s">
        <v>1042</v>
      </c>
      <c r="D331" s="27" t="s">
        <v>1043</v>
      </c>
      <c r="E331" s="28" t="s">
        <v>46</v>
      </c>
      <c r="F331" s="29" t="s">
        <v>46</v>
      </c>
      <c r="G331" s="30" t="s">
        <v>46</v>
      </c>
      <c r="H331" s="31"/>
      <c r="I331" s="31" t="s">
        <v>47</v>
      </c>
      <c r="J331" s="32" t="n">
        <v>1.0</v>
      </c>
      <c r="K331" s="33" t="n">
        <f>619000</f>
        <v>619000.0</v>
      </c>
      <c r="L331" s="34" t="s">
        <v>48</v>
      </c>
      <c r="M331" s="33" t="n">
        <f>657000</f>
        <v>657000.0</v>
      </c>
      <c r="N331" s="34" t="s">
        <v>114</v>
      </c>
      <c r="O331" s="33" t="n">
        <f>613000</f>
        <v>613000.0</v>
      </c>
      <c r="P331" s="34" t="s">
        <v>48</v>
      </c>
      <c r="Q331" s="33" t="n">
        <f>627000</f>
        <v>627000.0</v>
      </c>
      <c r="R331" s="34" t="s">
        <v>50</v>
      </c>
      <c r="S331" s="35" t="n">
        <f>635227.27</f>
        <v>635227.27</v>
      </c>
      <c r="T331" s="32" t="n">
        <f>20146</f>
        <v>20146.0</v>
      </c>
      <c r="U331" s="32" t="n">
        <f>3067</f>
        <v>3067.0</v>
      </c>
      <c r="V331" s="32" t="n">
        <f>12809133185</f>
        <v>1.2809133185E10</v>
      </c>
      <c r="W331" s="32" t="n">
        <f>1952794185</f>
        <v>1.952794185E9</v>
      </c>
      <c r="X331" s="36" t="n">
        <f>22</f>
        <v>22.0</v>
      </c>
    </row>
    <row r="332">
      <c r="A332" s="27" t="s">
        <v>42</v>
      </c>
      <c r="B332" s="27" t="s">
        <v>1044</v>
      </c>
      <c r="C332" s="27" t="s">
        <v>1045</v>
      </c>
      <c r="D332" s="27" t="s">
        <v>1046</v>
      </c>
      <c r="E332" s="28" t="s">
        <v>46</v>
      </c>
      <c r="F332" s="29" t="s">
        <v>46</v>
      </c>
      <c r="G332" s="30" t="s">
        <v>46</v>
      </c>
      <c r="H332" s="31"/>
      <c r="I332" s="31" t="s">
        <v>47</v>
      </c>
      <c r="J332" s="32" t="n">
        <v>1.0</v>
      </c>
      <c r="K332" s="33" t="n">
        <f>259600</f>
        <v>259600.0</v>
      </c>
      <c r="L332" s="34" t="s">
        <v>48</v>
      </c>
      <c r="M332" s="33" t="n">
        <f>260100</f>
        <v>260100.0</v>
      </c>
      <c r="N332" s="34" t="s">
        <v>48</v>
      </c>
      <c r="O332" s="33" t="n">
        <f>251500</f>
        <v>251500.0</v>
      </c>
      <c r="P332" s="34" t="s">
        <v>67</v>
      </c>
      <c r="Q332" s="33" t="n">
        <f>255000</f>
        <v>255000.0</v>
      </c>
      <c r="R332" s="34" t="s">
        <v>50</v>
      </c>
      <c r="S332" s="35" t="n">
        <f>255763.64</f>
        <v>255763.64</v>
      </c>
      <c r="T332" s="32" t="n">
        <f>19697</f>
        <v>19697.0</v>
      </c>
      <c r="U332" s="32" t="n">
        <f>2833</f>
        <v>2833.0</v>
      </c>
      <c r="V332" s="32" t="n">
        <f>5040122648</f>
        <v>5.040122648E9</v>
      </c>
      <c r="W332" s="32" t="n">
        <f>724679048</f>
        <v>7.24679048E8</v>
      </c>
      <c r="X332" s="36" t="n">
        <f>22</f>
        <v>22.0</v>
      </c>
    </row>
    <row r="333">
      <c r="A333" s="27" t="s">
        <v>42</v>
      </c>
      <c r="B333" s="27" t="s">
        <v>1047</v>
      </c>
      <c r="C333" s="27" t="s">
        <v>1048</v>
      </c>
      <c r="D333" s="27" t="s">
        <v>1049</v>
      </c>
      <c r="E333" s="28" t="s">
        <v>46</v>
      </c>
      <c r="F333" s="29" t="s">
        <v>46</v>
      </c>
      <c r="G333" s="30" t="s">
        <v>46</v>
      </c>
      <c r="H333" s="31"/>
      <c r="I333" s="31" t="s">
        <v>47</v>
      </c>
      <c r="J333" s="32" t="n">
        <v>1.0</v>
      </c>
      <c r="K333" s="33" t="n">
        <f>149500</f>
        <v>149500.0</v>
      </c>
      <c r="L333" s="34" t="s">
        <v>48</v>
      </c>
      <c r="M333" s="33" t="n">
        <f>150400</f>
        <v>150400.0</v>
      </c>
      <c r="N333" s="34" t="s">
        <v>209</v>
      </c>
      <c r="O333" s="33" t="n">
        <f>144700</f>
        <v>144700.0</v>
      </c>
      <c r="P333" s="34" t="s">
        <v>72</v>
      </c>
      <c r="Q333" s="33" t="n">
        <f>147300</f>
        <v>147300.0</v>
      </c>
      <c r="R333" s="34" t="s">
        <v>50</v>
      </c>
      <c r="S333" s="35" t="n">
        <f>147231.82</f>
        <v>147231.82</v>
      </c>
      <c r="T333" s="32" t="n">
        <f>101533</f>
        <v>101533.0</v>
      </c>
      <c r="U333" s="32" t="n">
        <f>23796</f>
        <v>23796.0</v>
      </c>
      <c r="V333" s="32" t="n">
        <f>14951924683</f>
        <v>1.4951924683E10</v>
      </c>
      <c r="W333" s="32" t="n">
        <f>3502682483</f>
        <v>3.502682483E9</v>
      </c>
      <c r="X333" s="36" t="n">
        <f>22</f>
        <v>22.0</v>
      </c>
    </row>
    <row r="334">
      <c r="A334" s="27" t="s">
        <v>42</v>
      </c>
      <c r="B334" s="27" t="s">
        <v>1050</v>
      </c>
      <c r="C334" s="27" t="s">
        <v>1051</v>
      </c>
      <c r="D334" s="27" t="s">
        <v>1052</v>
      </c>
      <c r="E334" s="28" t="s">
        <v>46</v>
      </c>
      <c r="F334" s="29" t="s">
        <v>46</v>
      </c>
      <c r="G334" s="30" t="s">
        <v>46</v>
      </c>
      <c r="H334" s="31"/>
      <c r="I334" s="31" t="s">
        <v>47</v>
      </c>
      <c r="J334" s="32" t="n">
        <v>1.0</v>
      </c>
      <c r="K334" s="33" t="n">
        <f>165500</f>
        <v>165500.0</v>
      </c>
      <c r="L334" s="34" t="s">
        <v>48</v>
      </c>
      <c r="M334" s="33" t="n">
        <f>167800</f>
        <v>167800.0</v>
      </c>
      <c r="N334" s="34" t="s">
        <v>114</v>
      </c>
      <c r="O334" s="33" t="n">
        <f>162400</f>
        <v>162400.0</v>
      </c>
      <c r="P334" s="34" t="s">
        <v>50</v>
      </c>
      <c r="Q334" s="33" t="n">
        <f>162400</f>
        <v>162400.0</v>
      </c>
      <c r="R334" s="34" t="s">
        <v>50</v>
      </c>
      <c r="S334" s="35" t="n">
        <f>164904.55</f>
        <v>164904.55</v>
      </c>
      <c r="T334" s="32" t="n">
        <f>75466</f>
        <v>75466.0</v>
      </c>
      <c r="U334" s="32" t="n">
        <f>13758</f>
        <v>13758.0</v>
      </c>
      <c r="V334" s="32" t="n">
        <f>12435999584</f>
        <v>1.2435999584E10</v>
      </c>
      <c r="W334" s="32" t="n">
        <f>2264574584</f>
        <v>2.264574584E9</v>
      </c>
      <c r="X334" s="36" t="n">
        <f>22</f>
        <v>22.0</v>
      </c>
    </row>
    <row r="335">
      <c r="A335" s="27" t="s">
        <v>42</v>
      </c>
      <c r="B335" s="27" t="s">
        <v>1053</v>
      </c>
      <c r="C335" s="27" t="s">
        <v>1054</v>
      </c>
      <c r="D335" s="27" t="s">
        <v>1055</v>
      </c>
      <c r="E335" s="28" t="s">
        <v>46</v>
      </c>
      <c r="F335" s="29" t="s">
        <v>46</v>
      </c>
      <c r="G335" s="30" t="s">
        <v>46</v>
      </c>
      <c r="H335" s="31"/>
      <c r="I335" s="31" t="s">
        <v>47</v>
      </c>
      <c r="J335" s="32" t="n">
        <v>1.0</v>
      </c>
      <c r="K335" s="33" t="n">
        <f>338500</f>
        <v>338500.0</v>
      </c>
      <c r="L335" s="34" t="s">
        <v>48</v>
      </c>
      <c r="M335" s="33" t="n">
        <f>352500</f>
        <v>352500.0</v>
      </c>
      <c r="N335" s="34" t="s">
        <v>67</v>
      </c>
      <c r="O335" s="33" t="n">
        <f>332000</f>
        <v>332000.0</v>
      </c>
      <c r="P335" s="34" t="s">
        <v>173</v>
      </c>
      <c r="Q335" s="33" t="n">
        <f>348000</f>
        <v>348000.0</v>
      </c>
      <c r="R335" s="34" t="s">
        <v>50</v>
      </c>
      <c r="S335" s="35" t="n">
        <f>341386.36</f>
        <v>341386.36</v>
      </c>
      <c r="T335" s="32" t="n">
        <f>29771</f>
        <v>29771.0</v>
      </c>
      <c r="U335" s="32" t="n">
        <f>6812</f>
        <v>6812.0</v>
      </c>
      <c r="V335" s="32" t="n">
        <f>10164356980</f>
        <v>1.016435698E10</v>
      </c>
      <c r="W335" s="32" t="n">
        <f>2326880980</f>
        <v>2.32688098E9</v>
      </c>
      <c r="X335" s="36" t="n">
        <f>22</f>
        <v>22.0</v>
      </c>
    </row>
    <row r="336">
      <c r="A336" s="27" t="s">
        <v>42</v>
      </c>
      <c r="B336" s="27" t="s">
        <v>1056</v>
      </c>
      <c r="C336" s="27" t="s">
        <v>1057</v>
      </c>
      <c r="D336" s="27" t="s">
        <v>1058</v>
      </c>
      <c r="E336" s="28" t="s">
        <v>46</v>
      </c>
      <c r="F336" s="29" t="s">
        <v>46</v>
      </c>
      <c r="G336" s="30" t="s">
        <v>46</v>
      </c>
      <c r="H336" s="31"/>
      <c r="I336" s="31" t="s">
        <v>47</v>
      </c>
      <c r="J336" s="32" t="n">
        <v>1.0</v>
      </c>
      <c r="K336" s="33" t="n">
        <f>84200</f>
        <v>84200.0</v>
      </c>
      <c r="L336" s="34" t="s">
        <v>48</v>
      </c>
      <c r="M336" s="33" t="n">
        <f>85500</f>
        <v>85500.0</v>
      </c>
      <c r="N336" s="34" t="s">
        <v>79</v>
      </c>
      <c r="O336" s="33" t="n">
        <f>81400</f>
        <v>81400.0</v>
      </c>
      <c r="P336" s="34" t="s">
        <v>68</v>
      </c>
      <c r="Q336" s="33" t="n">
        <f>84100</f>
        <v>84100.0</v>
      </c>
      <c r="R336" s="34" t="s">
        <v>50</v>
      </c>
      <c r="S336" s="35" t="n">
        <f>83668.18</f>
        <v>83668.18</v>
      </c>
      <c r="T336" s="32" t="n">
        <f>238032</f>
        <v>238032.0</v>
      </c>
      <c r="U336" s="32" t="n">
        <f>64994</f>
        <v>64994.0</v>
      </c>
      <c r="V336" s="32" t="n">
        <f>19890207246</f>
        <v>1.9890207246E10</v>
      </c>
      <c r="W336" s="32" t="n">
        <f>5432047846</f>
        <v>5.432047846E9</v>
      </c>
      <c r="X336" s="36" t="n">
        <f>22</f>
        <v>22.0</v>
      </c>
    </row>
    <row r="337">
      <c r="A337" s="27" t="s">
        <v>42</v>
      </c>
      <c r="B337" s="27" t="s">
        <v>1059</v>
      </c>
      <c r="C337" s="27" t="s">
        <v>1060</v>
      </c>
      <c r="D337" s="27" t="s">
        <v>1061</v>
      </c>
      <c r="E337" s="28" t="s">
        <v>46</v>
      </c>
      <c r="F337" s="29" t="s">
        <v>46</v>
      </c>
      <c r="G337" s="30" t="s">
        <v>46</v>
      </c>
      <c r="H337" s="31"/>
      <c r="I337" s="31" t="s">
        <v>551</v>
      </c>
      <c r="J337" s="32" t="n">
        <v>1.0</v>
      </c>
      <c r="K337" s="33" t="n">
        <f>136500</f>
        <v>136500.0</v>
      </c>
      <c r="L337" s="34" t="s">
        <v>48</v>
      </c>
      <c r="M337" s="33" t="n">
        <f>141500</f>
        <v>141500.0</v>
      </c>
      <c r="N337" s="34" t="s">
        <v>50</v>
      </c>
      <c r="O337" s="33" t="n">
        <f>132900</f>
        <v>132900.0</v>
      </c>
      <c r="P337" s="34" t="s">
        <v>154</v>
      </c>
      <c r="Q337" s="33" t="n">
        <f>140800</f>
        <v>140800.0</v>
      </c>
      <c r="R337" s="34" t="s">
        <v>50</v>
      </c>
      <c r="S337" s="35" t="n">
        <f>135772.73</f>
        <v>135772.73</v>
      </c>
      <c r="T337" s="32" t="n">
        <f>16533</f>
        <v>16533.0</v>
      </c>
      <c r="U337" s="32" t="n">
        <f>2679</f>
        <v>2679.0</v>
      </c>
      <c r="V337" s="32" t="n">
        <f>2255092625</f>
        <v>2.255092625E9</v>
      </c>
      <c r="W337" s="32" t="n">
        <f>367513925</f>
        <v>3.67513925E8</v>
      </c>
      <c r="X337" s="36" t="n">
        <f>22</f>
        <v>22.0</v>
      </c>
    </row>
    <row r="338">
      <c r="A338" s="27" t="s">
        <v>42</v>
      </c>
      <c r="B338" s="27" t="s">
        <v>1062</v>
      </c>
      <c r="C338" s="27" t="s">
        <v>1063</v>
      </c>
      <c r="D338" s="27" t="s">
        <v>1064</v>
      </c>
      <c r="E338" s="28" t="s">
        <v>46</v>
      </c>
      <c r="F338" s="29" t="s">
        <v>46</v>
      </c>
      <c r="G338" s="30" t="s">
        <v>46</v>
      </c>
      <c r="H338" s="31"/>
      <c r="I338" s="31" t="s">
        <v>47</v>
      </c>
      <c r="J338" s="32" t="n">
        <v>1.0</v>
      </c>
      <c r="K338" s="33" t="n">
        <f>281400</f>
        <v>281400.0</v>
      </c>
      <c r="L338" s="34" t="s">
        <v>48</v>
      </c>
      <c r="M338" s="33" t="n">
        <f>291000</f>
        <v>291000.0</v>
      </c>
      <c r="N338" s="34" t="s">
        <v>50</v>
      </c>
      <c r="O338" s="33" t="n">
        <f>277200</f>
        <v>277200.0</v>
      </c>
      <c r="P338" s="34" t="s">
        <v>173</v>
      </c>
      <c r="Q338" s="33" t="n">
        <f>288200</f>
        <v>288200.0</v>
      </c>
      <c r="R338" s="34" t="s">
        <v>50</v>
      </c>
      <c r="S338" s="35" t="n">
        <f>283263.64</f>
        <v>283263.64</v>
      </c>
      <c r="T338" s="32" t="n">
        <f>41194</f>
        <v>41194.0</v>
      </c>
      <c r="U338" s="32" t="n">
        <f>6037</f>
        <v>6037.0</v>
      </c>
      <c r="V338" s="32" t="n">
        <f>11651057599</f>
        <v>1.1651057599E10</v>
      </c>
      <c r="W338" s="32" t="n">
        <f>1704074399</f>
        <v>1.704074399E9</v>
      </c>
      <c r="X338" s="36" t="n">
        <f>22</f>
        <v>22.0</v>
      </c>
    </row>
    <row r="339">
      <c r="A339" s="27" t="s">
        <v>42</v>
      </c>
      <c r="B339" s="27" t="s">
        <v>1065</v>
      </c>
      <c r="C339" s="27" t="s">
        <v>1066</v>
      </c>
      <c r="D339" s="27" t="s">
        <v>1067</v>
      </c>
      <c r="E339" s="28" t="s">
        <v>46</v>
      </c>
      <c r="F339" s="29" t="s">
        <v>46</v>
      </c>
      <c r="G339" s="30" t="s">
        <v>46</v>
      </c>
      <c r="H339" s="31"/>
      <c r="I339" s="31" t="s">
        <v>47</v>
      </c>
      <c r="J339" s="32" t="n">
        <v>1.0</v>
      </c>
      <c r="K339" s="33" t="n">
        <f>153400</f>
        <v>153400.0</v>
      </c>
      <c r="L339" s="34" t="s">
        <v>48</v>
      </c>
      <c r="M339" s="33" t="n">
        <f>153400</f>
        <v>153400.0</v>
      </c>
      <c r="N339" s="34" t="s">
        <v>48</v>
      </c>
      <c r="O339" s="33" t="n">
        <f>143400</f>
        <v>143400.0</v>
      </c>
      <c r="P339" s="34" t="s">
        <v>490</v>
      </c>
      <c r="Q339" s="33" t="n">
        <f>147900</f>
        <v>147900.0</v>
      </c>
      <c r="R339" s="34" t="s">
        <v>50</v>
      </c>
      <c r="S339" s="35" t="n">
        <f>147359.09</f>
        <v>147359.09</v>
      </c>
      <c r="T339" s="32" t="n">
        <f>27479</f>
        <v>27479.0</v>
      </c>
      <c r="U339" s="32" t="n">
        <f>8602</f>
        <v>8602.0</v>
      </c>
      <c r="V339" s="32" t="n">
        <f>4055909381</f>
        <v>4.055909381E9</v>
      </c>
      <c r="W339" s="32" t="n">
        <f>1270657681</f>
        <v>1.270657681E9</v>
      </c>
      <c r="X339" s="36" t="n">
        <f>22</f>
        <v>22.0</v>
      </c>
    </row>
    <row r="340">
      <c r="A340" s="27" t="s">
        <v>42</v>
      </c>
      <c r="B340" s="27" t="s">
        <v>1068</v>
      </c>
      <c r="C340" s="27" t="s">
        <v>1069</v>
      </c>
      <c r="D340" s="27" t="s">
        <v>1070</v>
      </c>
      <c r="E340" s="28" t="s">
        <v>46</v>
      </c>
      <c r="F340" s="29" t="s">
        <v>46</v>
      </c>
      <c r="G340" s="30" t="s">
        <v>46</v>
      </c>
      <c r="H340" s="31"/>
      <c r="I340" s="31" t="s">
        <v>47</v>
      </c>
      <c r="J340" s="32" t="n">
        <v>1.0</v>
      </c>
      <c r="K340" s="33" t="n">
        <f>116900</f>
        <v>116900.0</v>
      </c>
      <c r="L340" s="34" t="s">
        <v>48</v>
      </c>
      <c r="M340" s="33" t="n">
        <f>116900</f>
        <v>116900.0</v>
      </c>
      <c r="N340" s="34" t="s">
        <v>48</v>
      </c>
      <c r="O340" s="33" t="n">
        <f>111600</f>
        <v>111600.0</v>
      </c>
      <c r="P340" s="34" t="s">
        <v>68</v>
      </c>
      <c r="Q340" s="33" t="n">
        <f>116100</f>
        <v>116100.0</v>
      </c>
      <c r="R340" s="34" t="s">
        <v>50</v>
      </c>
      <c r="S340" s="35" t="n">
        <f>113459.09</f>
        <v>113459.09</v>
      </c>
      <c r="T340" s="32" t="n">
        <f>19025</f>
        <v>19025.0</v>
      </c>
      <c r="U340" s="32" t="n">
        <f>3411</f>
        <v>3411.0</v>
      </c>
      <c r="V340" s="32" t="n">
        <f>2166178730</f>
        <v>2.16617873E9</v>
      </c>
      <c r="W340" s="32" t="n">
        <f>389708330</f>
        <v>3.8970833E8</v>
      </c>
      <c r="X340" s="36" t="n">
        <f>22</f>
        <v>22.0</v>
      </c>
    </row>
    <row r="341">
      <c r="A341" s="27" t="s">
        <v>42</v>
      </c>
      <c r="B341" s="27" t="s">
        <v>1071</v>
      </c>
      <c r="C341" s="27" t="s">
        <v>1072</v>
      </c>
      <c r="D341" s="27" t="s">
        <v>1073</v>
      </c>
      <c r="E341" s="28" t="s">
        <v>46</v>
      </c>
      <c r="F341" s="29" t="s">
        <v>46</v>
      </c>
      <c r="G341" s="30" t="s">
        <v>46</v>
      </c>
      <c r="H341" s="31"/>
      <c r="I341" s="31" t="s">
        <v>47</v>
      </c>
      <c r="J341" s="32" t="n">
        <v>1.0</v>
      </c>
      <c r="K341" s="33" t="n">
        <f>170000</f>
        <v>170000.0</v>
      </c>
      <c r="L341" s="34" t="s">
        <v>48</v>
      </c>
      <c r="M341" s="33" t="n">
        <f>174700</f>
        <v>174700.0</v>
      </c>
      <c r="N341" s="34" t="s">
        <v>174</v>
      </c>
      <c r="O341" s="33" t="n">
        <f>167400</f>
        <v>167400.0</v>
      </c>
      <c r="P341" s="34" t="s">
        <v>48</v>
      </c>
      <c r="Q341" s="33" t="n">
        <f>171100</f>
        <v>171100.0</v>
      </c>
      <c r="R341" s="34" t="s">
        <v>50</v>
      </c>
      <c r="S341" s="35" t="n">
        <f>171286.36</f>
        <v>171286.36</v>
      </c>
      <c r="T341" s="32" t="n">
        <f>281379</f>
        <v>281379.0</v>
      </c>
      <c r="U341" s="32" t="n">
        <f>59041</f>
        <v>59041.0</v>
      </c>
      <c r="V341" s="32" t="n">
        <f>48172044215</f>
        <v>4.8172044215E10</v>
      </c>
      <c r="W341" s="32" t="n">
        <f>10114265115</f>
        <v>1.0114265115E10</v>
      </c>
      <c r="X341" s="36" t="n">
        <f>22</f>
        <v>22.0</v>
      </c>
    </row>
    <row r="342">
      <c r="A342" s="27" t="s">
        <v>42</v>
      </c>
      <c r="B342" s="27" t="s">
        <v>1074</v>
      </c>
      <c r="C342" s="27" t="s">
        <v>1075</v>
      </c>
      <c r="D342" s="27" t="s">
        <v>1076</v>
      </c>
      <c r="E342" s="28" t="s">
        <v>46</v>
      </c>
      <c r="F342" s="29" t="s">
        <v>46</v>
      </c>
      <c r="G342" s="30" t="s">
        <v>46</v>
      </c>
      <c r="H342" s="31"/>
      <c r="I342" s="31" t="s">
        <v>551</v>
      </c>
      <c r="J342" s="32" t="n">
        <v>1.0</v>
      </c>
      <c r="K342" s="33" t="n">
        <f>109000</f>
        <v>109000.0</v>
      </c>
      <c r="L342" s="34" t="s">
        <v>48</v>
      </c>
      <c r="M342" s="33" t="n">
        <f>116600</f>
        <v>116600.0</v>
      </c>
      <c r="N342" s="34" t="s">
        <v>80</v>
      </c>
      <c r="O342" s="33" t="n">
        <f>107300</f>
        <v>107300.0</v>
      </c>
      <c r="P342" s="34" t="s">
        <v>48</v>
      </c>
      <c r="Q342" s="33" t="n">
        <f>114600</f>
        <v>114600.0</v>
      </c>
      <c r="R342" s="34" t="s">
        <v>50</v>
      </c>
      <c r="S342" s="35" t="n">
        <f>112136.36</f>
        <v>112136.36</v>
      </c>
      <c r="T342" s="32" t="n">
        <f>22365</f>
        <v>22365.0</v>
      </c>
      <c r="U342" s="32" t="n">
        <f>1733</f>
        <v>1733.0</v>
      </c>
      <c r="V342" s="32" t="n">
        <f>2512723509</f>
        <v>2.512723509E9</v>
      </c>
      <c r="W342" s="32" t="n">
        <f>194925809</f>
        <v>1.94925809E8</v>
      </c>
      <c r="X342" s="36" t="n">
        <f>22</f>
        <v>22.0</v>
      </c>
    </row>
    <row r="343">
      <c r="A343" s="27" t="s">
        <v>42</v>
      </c>
      <c r="B343" s="27" t="s">
        <v>1077</v>
      </c>
      <c r="C343" s="27" t="s">
        <v>1078</v>
      </c>
      <c r="D343" s="27" t="s">
        <v>1079</v>
      </c>
      <c r="E343" s="28" t="s">
        <v>46</v>
      </c>
      <c r="F343" s="29" t="s">
        <v>46</v>
      </c>
      <c r="G343" s="30" t="s">
        <v>46</v>
      </c>
      <c r="H343" s="31"/>
      <c r="I343" s="31" t="s">
        <v>47</v>
      </c>
      <c r="J343" s="32" t="n">
        <v>1.0</v>
      </c>
      <c r="K343" s="33" t="n">
        <f>151800</f>
        <v>151800.0</v>
      </c>
      <c r="L343" s="34" t="s">
        <v>48</v>
      </c>
      <c r="M343" s="33" t="n">
        <f>152100</f>
        <v>152100.0</v>
      </c>
      <c r="N343" s="34" t="s">
        <v>48</v>
      </c>
      <c r="O343" s="33" t="n">
        <f>146700</f>
        <v>146700.0</v>
      </c>
      <c r="P343" s="34" t="s">
        <v>245</v>
      </c>
      <c r="Q343" s="33" t="n">
        <f>148700</f>
        <v>148700.0</v>
      </c>
      <c r="R343" s="34" t="s">
        <v>50</v>
      </c>
      <c r="S343" s="35" t="n">
        <f>148927.27</f>
        <v>148927.27</v>
      </c>
      <c r="T343" s="32" t="n">
        <f>103170</f>
        <v>103170.0</v>
      </c>
      <c r="U343" s="32" t="n">
        <f>17593</f>
        <v>17593.0</v>
      </c>
      <c r="V343" s="32" t="n">
        <f>15364188309</f>
        <v>1.5364188309E10</v>
      </c>
      <c r="W343" s="32" t="n">
        <f>2617691909</f>
        <v>2.617691909E9</v>
      </c>
      <c r="X343" s="36" t="n">
        <f>22</f>
        <v>22.0</v>
      </c>
    </row>
    <row r="344">
      <c r="A344" s="27" t="s">
        <v>42</v>
      </c>
      <c r="B344" s="27" t="s">
        <v>1080</v>
      </c>
      <c r="C344" s="27" t="s">
        <v>1081</v>
      </c>
      <c r="D344" s="27" t="s">
        <v>1082</v>
      </c>
      <c r="E344" s="28" t="s">
        <v>46</v>
      </c>
      <c r="F344" s="29" t="s">
        <v>46</v>
      </c>
      <c r="G344" s="30" t="s">
        <v>46</v>
      </c>
      <c r="H344" s="31"/>
      <c r="I344" s="31" t="s">
        <v>47</v>
      </c>
      <c r="J344" s="32" t="n">
        <v>1.0</v>
      </c>
      <c r="K344" s="33" t="n">
        <f>57500</f>
        <v>57500.0</v>
      </c>
      <c r="L344" s="34" t="s">
        <v>48</v>
      </c>
      <c r="M344" s="33" t="n">
        <f>58500</f>
        <v>58500.0</v>
      </c>
      <c r="N344" s="34" t="s">
        <v>213</v>
      </c>
      <c r="O344" s="33" t="n">
        <f>53600</f>
        <v>53600.0</v>
      </c>
      <c r="P344" s="34" t="s">
        <v>49</v>
      </c>
      <c r="Q344" s="33" t="n">
        <f>57900</f>
        <v>57900.0</v>
      </c>
      <c r="R344" s="34" t="s">
        <v>50</v>
      </c>
      <c r="S344" s="35" t="n">
        <f>55940.91</f>
        <v>55940.91</v>
      </c>
      <c r="T344" s="32" t="n">
        <f>1010799</f>
        <v>1010799.0</v>
      </c>
      <c r="U344" s="32" t="n">
        <f>115859</f>
        <v>115859.0</v>
      </c>
      <c r="V344" s="32" t="n">
        <f>55528441488</f>
        <v>5.5528441488E10</v>
      </c>
      <c r="W344" s="32" t="n">
        <f>6349221188</f>
        <v>6.349221188E9</v>
      </c>
      <c r="X344" s="36" t="n">
        <f>22</f>
        <v>22.0</v>
      </c>
    </row>
    <row r="345">
      <c r="A345" s="27" t="s">
        <v>42</v>
      </c>
      <c r="B345" s="27" t="s">
        <v>1083</v>
      </c>
      <c r="C345" s="27" t="s">
        <v>1084</v>
      </c>
      <c r="D345" s="27" t="s">
        <v>1085</v>
      </c>
      <c r="E345" s="28" t="s">
        <v>46</v>
      </c>
      <c r="F345" s="29" t="s">
        <v>46</v>
      </c>
      <c r="G345" s="30" t="s">
        <v>46</v>
      </c>
      <c r="H345" s="31"/>
      <c r="I345" s="31" t="s">
        <v>551</v>
      </c>
      <c r="J345" s="32" t="n">
        <v>1.0</v>
      </c>
      <c r="K345" s="33" t="n">
        <f>129100</f>
        <v>129100.0</v>
      </c>
      <c r="L345" s="34" t="s">
        <v>48</v>
      </c>
      <c r="M345" s="33" t="n">
        <f>129100</f>
        <v>129100.0</v>
      </c>
      <c r="N345" s="34" t="s">
        <v>48</v>
      </c>
      <c r="O345" s="33" t="n">
        <f>123700</f>
        <v>123700.0</v>
      </c>
      <c r="P345" s="34" t="s">
        <v>314</v>
      </c>
      <c r="Q345" s="33" t="n">
        <f>126800</f>
        <v>126800.0</v>
      </c>
      <c r="R345" s="34" t="s">
        <v>50</v>
      </c>
      <c r="S345" s="35" t="n">
        <f>127072.73</f>
        <v>127072.73</v>
      </c>
      <c r="T345" s="32" t="n">
        <f>15059</f>
        <v>15059.0</v>
      </c>
      <c r="U345" s="32" t="n">
        <f>2109</f>
        <v>2109.0</v>
      </c>
      <c r="V345" s="32" t="n">
        <f>1909570623</f>
        <v>1.909570623E9</v>
      </c>
      <c r="W345" s="32" t="n">
        <f>268859623</f>
        <v>2.68859623E8</v>
      </c>
      <c r="X345" s="36" t="n">
        <f>22</f>
        <v>22.0</v>
      </c>
    </row>
    <row r="346">
      <c r="A346" s="27" t="s">
        <v>42</v>
      </c>
      <c r="B346" s="27" t="s">
        <v>1086</v>
      </c>
      <c r="C346" s="27" t="s">
        <v>1087</v>
      </c>
      <c r="D346" s="27" t="s">
        <v>1088</v>
      </c>
      <c r="E346" s="28" t="s">
        <v>46</v>
      </c>
      <c r="F346" s="29" t="s">
        <v>46</v>
      </c>
      <c r="G346" s="30" t="s">
        <v>46</v>
      </c>
      <c r="H346" s="31"/>
      <c r="I346" s="31" t="s">
        <v>47</v>
      </c>
      <c r="J346" s="32" t="n">
        <v>1.0</v>
      </c>
      <c r="K346" s="33" t="n">
        <f>501000</f>
        <v>501000.0</v>
      </c>
      <c r="L346" s="34" t="s">
        <v>48</v>
      </c>
      <c r="M346" s="33" t="n">
        <f>507000</f>
        <v>507000.0</v>
      </c>
      <c r="N346" s="34" t="s">
        <v>48</v>
      </c>
      <c r="O346" s="33" t="n">
        <f>469500</f>
        <v>469500.0</v>
      </c>
      <c r="P346" s="34" t="s">
        <v>60</v>
      </c>
      <c r="Q346" s="33" t="n">
        <f>495500</f>
        <v>495500.0</v>
      </c>
      <c r="R346" s="34" t="s">
        <v>50</v>
      </c>
      <c r="S346" s="35" t="n">
        <f>488568.18</f>
        <v>488568.18</v>
      </c>
      <c r="T346" s="32" t="n">
        <f>75554</f>
        <v>75554.0</v>
      </c>
      <c r="U346" s="32" t="n">
        <f>13123</f>
        <v>13123.0</v>
      </c>
      <c r="V346" s="32" t="n">
        <f>37185753701</f>
        <v>3.7185753701E10</v>
      </c>
      <c r="W346" s="32" t="n">
        <f>6467199701</f>
        <v>6.467199701E9</v>
      </c>
      <c r="X346" s="36" t="n">
        <f>22</f>
        <v>22.0</v>
      </c>
    </row>
    <row r="347">
      <c r="A347" s="27" t="s">
        <v>42</v>
      </c>
      <c r="B347" s="27" t="s">
        <v>1089</v>
      </c>
      <c r="C347" s="27" t="s">
        <v>1090</v>
      </c>
      <c r="D347" s="27" t="s">
        <v>1091</v>
      </c>
      <c r="E347" s="28" t="s">
        <v>46</v>
      </c>
      <c r="F347" s="29" t="s">
        <v>46</v>
      </c>
      <c r="G347" s="30" t="s">
        <v>46</v>
      </c>
      <c r="H347" s="31"/>
      <c r="I347" s="31" t="s">
        <v>551</v>
      </c>
      <c r="J347" s="32" t="n">
        <v>1.0</v>
      </c>
      <c r="K347" s="33" t="n">
        <f>65900</f>
        <v>65900.0</v>
      </c>
      <c r="L347" s="34" t="s">
        <v>48</v>
      </c>
      <c r="M347" s="33" t="n">
        <f>65900</f>
        <v>65900.0</v>
      </c>
      <c r="N347" s="34" t="s">
        <v>48</v>
      </c>
      <c r="O347" s="33" t="n">
        <f>63400</f>
        <v>63400.0</v>
      </c>
      <c r="P347" s="34" t="s">
        <v>154</v>
      </c>
      <c r="Q347" s="33" t="n">
        <f>65000</f>
        <v>65000.0</v>
      </c>
      <c r="R347" s="34" t="s">
        <v>50</v>
      </c>
      <c r="S347" s="35" t="n">
        <f>64513.64</f>
        <v>64513.64</v>
      </c>
      <c r="T347" s="32" t="n">
        <f>11599</f>
        <v>11599.0</v>
      </c>
      <c r="U347" s="32" t="n">
        <f>2167</f>
        <v>2167.0</v>
      </c>
      <c r="V347" s="32" t="n">
        <f>748960024</f>
        <v>7.48960024E8</v>
      </c>
      <c r="W347" s="32" t="n">
        <f>139863424</f>
        <v>1.39863424E8</v>
      </c>
      <c r="X347" s="36" t="n">
        <f>22</f>
        <v>22.0</v>
      </c>
    </row>
    <row r="348">
      <c r="A348" s="27" t="s">
        <v>42</v>
      </c>
      <c r="B348" s="27" t="s">
        <v>1092</v>
      </c>
      <c r="C348" s="27" t="s">
        <v>1093</v>
      </c>
      <c r="D348" s="27" t="s">
        <v>1094</v>
      </c>
      <c r="E348" s="28" t="s">
        <v>46</v>
      </c>
      <c r="F348" s="29" t="s">
        <v>46</v>
      </c>
      <c r="G348" s="30" t="s">
        <v>46</v>
      </c>
      <c r="H348" s="31"/>
      <c r="I348" s="31" t="s">
        <v>47</v>
      </c>
      <c r="J348" s="32" t="n">
        <v>1.0</v>
      </c>
      <c r="K348" s="33" t="n">
        <f>45750</f>
        <v>45750.0</v>
      </c>
      <c r="L348" s="34" t="s">
        <v>48</v>
      </c>
      <c r="M348" s="33" t="n">
        <f>47600</f>
        <v>47600.0</v>
      </c>
      <c r="N348" s="34" t="s">
        <v>67</v>
      </c>
      <c r="O348" s="33" t="n">
        <f>45600</f>
        <v>45600.0</v>
      </c>
      <c r="P348" s="34" t="s">
        <v>48</v>
      </c>
      <c r="Q348" s="33" t="n">
        <f>47150</f>
        <v>47150.0</v>
      </c>
      <c r="R348" s="34" t="s">
        <v>50</v>
      </c>
      <c r="S348" s="35" t="n">
        <f>46709.09</f>
        <v>46709.09</v>
      </c>
      <c r="T348" s="32" t="n">
        <f>81153</f>
        <v>81153.0</v>
      </c>
      <c r="U348" s="32" t="n">
        <f>13995</f>
        <v>13995.0</v>
      </c>
      <c r="V348" s="32" t="n">
        <f>3788776669</f>
        <v>3.788776669E9</v>
      </c>
      <c r="W348" s="32" t="n">
        <f>653430619</f>
        <v>6.53430619E8</v>
      </c>
      <c r="X348" s="36" t="n">
        <f>22</f>
        <v>22.0</v>
      </c>
    </row>
    <row r="349">
      <c r="A349" s="27" t="s">
        <v>42</v>
      </c>
      <c r="B349" s="27" t="s">
        <v>1095</v>
      </c>
      <c r="C349" s="27" t="s">
        <v>1096</v>
      </c>
      <c r="D349" s="27" t="s">
        <v>1097</v>
      </c>
      <c r="E349" s="28" t="s">
        <v>46</v>
      </c>
      <c r="F349" s="29" t="s">
        <v>46</v>
      </c>
      <c r="G349" s="30" t="s">
        <v>46</v>
      </c>
      <c r="H349" s="31"/>
      <c r="I349" s="31" t="s">
        <v>47</v>
      </c>
      <c r="J349" s="32" t="n">
        <v>1.0</v>
      </c>
      <c r="K349" s="33" t="n">
        <f>407500</f>
        <v>407500.0</v>
      </c>
      <c r="L349" s="34" t="s">
        <v>48</v>
      </c>
      <c r="M349" s="33" t="n">
        <f>407500</f>
        <v>407500.0</v>
      </c>
      <c r="N349" s="34" t="s">
        <v>48</v>
      </c>
      <c r="O349" s="33" t="n">
        <f>387000</f>
        <v>387000.0</v>
      </c>
      <c r="P349" s="34" t="s">
        <v>314</v>
      </c>
      <c r="Q349" s="33" t="n">
        <f>394000</f>
        <v>394000.0</v>
      </c>
      <c r="R349" s="34" t="s">
        <v>50</v>
      </c>
      <c r="S349" s="35" t="n">
        <f>394818.18</f>
        <v>394818.18</v>
      </c>
      <c r="T349" s="32" t="n">
        <f>32351</f>
        <v>32351.0</v>
      </c>
      <c r="U349" s="32" t="n">
        <f>5121</f>
        <v>5121.0</v>
      </c>
      <c r="V349" s="32" t="n">
        <f>12775482605</f>
        <v>1.2775482605E10</v>
      </c>
      <c r="W349" s="32" t="n">
        <f>2020323605</f>
        <v>2.020323605E9</v>
      </c>
      <c r="X349" s="36" t="n">
        <f>22</f>
        <v>22.0</v>
      </c>
    </row>
    <row r="350">
      <c r="A350" s="27" t="s">
        <v>42</v>
      </c>
      <c r="B350" s="27" t="s">
        <v>1098</v>
      </c>
      <c r="C350" s="27" t="s">
        <v>1099</v>
      </c>
      <c r="D350" s="27" t="s">
        <v>1100</v>
      </c>
      <c r="E350" s="28" t="s">
        <v>46</v>
      </c>
      <c r="F350" s="29" t="s">
        <v>46</v>
      </c>
      <c r="G350" s="30" t="s">
        <v>46</v>
      </c>
      <c r="H350" s="31"/>
      <c r="I350" s="31" t="s">
        <v>47</v>
      </c>
      <c r="J350" s="32" t="n">
        <v>1.0</v>
      </c>
      <c r="K350" s="33" t="n">
        <f>175400</f>
        <v>175400.0</v>
      </c>
      <c r="L350" s="34" t="s">
        <v>48</v>
      </c>
      <c r="M350" s="33" t="n">
        <f>175400</f>
        <v>175400.0</v>
      </c>
      <c r="N350" s="34" t="s">
        <v>48</v>
      </c>
      <c r="O350" s="33" t="n">
        <f>164000</f>
        <v>164000.0</v>
      </c>
      <c r="P350" s="34" t="s">
        <v>314</v>
      </c>
      <c r="Q350" s="33" t="n">
        <f>169000</f>
        <v>169000.0</v>
      </c>
      <c r="R350" s="34" t="s">
        <v>50</v>
      </c>
      <c r="S350" s="35" t="n">
        <f>169200</f>
        <v>169200.0</v>
      </c>
      <c r="T350" s="32" t="n">
        <f>45937</f>
        <v>45937.0</v>
      </c>
      <c r="U350" s="32" t="n">
        <f>10189</f>
        <v>10189.0</v>
      </c>
      <c r="V350" s="32" t="n">
        <f>7756771247</f>
        <v>7.756771247E9</v>
      </c>
      <c r="W350" s="32" t="n">
        <f>1719163247</f>
        <v>1.719163247E9</v>
      </c>
      <c r="X350" s="36" t="n">
        <f>22</f>
        <v>22.0</v>
      </c>
    </row>
    <row r="351">
      <c r="A351" s="27" t="s">
        <v>42</v>
      </c>
      <c r="B351" s="27" t="s">
        <v>1101</v>
      </c>
      <c r="C351" s="27" t="s">
        <v>1102</v>
      </c>
      <c r="D351" s="27" t="s">
        <v>1103</v>
      </c>
      <c r="E351" s="28" t="s">
        <v>46</v>
      </c>
      <c r="F351" s="29" t="s">
        <v>46</v>
      </c>
      <c r="G351" s="30" t="s">
        <v>46</v>
      </c>
      <c r="H351" s="31"/>
      <c r="I351" s="31" t="s">
        <v>551</v>
      </c>
      <c r="J351" s="32" t="n">
        <v>1.0</v>
      </c>
      <c r="K351" s="33" t="n">
        <f>118300</f>
        <v>118300.0</v>
      </c>
      <c r="L351" s="34" t="s">
        <v>48</v>
      </c>
      <c r="M351" s="33" t="n">
        <f>119400</f>
        <v>119400.0</v>
      </c>
      <c r="N351" s="34" t="s">
        <v>174</v>
      </c>
      <c r="O351" s="33" t="n">
        <f>115200</f>
        <v>115200.0</v>
      </c>
      <c r="P351" s="34" t="s">
        <v>67</v>
      </c>
      <c r="Q351" s="33" t="n">
        <f>116200</f>
        <v>116200.0</v>
      </c>
      <c r="R351" s="34" t="s">
        <v>50</v>
      </c>
      <c r="S351" s="35" t="n">
        <f>117704.55</f>
        <v>117704.55</v>
      </c>
      <c r="T351" s="32" t="n">
        <f>19774</f>
        <v>19774.0</v>
      </c>
      <c r="U351" s="32" t="n">
        <f>1576</f>
        <v>1576.0</v>
      </c>
      <c r="V351" s="32" t="n">
        <f>2322824277</f>
        <v>2.322824277E9</v>
      </c>
      <c r="W351" s="32" t="n">
        <f>185415177</f>
        <v>1.85415177E8</v>
      </c>
      <c r="X351" s="36" t="n">
        <f>22</f>
        <v>22.0</v>
      </c>
    </row>
    <row r="352">
      <c r="A352" s="27" t="s">
        <v>42</v>
      </c>
      <c r="B352" s="27" t="s">
        <v>1104</v>
      </c>
      <c r="C352" s="27" t="s">
        <v>1105</v>
      </c>
      <c r="D352" s="27" t="s">
        <v>1106</v>
      </c>
      <c r="E352" s="28" t="s">
        <v>46</v>
      </c>
      <c r="F352" s="29" t="s">
        <v>46</v>
      </c>
      <c r="G352" s="30" t="s">
        <v>46</v>
      </c>
      <c r="H352" s="31"/>
      <c r="I352" s="31" t="s">
        <v>47</v>
      </c>
      <c r="J352" s="32" t="n">
        <v>1.0</v>
      </c>
      <c r="K352" s="33" t="n">
        <f>97200</f>
        <v>97200.0</v>
      </c>
      <c r="L352" s="34" t="s">
        <v>48</v>
      </c>
      <c r="M352" s="33" t="n">
        <f>98200</f>
        <v>98200.0</v>
      </c>
      <c r="N352" s="34" t="s">
        <v>213</v>
      </c>
      <c r="O352" s="33" t="n">
        <f>94300</f>
        <v>94300.0</v>
      </c>
      <c r="P352" s="34" t="s">
        <v>67</v>
      </c>
      <c r="Q352" s="33" t="n">
        <f>96200</f>
        <v>96200.0</v>
      </c>
      <c r="R352" s="34" t="s">
        <v>50</v>
      </c>
      <c r="S352" s="35" t="n">
        <f>96709.09</f>
        <v>96709.09</v>
      </c>
      <c r="T352" s="32" t="n">
        <f>89348</f>
        <v>89348.0</v>
      </c>
      <c r="U352" s="32" t="n">
        <f>7494</f>
        <v>7494.0</v>
      </c>
      <c r="V352" s="32" t="n">
        <f>8617062648</f>
        <v>8.617062648E9</v>
      </c>
      <c r="W352" s="32" t="n">
        <f>722641448</f>
        <v>7.22641448E8</v>
      </c>
      <c r="X352" s="36" t="n">
        <f>22</f>
        <v>22.0</v>
      </c>
    </row>
    <row r="353">
      <c r="A353" s="27" t="s">
        <v>42</v>
      </c>
      <c r="B353" s="27" t="s">
        <v>1107</v>
      </c>
      <c r="C353" s="27" t="s">
        <v>1108</v>
      </c>
      <c r="D353" s="27" t="s">
        <v>1109</v>
      </c>
      <c r="E353" s="28" t="s">
        <v>46</v>
      </c>
      <c r="F353" s="29" t="s">
        <v>46</v>
      </c>
      <c r="G353" s="30" t="s">
        <v>46</v>
      </c>
      <c r="H353" s="31"/>
      <c r="I353" s="31" t="s">
        <v>551</v>
      </c>
      <c r="J353" s="32" t="n">
        <v>1.0</v>
      </c>
      <c r="K353" s="33" t="n">
        <f>132100</f>
        <v>132100.0</v>
      </c>
      <c r="L353" s="34" t="s">
        <v>48</v>
      </c>
      <c r="M353" s="33" t="n">
        <f>132300</f>
        <v>132300.0</v>
      </c>
      <c r="N353" s="34" t="s">
        <v>48</v>
      </c>
      <c r="O353" s="33" t="n">
        <f>128100</f>
        <v>128100.0</v>
      </c>
      <c r="P353" s="34" t="s">
        <v>67</v>
      </c>
      <c r="Q353" s="33" t="n">
        <f>131600</f>
        <v>131600.0</v>
      </c>
      <c r="R353" s="34" t="s">
        <v>50</v>
      </c>
      <c r="S353" s="35" t="n">
        <f>130377.27</f>
        <v>130377.27</v>
      </c>
      <c r="T353" s="32" t="n">
        <f>35844</f>
        <v>35844.0</v>
      </c>
      <c r="U353" s="32" t="n">
        <f>5963</f>
        <v>5963.0</v>
      </c>
      <c r="V353" s="32" t="n">
        <f>4672771427</f>
        <v>4.672771427E9</v>
      </c>
      <c r="W353" s="32" t="n">
        <f>777194227</f>
        <v>7.77194227E8</v>
      </c>
      <c r="X353" s="36" t="n">
        <f>22</f>
        <v>22.0</v>
      </c>
    </row>
    <row r="354">
      <c r="A354" s="27" t="s">
        <v>42</v>
      </c>
      <c r="B354" s="27" t="s">
        <v>1110</v>
      </c>
      <c r="C354" s="27" t="s">
        <v>1111</v>
      </c>
      <c r="D354" s="27" t="s">
        <v>1112</v>
      </c>
      <c r="E354" s="28" t="s">
        <v>46</v>
      </c>
      <c r="F354" s="29" t="s">
        <v>46</v>
      </c>
      <c r="G354" s="30" t="s">
        <v>46</v>
      </c>
      <c r="H354" s="31"/>
      <c r="I354" s="31" t="s">
        <v>47</v>
      </c>
      <c r="J354" s="32" t="n">
        <v>1.0</v>
      </c>
      <c r="K354" s="33" t="n">
        <f>594000</f>
        <v>594000.0</v>
      </c>
      <c r="L354" s="34" t="s">
        <v>48</v>
      </c>
      <c r="M354" s="33" t="n">
        <f>619000</f>
        <v>619000.0</v>
      </c>
      <c r="N354" s="34" t="s">
        <v>114</v>
      </c>
      <c r="O354" s="33" t="n">
        <f>580000</f>
        <v>580000.0</v>
      </c>
      <c r="P354" s="34" t="s">
        <v>68</v>
      </c>
      <c r="Q354" s="33" t="n">
        <f>615000</f>
        <v>615000.0</v>
      </c>
      <c r="R354" s="34" t="s">
        <v>50</v>
      </c>
      <c r="S354" s="35" t="n">
        <f>602045.45</f>
        <v>602045.45</v>
      </c>
      <c r="T354" s="32" t="n">
        <f>108345</f>
        <v>108345.0</v>
      </c>
      <c r="U354" s="32" t="n">
        <f>26364</f>
        <v>26364.0</v>
      </c>
      <c r="V354" s="32" t="n">
        <f>65227922061</f>
        <v>6.5227922061E10</v>
      </c>
      <c r="W354" s="32" t="n">
        <f>15884564061</f>
        <v>1.5884564061E10</v>
      </c>
      <c r="X354" s="36" t="n">
        <f>22</f>
        <v>22.0</v>
      </c>
    </row>
    <row r="355">
      <c r="A355" s="27" t="s">
        <v>42</v>
      </c>
      <c r="B355" s="27" t="s">
        <v>1113</v>
      </c>
      <c r="C355" s="27" t="s">
        <v>1114</v>
      </c>
      <c r="D355" s="27" t="s">
        <v>1115</v>
      </c>
      <c r="E355" s="28" t="s">
        <v>46</v>
      </c>
      <c r="F355" s="29" t="s">
        <v>46</v>
      </c>
      <c r="G355" s="30" t="s">
        <v>46</v>
      </c>
      <c r="H355" s="31"/>
      <c r="I355" s="31" t="s">
        <v>47</v>
      </c>
      <c r="J355" s="32" t="n">
        <v>1.0</v>
      </c>
      <c r="K355" s="33" t="n">
        <f>575000</f>
        <v>575000.0</v>
      </c>
      <c r="L355" s="34" t="s">
        <v>48</v>
      </c>
      <c r="M355" s="33" t="n">
        <f>608000</f>
        <v>608000.0</v>
      </c>
      <c r="N355" s="34" t="s">
        <v>50</v>
      </c>
      <c r="O355" s="33" t="n">
        <f>567000</f>
        <v>567000.0</v>
      </c>
      <c r="P355" s="34" t="s">
        <v>154</v>
      </c>
      <c r="Q355" s="33" t="n">
        <f>605000</f>
        <v>605000.0</v>
      </c>
      <c r="R355" s="34" t="s">
        <v>50</v>
      </c>
      <c r="S355" s="35" t="n">
        <f>582818.18</f>
        <v>582818.18</v>
      </c>
      <c r="T355" s="32" t="n">
        <f>90364</f>
        <v>90364.0</v>
      </c>
      <c r="U355" s="32" t="n">
        <f>18358</f>
        <v>18358.0</v>
      </c>
      <c r="V355" s="32" t="n">
        <f>52786256370</f>
        <v>5.278625637E10</v>
      </c>
      <c r="W355" s="32" t="n">
        <f>10726845370</f>
        <v>1.072684537E10</v>
      </c>
      <c r="X355" s="36" t="n">
        <f>22</f>
        <v>22.0</v>
      </c>
    </row>
    <row r="356">
      <c r="A356" s="27" t="s">
        <v>42</v>
      </c>
      <c r="B356" s="27" t="s">
        <v>1116</v>
      </c>
      <c r="C356" s="27" t="s">
        <v>1117</v>
      </c>
      <c r="D356" s="27" t="s">
        <v>1118</v>
      </c>
      <c r="E356" s="28" t="s">
        <v>46</v>
      </c>
      <c r="F356" s="29" t="s">
        <v>46</v>
      </c>
      <c r="G356" s="30" t="s">
        <v>46</v>
      </c>
      <c r="H356" s="31"/>
      <c r="I356" s="31" t="s">
        <v>47</v>
      </c>
      <c r="J356" s="32" t="n">
        <v>1.0</v>
      </c>
      <c r="K356" s="33" t="n">
        <f>97900</f>
        <v>97900.0</v>
      </c>
      <c r="L356" s="34" t="s">
        <v>48</v>
      </c>
      <c r="M356" s="33" t="n">
        <f>100900</f>
        <v>100900.0</v>
      </c>
      <c r="N356" s="34" t="s">
        <v>114</v>
      </c>
      <c r="O356" s="33" t="n">
        <f>95300</f>
        <v>95300.0</v>
      </c>
      <c r="P356" s="34" t="s">
        <v>48</v>
      </c>
      <c r="Q356" s="33" t="n">
        <f>97800</f>
        <v>97800.0</v>
      </c>
      <c r="R356" s="34" t="s">
        <v>50</v>
      </c>
      <c r="S356" s="35" t="n">
        <f>97877.27</f>
        <v>97877.27</v>
      </c>
      <c r="T356" s="32" t="n">
        <f>471410</f>
        <v>471410.0</v>
      </c>
      <c r="U356" s="32" t="n">
        <f>124645</f>
        <v>124645.0</v>
      </c>
      <c r="V356" s="32" t="n">
        <f>46055990055</f>
        <v>4.6055990055E10</v>
      </c>
      <c r="W356" s="32" t="n">
        <f>12153530655</f>
        <v>1.2153530655E10</v>
      </c>
      <c r="X356" s="36" t="n">
        <f>22</f>
        <v>22.0</v>
      </c>
    </row>
    <row r="357">
      <c r="A357" s="27" t="s">
        <v>42</v>
      </c>
      <c r="B357" s="27" t="s">
        <v>1119</v>
      </c>
      <c r="C357" s="27" t="s">
        <v>1120</v>
      </c>
      <c r="D357" s="27" t="s">
        <v>1121</v>
      </c>
      <c r="E357" s="28" t="s">
        <v>46</v>
      </c>
      <c r="F357" s="29" t="s">
        <v>46</v>
      </c>
      <c r="G357" s="30" t="s">
        <v>46</v>
      </c>
      <c r="H357" s="31"/>
      <c r="I357" s="31" t="s">
        <v>47</v>
      </c>
      <c r="J357" s="32" t="n">
        <v>1.0</v>
      </c>
      <c r="K357" s="33" t="n">
        <f>181400</f>
        <v>181400.0</v>
      </c>
      <c r="L357" s="34" t="s">
        <v>48</v>
      </c>
      <c r="M357" s="33" t="n">
        <f>185900</f>
        <v>185900.0</v>
      </c>
      <c r="N357" s="34" t="s">
        <v>114</v>
      </c>
      <c r="O357" s="33" t="n">
        <f>179200</f>
        <v>179200.0</v>
      </c>
      <c r="P357" s="34" t="s">
        <v>48</v>
      </c>
      <c r="Q357" s="33" t="n">
        <f>181100</f>
        <v>181100.0</v>
      </c>
      <c r="R357" s="34" t="s">
        <v>50</v>
      </c>
      <c r="S357" s="35" t="n">
        <f>182250</f>
        <v>182250.0</v>
      </c>
      <c r="T357" s="32" t="n">
        <f>154448</f>
        <v>154448.0</v>
      </c>
      <c r="U357" s="32" t="n">
        <f>40440</f>
        <v>40440.0</v>
      </c>
      <c r="V357" s="32" t="n">
        <f>28104138595</f>
        <v>2.8104138595E10</v>
      </c>
      <c r="W357" s="32" t="n">
        <f>7341061695</f>
        <v>7.341061695E9</v>
      </c>
      <c r="X357" s="36" t="n">
        <f>22</f>
        <v>22.0</v>
      </c>
    </row>
    <row r="358">
      <c r="A358" s="27" t="s">
        <v>42</v>
      </c>
      <c r="B358" s="27" t="s">
        <v>1122</v>
      </c>
      <c r="C358" s="27" t="s">
        <v>1123</v>
      </c>
      <c r="D358" s="27" t="s">
        <v>1124</v>
      </c>
      <c r="E358" s="28" t="s">
        <v>46</v>
      </c>
      <c r="F358" s="29" t="s">
        <v>46</v>
      </c>
      <c r="G358" s="30" t="s">
        <v>46</v>
      </c>
      <c r="H358" s="31"/>
      <c r="I358" s="31" t="s">
        <v>47</v>
      </c>
      <c r="J358" s="32" t="n">
        <v>1.0</v>
      </c>
      <c r="K358" s="33" t="n">
        <f>354000</f>
        <v>354000.0</v>
      </c>
      <c r="L358" s="34" t="s">
        <v>48</v>
      </c>
      <c r="M358" s="33" t="n">
        <f>372500</f>
        <v>372500.0</v>
      </c>
      <c r="N358" s="34" t="s">
        <v>50</v>
      </c>
      <c r="O358" s="33" t="n">
        <f>352000</f>
        <v>352000.0</v>
      </c>
      <c r="P358" s="34" t="s">
        <v>154</v>
      </c>
      <c r="Q358" s="33" t="n">
        <f>369000</f>
        <v>369000.0</v>
      </c>
      <c r="R358" s="34" t="s">
        <v>50</v>
      </c>
      <c r="S358" s="35" t="n">
        <f>361750</f>
        <v>361750.0</v>
      </c>
      <c r="T358" s="32" t="n">
        <f>39664</f>
        <v>39664.0</v>
      </c>
      <c r="U358" s="32" t="n">
        <f>10958</f>
        <v>10958.0</v>
      </c>
      <c r="V358" s="32" t="n">
        <f>14336816968</f>
        <v>1.4336816968E10</v>
      </c>
      <c r="W358" s="32" t="n">
        <f>3964240468</f>
        <v>3.964240468E9</v>
      </c>
      <c r="X358" s="36" t="n">
        <f>22</f>
        <v>22.0</v>
      </c>
    </row>
    <row r="359">
      <c r="A359" s="27" t="s">
        <v>42</v>
      </c>
      <c r="B359" s="27" t="s">
        <v>1125</v>
      </c>
      <c r="C359" s="27" t="s">
        <v>1126</v>
      </c>
      <c r="D359" s="27" t="s">
        <v>1127</v>
      </c>
      <c r="E359" s="28" t="s">
        <v>46</v>
      </c>
      <c r="F359" s="29" t="s">
        <v>46</v>
      </c>
      <c r="G359" s="30" t="s">
        <v>46</v>
      </c>
      <c r="H359" s="31"/>
      <c r="I359" s="31" t="s">
        <v>47</v>
      </c>
      <c r="J359" s="32" t="n">
        <v>1.0</v>
      </c>
      <c r="K359" s="33" t="n">
        <f>135100</f>
        <v>135100.0</v>
      </c>
      <c r="L359" s="34" t="s">
        <v>48</v>
      </c>
      <c r="M359" s="33" t="n">
        <f>139700</f>
        <v>139700.0</v>
      </c>
      <c r="N359" s="34" t="s">
        <v>50</v>
      </c>
      <c r="O359" s="33" t="n">
        <f>133400</f>
        <v>133400.0</v>
      </c>
      <c r="P359" s="34" t="s">
        <v>154</v>
      </c>
      <c r="Q359" s="33" t="n">
        <f>138600</f>
        <v>138600.0</v>
      </c>
      <c r="R359" s="34" t="s">
        <v>50</v>
      </c>
      <c r="S359" s="35" t="n">
        <f>136372.73</f>
        <v>136372.73</v>
      </c>
      <c r="T359" s="32" t="n">
        <f>56485</f>
        <v>56485.0</v>
      </c>
      <c r="U359" s="32" t="n">
        <f>15131</f>
        <v>15131.0</v>
      </c>
      <c r="V359" s="32" t="n">
        <f>7701093243</f>
        <v>7.701093243E9</v>
      </c>
      <c r="W359" s="32" t="n">
        <f>2063099943</f>
        <v>2.063099943E9</v>
      </c>
      <c r="X359" s="36" t="n">
        <f>22</f>
        <v>22.0</v>
      </c>
    </row>
    <row r="360">
      <c r="A360" s="27" t="s">
        <v>42</v>
      </c>
      <c r="B360" s="27" t="s">
        <v>1128</v>
      </c>
      <c r="C360" s="27" t="s">
        <v>1129</v>
      </c>
      <c r="D360" s="27" t="s">
        <v>1130</v>
      </c>
      <c r="E360" s="28" t="s">
        <v>46</v>
      </c>
      <c r="F360" s="29" t="s">
        <v>46</v>
      </c>
      <c r="G360" s="30" t="s">
        <v>46</v>
      </c>
      <c r="H360" s="31"/>
      <c r="I360" s="31" t="s">
        <v>47</v>
      </c>
      <c r="J360" s="32" t="n">
        <v>1.0</v>
      </c>
      <c r="K360" s="33" t="n">
        <f>188000</f>
        <v>188000.0</v>
      </c>
      <c r="L360" s="34" t="s">
        <v>48</v>
      </c>
      <c r="M360" s="33" t="n">
        <f>188000</f>
        <v>188000.0</v>
      </c>
      <c r="N360" s="34" t="s">
        <v>48</v>
      </c>
      <c r="O360" s="33" t="n">
        <f>180700</f>
        <v>180700.0</v>
      </c>
      <c r="P360" s="34" t="s">
        <v>68</v>
      </c>
      <c r="Q360" s="33" t="n">
        <f>186500</f>
        <v>186500.0</v>
      </c>
      <c r="R360" s="34" t="s">
        <v>50</v>
      </c>
      <c r="S360" s="35" t="n">
        <f>184368.18</f>
        <v>184368.18</v>
      </c>
      <c r="T360" s="32" t="n">
        <f>45560</f>
        <v>45560.0</v>
      </c>
      <c r="U360" s="32" t="n">
        <f>12820</f>
        <v>12820.0</v>
      </c>
      <c r="V360" s="32" t="n">
        <f>8408798256</f>
        <v>8.408798256E9</v>
      </c>
      <c r="W360" s="32" t="n">
        <f>2369488756</f>
        <v>2.369488756E9</v>
      </c>
      <c r="X360" s="36" t="n">
        <f>22</f>
        <v>22.0</v>
      </c>
    </row>
    <row r="361">
      <c r="A361" s="27" t="s">
        <v>42</v>
      </c>
      <c r="B361" s="27" t="s">
        <v>1131</v>
      </c>
      <c r="C361" s="27" t="s">
        <v>1132</v>
      </c>
      <c r="D361" s="27" t="s">
        <v>1133</v>
      </c>
      <c r="E361" s="28" t="s">
        <v>46</v>
      </c>
      <c r="F361" s="29" t="s">
        <v>46</v>
      </c>
      <c r="G361" s="30" t="s">
        <v>46</v>
      </c>
      <c r="H361" s="31"/>
      <c r="I361" s="31" t="s">
        <v>47</v>
      </c>
      <c r="J361" s="32" t="n">
        <v>1.0</v>
      </c>
      <c r="K361" s="33" t="n">
        <f>117400</f>
        <v>117400.0</v>
      </c>
      <c r="L361" s="34" t="s">
        <v>48</v>
      </c>
      <c r="M361" s="33" t="n">
        <f>118500</f>
        <v>118500.0</v>
      </c>
      <c r="N361" s="34" t="s">
        <v>213</v>
      </c>
      <c r="O361" s="33" t="n">
        <f>114100</f>
        <v>114100.0</v>
      </c>
      <c r="P361" s="34" t="s">
        <v>72</v>
      </c>
      <c r="Q361" s="33" t="n">
        <f>116200</f>
        <v>116200.0</v>
      </c>
      <c r="R361" s="34" t="s">
        <v>50</v>
      </c>
      <c r="S361" s="35" t="n">
        <f>116368.18</f>
        <v>116368.18</v>
      </c>
      <c r="T361" s="32" t="n">
        <f>53551</f>
        <v>53551.0</v>
      </c>
      <c r="U361" s="32" t="n">
        <f>10711</f>
        <v>10711.0</v>
      </c>
      <c r="V361" s="32" t="n">
        <f>6222485271</f>
        <v>6.222485271E9</v>
      </c>
      <c r="W361" s="32" t="n">
        <f>1243877071</f>
        <v>1.243877071E9</v>
      </c>
      <c r="X361" s="36" t="n">
        <f>22</f>
        <v>22.0</v>
      </c>
    </row>
    <row r="362">
      <c r="A362" s="27" t="s">
        <v>42</v>
      </c>
      <c r="B362" s="27" t="s">
        <v>1134</v>
      </c>
      <c r="C362" s="27" t="s">
        <v>1135</v>
      </c>
      <c r="D362" s="27" t="s">
        <v>1136</v>
      </c>
      <c r="E362" s="28" t="s">
        <v>46</v>
      </c>
      <c r="F362" s="29" t="s">
        <v>46</v>
      </c>
      <c r="G362" s="30" t="s">
        <v>46</v>
      </c>
      <c r="H362" s="31"/>
      <c r="I362" s="31" t="s">
        <v>47</v>
      </c>
      <c r="J362" s="32" t="n">
        <v>1.0</v>
      </c>
      <c r="K362" s="33" t="n">
        <f>154100</f>
        <v>154100.0</v>
      </c>
      <c r="L362" s="34" t="s">
        <v>48</v>
      </c>
      <c r="M362" s="33" t="n">
        <f>158000</f>
        <v>158000.0</v>
      </c>
      <c r="N362" s="34" t="s">
        <v>67</v>
      </c>
      <c r="O362" s="33" t="n">
        <f>147700</f>
        <v>147700.0</v>
      </c>
      <c r="P362" s="34" t="s">
        <v>48</v>
      </c>
      <c r="Q362" s="33" t="n">
        <f>156500</f>
        <v>156500.0</v>
      </c>
      <c r="R362" s="34" t="s">
        <v>50</v>
      </c>
      <c r="S362" s="35" t="n">
        <f>154045.45</f>
        <v>154045.45</v>
      </c>
      <c r="T362" s="32" t="n">
        <f>171866</f>
        <v>171866.0</v>
      </c>
      <c r="U362" s="32" t="n">
        <f>36636</f>
        <v>36636.0</v>
      </c>
      <c r="V362" s="32" t="n">
        <f>26368247117</f>
        <v>2.6368247117E10</v>
      </c>
      <c r="W362" s="32" t="n">
        <f>5625533417</f>
        <v>5.625533417E9</v>
      </c>
      <c r="X362" s="36" t="n">
        <f>22</f>
        <v>22.0</v>
      </c>
    </row>
    <row r="363">
      <c r="A363" s="27" t="s">
        <v>42</v>
      </c>
      <c r="B363" s="27" t="s">
        <v>1137</v>
      </c>
      <c r="C363" s="27" t="s">
        <v>1138</v>
      </c>
      <c r="D363" s="27" t="s">
        <v>1139</v>
      </c>
      <c r="E363" s="28" t="s">
        <v>46</v>
      </c>
      <c r="F363" s="29" t="s">
        <v>46</v>
      </c>
      <c r="G363" s="30" t="s">
        <v>46</v>
      </c>
      <c r="H363" s="31"/>
      <c r="I363" s="31" t="s">
        <v>47</v>
      </c>
      <c r="J363" s="32" t="n">
        <v>1.0</v>
      </c>
      <c r="K363" s="33" t="n">
        <f>73900</f>
        <v>73900.0</v>
      </c>
      <c r="L363" s="34" t="s">
        <v>48</v>
      </c>
      <c r="M363" s="33" t="n">
        <f>75500</f>
        <v>75500.0</v>
      </c>
      <c r="N363" s="34" t="s">
        <v>174</v>
      </c>
      <c r="O363" s="33" t="n">
        <f>71900</f>
        <v>71900.0</v>
      </c>
      <c r="P363" s="34" t="s">
        <v>72</v>
      </c>
      <c r="Q363" s="33" t="n">
        <f>73600</f>
        <v>73600.0</v>
      </c>
      <c r="R363" s="34" t="s">
        <v>50</v>
      </c>
      <c r="S363" s="35" t="n">
        <f>73822.73</f>
        <v>73822.73</v>
      </c>
      <c r="T363" s="32" t="n">
        <f>136142</f>
        <v>136142.0</v>
      </c>
      <c r="U363" s="32" t="n">
        <f>30348</f>
        <v>30348.0</v>
      </c>
      <c r="V363" s="32" t="n">
        <f>10049706967</f>
        <v>1.0049706967E10</v>
      </c>
      <c r="W363" s="32" t="n">
        <f>2240211167</f>
        <v>2.240211167E9</v>
      </c>
      <c r="X363" s="36" t="n">
        <f>22</f>
        <v>22.0</v>
      </c>
    </row>
    <row r="364">
      <c r="A364" s="27" t="s">
        <v>42</v>
      </c>
      <c r="B364" s="27" t="s">
        <v>1140</v>
      </c>
      <c r="C364" s="27" t="s">
        <v>1141</v>
      </c>
      <c r="D364" s="27" t="s">
        <v>1142</v>
      </c>
      <c r="E364" s="28" t="s">
        <v>46</v>
      </c>
      <c r="F364" s="29" t="s">
        <v>46</v>
      </c>
      <c r="G364" s="30" t="s">
        <v>46</v>
      </c>
      <c r="H364" s="31"/>
      <c r="I364" s="31" t="s">
        <v>47</v>
      </c>
      <c r="J364" s="32" t="n">
        <v>1.0</v>
      </c>
      <c r="K364" s="33" t="n">
        <f>58600</f>
        <v>58600.0</v>
      </c>
      <c r="L364" s="34" t="s">
        <v>48</v>
      </c>
      <c r="M364" s="33" t="n">
        <f>61800</f>
        <v>61800.0</v>
      </c>
      <c r="N364" s="34" t="s">
        <v>50</v>
      </c>
      <c r="O364" s="33" t="n">
        <f>57200</f>
        <v>57200.0</v>
      </c>
      <c r="P364" s="34" t="s">
        <v>48</v>
      </c>
      <c r="Q364" s="33" t="n">
        <f>60500</f>
        <v>60500.0</v>
      </c>
      <c r="R364" s="34" t="s">
        <v>50</v>
      </c>
      <c r="S364" s="35" t="n">
        <f>59200</f>
        <v>59200.0</v>
      </c>
      <c r="T364" s="32" t="n">
        <f>1220855</f>
        <v>1220855.0</v>
      </c>
      <c r="U364" s="32" t="n">
        <f>248271</f>
        <v>248271.0</v>
      </c>
      <c r="V364" s="32" t="n">
        <f>72234984275</f>
        <v>7.2234984275E10</v>
      </c>
      <c r="W364" s="32" t="n">
        <f>14750490575</f>
        <v>1.4750490575E10</v>
      </c>
      <c r="X364" s="36" t="n">
        <f>22</f>
        <v>22.0</v>
      </c>
    </row>
    <row r="365">
      <c r="A365" s="27" t="s">
        <v>42</v>
      </c>
      <c r="B365" s="27" t="s">
        <v>1143</v>
      </c>
      <c r="C365" s="27" t="s">
        <v>1144</v>
      </c>
      <c r="D365" s="27" t="s">
        <v>1145</v>
      </c>
      <c r="E365" s="28" t="s">
        <v>46</v>
      </c>
      <c r="F365" s="29" t="s">
        <v>46</v>
      </c>
      <c r="G365" s="30" t="s">
        <v>46</v>
      </c>
      <c r="H365" s="31"/>
      <c r="I365" s="31" t="s">
        <v>47</v>
      </c>
      <c r="J365" s="32" t="n">
        <v>1.0</v>
      </c>
      <c r="K365" s="33" t="n">
        <f>472000</f>
        <v>472000.0</v>
      </c>
      <c r="L365" s="34" t="s">
        <v>48</v>
      </c>
      <c r="M365" s="33" t="n">
        <f>474500</f>
        <v>474500.0</v>
      </c>
      <c r="N365" s="34" t="s">
        <v>50</v>
      </c>
      <c r="O365" s="33" t="n">
        <f>459000</f>
        <v>459000.0</v>
      </c>
      <c r="P365" s="34" t="s">
        <v>154</v>
      </c>
      <c r="Q365" s="33" t="n">
        <f>470500</f>
        <v>470500.0</v>
      </c>
      <c r="R365" s="34" t="s">
        <v>50</v>
      </c>
      <c r="S365" s="35" t="n">
        <f>466954.55</f>
        <v>466954.55</v>
      </c>
      <c r="T365" s="32" t="n">
        <f>35993</f>
        <v>35993.0</v>
      </c>
      <c r="U365" s="32" t="n">
        <f>8388</f>
        <v>8388.0</v>
      </c>
      <c r="V365" s="32" t="n">
        <f>16790617260</f>
        <v>1.679061726E10</v>
      </c>
      <c r="W365" s="32" t="n">
        <f>3911238260</f>
        <v>3.91123826E9</v>
      </c>
      <c r="X365" s="36" t="n">
        <f>22</f>
        <v>22.0</v>
      </c>
    </row>
    <row r="366">
      <c r="A366" s="27" t="s">
        <v>42</v>
      </c>
      <c r="B366" s="27" t="s">
        <v>1146</v>
      </c>
      <c r="C366" s="27" t="s">
        <v>1147</v>
      </c>
      <c r="D366" s="27" t="s">
        <v>1148</v>
      </c>
      <c r="E366" s="28" t="s">
        <v>46</v>
      </c>
      <c r="F366" s="29" t="s">
        <v>46</v>
      </c>
      <c r="G366" s="30" t="s">
        <v>46</v>
      </c>
      <c r="H366" s="31"/>
      <c r="I366" s="31" t="s">
        <v>47</v>
      </c>
      <c r="J366" s="32" t="n">
        <v>1.0</v>
      </c>
      <c r="K366" s="33" t="n">
        <f>144900</f>
        <v>144900.0</v>
      </c>
      <c r="L366" s="34" t="s">
        <v>48</v>
      </c>
      <c r="M366" s="33" t="n">
        <f>146600</f>
        <v>146600.0</v>
      </c>
      <c r="N366" s="34" t="s">
        <v>50</v>
      </c>
      <c r="O366" s="33" t="n">
        <f>137200</f>
        <v>137200.0</v>
      </c>
      <c r="P366" s="34" t="s">
        <v>72</v>
      </c>
      <c r="Q366" s="33" t="n">
        <f>145300</f>
        <v>145300.0</v>
      </c>
      <c r="R366" s="34" t="s">
        <v>50</v>
      </c>
      <c r="S366" s="35" t="n">
        <f>141527.27</f>
        <v>141527.27</v>
      </c>
      <c r="T366" s="32" t="n">
        <f>66871</f>
        <v>66871.0</v>
      </c>
      <c r="U366" s="32" t="n">
        <f>16477</f>
        <v>16477.0</v>
      </c>
      <c r="V366" s="32" t="n">
        <f>9466841866</f>
        <v>9.466841866E9</v>
      </c>
      <c r="W366" s="32" t="n">
        <f>2339253166</f>
        <v>2.339253166E9</v>
      </c>
      <c r="X366" s="36" t="n">
        <f>22</f>
        <v>22.0</v>
      </c>
    </row>
    <row r="367">
      <c r="A367" s="27" t="s">
        <v>42</v>
      </c>
      <c r="B367" s="27" t="s">
        <v>1149</v>
      </c>
      <c r="C367" s="27" t="s">
        <v>1150</v>
      </c>
      <c r="D367" s="27" t="s">
        <v>1151</v>
      </c>
      <c r="E367" s="28" t="s">
        <v>46</v>
      </c>
      <c r="F367" s="29" t="s">
        <v>46</v>
      </c>
      <c r="G367" s="30" t="s">
        <v>46</v>
      </c>
      <c r="H367" s="31"/>
      <c r="I367" s="31" t="s">
        <v>47</v>
      </c>
      <c r="J367" s="32" t="n">
        <v>1.0</v>
      </c>
      <c r="K367" s="33" t="n">
        <f>299800</f>
        <v>299800.0</v>
      </c>
      <c r="L367" s="34" t="s">
        <v>48</v>
      </c>
      <c r="M367" s="33" t="n">
        <f>308000</f>
        <v>308000.0</v>
      </c>
      <c r="N367" s="34" t="s">
        <v>67</v>
      </c>
      <c r="O367" s="33" t="n">
        <f>290900</f>
        <v>290900.0</v>
      </c>
      <c r="P367" s="34" t="s">
        <v>154</v>
      </c>
      <c r="Q367" s="33" t="n">
        <f>305000</f>
        <v>305000.0</v>
      </c>
      <c r="R367" s="34" t="s">
        <v>50</v>
      </c>
      <c r="S367" s="35" t="n">
        <f>298768.18</f>
        <v>298768.18</v>
      </c>
      <c r="T367" s="32" t="n">
        <f>40850</f>
        <v>40850.0</v>
      </c>
      <c r="U367" s="32" t="n">
        <f>8455</f>
        <v>8455.0</v>
      </c>
      <c r="V367" s="32" t="n">
        <f>12207574800</f>
        <v>1.22075748E10</v>
      </c>
      <c r="W367" s="32" t="n">
        <f>2530061400</f>
        <v>2.5300614E9</v>
      </c>
      <c r="X367" s="36" t="n">
        <f>22</f>
        <v>22.0</v>
      </c>
    </row>
    <row r="368">
      <c r="A368" s="27" t="s">
        <v>42</v>
      </c>
      <c r="B368" s="27" t="s">
        <v>1152</v>
      </c>
      <c r="C368" s="27" t="s">
        <v>1153</v>
      </c>
      <c r="D368" s="27" t="s">
        <v>1154</v>
      </c>
      <c r="E368" s="28" t="s">
        <v>46</v>
      </c>
      <c r="F368" s="29" t="s">
        <v>46</v>
      </c>
      <c r="G368" s="30" t="s">
        <v>46</v>
      </c>
      <c r="H368" s="31"/>
      <c r="I368" s="31" t="s">
        <v>47</v>
      </c>
      <c r="J368" s="32" t="n">
        <v>1.0</v>
      </c>
      <c r="K368" s="33" t="n">
        <f>166700</f>
        <v>166700.0</v>
      </c>
      <c r="L368" s="34" t="s">
        <v>48</v>
      </c>
      <c r="M368" s="33" t="n">
        <f>166700</f>
        <v>166700.0</v>
      </c>
      <c r="N368" s="34" t="s">
        <v>48</v>
      </c>
      <c r="O368" s="33" t="n">
        <f>161600</f>
        <v>161600.0</v>
      </c>
      <c r="P368" s="34" t="s">
        <v>67</v>
      </c>
      <c r="Q368" s="33" t="n">
        <f>162100</f>
        <v>162100.0</v>
      </c>
      <c r="R368" s="34" t="s">
        <v>50</v>
      </c>
      <c r="S368" s="35" t="n">
        <f>164445.45</f>
        <v>164445.45</v>
      </c>
      <c r="T368" s="32" t="n">
        <f>39877</f>
        <v>39877.0</v>
      </c>
      <c r="U368" s="32" t="n">
        <f>8395</f>
        <v>8395.0</v>
      </c>
      <c r="V368" s="32" t="n">
        <f>6560825180</f>
        <v>6.56082518E9</v>
      </c>
      <c r="W368" s="32" t="n">
        <f>1380826280</f>
        <v>1.38082628E9</v>
      </c>
      <c r="X368" s="36" t="n">
        <f>22</f>
        <v>22.0</v>
      </c>
    </row>
    <row r="369">
      <c r="A369" s="27" t="s">
        <v>42</v>
      </c>
      <c r="B369" s="27" t="s">
        <v>1155</v>
      </c>
      <c r="C369" s="27" t="s">
        <v>1156</v>
      </c>
      <c r="D369" s="27" t="s">
        <v>1157</v>
      </c>
      <c r="E369" s="28" t="s">
        <v>46</v>
      </c>
      <c r="F369" s="29" t="s">
        <v>46</v>
      </c>
      <c r="G369" s="30" t="s">
        <v>46</v>
      </c>
      <c r="H369" s="31"/>
      <c r="I369" s="31" t="s">
        <v>47</v>
      </c>
      <c r="J369" s="32" t="n">
        <v>1.0</v>
      </c>
      <c r="K369" s="33" t="n">
        <f>339000</f>
        <v>339000.0</v>
      </c>
      <c r="L369" s="34" t="s">
        <v>48</v>
      </c>
      <c r="M369" s="33" t="n">
        <f>347500</f>
        <v>347500.0</v>
      </c>
      <c r="N369" s="34" t="s">
        <v>67</v>
      </c>
      <c r="O369" s="33" t="n">
        <f>330500</f>
        <v>330500.0</v>
      </c>
      <c r="P369" s="34" t="s">
        <v>60</v>
      </c>
      <c r="Q369" s="33" t="n">
        <f>344000</f>
        <v>344000.0</v>
      </c>
      <c r="R369" s="34" t="s">
        <v>50</v>
      </c>
      <c r="S369" s="35" t="n">
        <f>338431.82</f>
        <v>338431.82</v>
      </c>
      <c r="T369" s="32" t="n">
        <f>76752</f>
        <v>76752.0</v>
      </c>
      <c r="U369" s="32" t="n">
        <f>15203</f>
        <v>15203.0</v>
      </c>
      <c r="V369" s="32" t="n">
        <f>25984808996</f>
        <v>2.5984808996E10</v>
      </c>
      <c r="W369" s="32" t="n">
        <f>5157620996</f>
        <v>5.157620996E9</v>
      </c>
      <c r="X369" s="36" t="n">
        <f>22</f>
        <v>22.0</v>
      </c>
    </row>
    <row r="370">
      <c r="A370" s="27" t="s">
        <v>42</v>
      </c>
      <c r="B370" s="27" t="s">
        <v>1158</v>
      </c>
      <c r="C370" s="27" t="s">
        <v>1159</v>
      </c>
      <c r="D370" s="27" t="s">
        <v>1160</v>
      </c>
      <c r="E370" s="28" t="s">
        <v>46</v>
      </c>
      <c r="F370" s="29" t="s">
        <v>46</v>
      </c>
      <c r="G370" s="30" t="s">
        <v>46</v>
      </c>
      <c r="H370" s="31"/>
      <c r="I370" s="31" t="s">
        <v>47</v>
      </c>
      <c r="J370" s="32" t="n">
        <v>1.0</v>
      </c>
      <c r="K370" s="33" t="n">
        <f>88700</f>
        <v>88700.0</v>
      </c>
      <c r="L370" s="34" t="s">
        <v>48</v>
      </c>
      <c r="M370" s="33" t="n">
        <f>90300</f>
        <v>90300.0</v>
      </c>
      <c r="N370" s="34" t="s">
        <v>50</v>
      </c>
      <c r="O370" s="33" t="n">
        <f>87300</f>
        <v>87300.0</v>
      </c>
      <c r="P370" s="34" t="s">
        <v>48</v>
      </c>
      <c r="Q370" s="33" t="n">
        <f>89500</f>
        <v>89500.0</v>
      </c>
      <c r="R370" s="34" t="s">
        <v>50</v>
      </c>
      <c r="S370" s="35" t="n">
        <f>88822.73</f>
        <v>88822.73</v>
      </c>
      <c r="T370" s="32" t="n">
        <f>65394</f>
        <v>65394.0</v>
      </c>
      <c r="U370" s="32" t="n">
        <f>13173</f>
        <v>13173.0</v>
      </c>
      <c r="V370" s="32" t="n">
        <f>5808166056</f>
        <v>5.808166056E9</v>
      </c>
      <c r="W370" s="32" t="n">
        <f>1171268556</f>
        <v>1.171268556E9</v>
      </c>
      <c r="X370" s="36" t="n">
        <f>22</f>
        <v>22.0</v>
      </c>
    </row>
    <row r="371">
      <c r="A371" s="27" t="s">
        <v>42</v>
      </c>
      <c r="B371" s="27" t="s">
        <v>1161</v>
      </c>
      <c r="C371" s="27" t="s">
        <v>1162</v>
      </c>
      <c r="D371" s="27" t="s">
        <v>1163</v>
      </c>
      <c r="E371" s="28" t="s">
        <v>46</v>
      </c>
      <c r="F371" s="29" t="s">
        <v>46</v>
      </c>
      <c r="G371" s="30" t="s">
        <v>46</v>
      </c>
      <c r="H371" s="31"/>
      <c r="I371" s="31" t="s">
        <v>47</v>
      </c>
      <c r="J371" s="32" t="n">
        <v>1.0</v>
      </c>
      <c r="K371" s="33" t="n">
        <f>621000</f>
        <v>621000.0</v>
      </c>
      <c r="L371" s="34" t="s">
        <v>48</v>
      </c>
      <c r="M371" s="33" t="n">
        <f>689000</f>
        <v>689000.0</v>
      </c>
      <c r="N371" s="34" t="s">
        <v>67</v>
      </c>
      <c r="O371" s="33" t="n">
        <f>621000</f>
        <v>621000.0</v>
      </c>
      <c r="P371" s="34" t="s">
        <v>48</v>
      </c>
      <c r="Q371" s="33" t="n">
        <f>684000</f>
        <v>684000.0</v>
      </c>
      <c r="R371" s="34" t="s">
        <v>50</v>
      </c>
      <c r="S371" s="35" t="n">
        <f>659409.09</f>
        <v>659409.09</v>
      </c>
      <c r="T371" s="32" t="n">
        <f>32764</f>
        <v>32764.0</v>
      </c>
      <c r="U371" s="32" t="n">
        <f>11243</f>
        <v>11243.0</v>
      </c>
      <c r="V371" s="32" t="n">
        <f>21536540580</f>
        <v>2.153654058E10</v>
      </c>
      <c r="W371" s="32" t="n">
        <f>7374711580</f>
        <v>7.37471158E9</v>
      </c>
      <c r="X371" s="36" t="n">
        <f>22</f>
        <v>22.0</v>
      </c>
    </row>
    <row r="372">
      <c r="A372" s="27" t="s">
        <v>42</v>
      </c>
      <c r="B372" s="27" t="s">
        <v>1164</v>
      </c>
      <c r="C372" s="27" t="s">
        <v>1165</v>
      </c>
      <c r="D372" s="27" t="s">
        <v>1166</v>
      </c>
      <c r="E372" s="28" t="s">
        <v>46</v>
      </c>
      <c r="F372" s="29" t="s">
        <v>46</v>
      </c>
      <c r="G372" s="30" t="s">
        <v>46</v>
      </c>
      <c r="H372" s="31"/>
      <c r="I372" s="31" t="s">
        <v>47</v>
      </c>
      <c r="J372" s="32" t="n">
        <v>1.0</v>
      </c>
      <c r="K372" s="33" t="n">
        <f>142300</f>
        <v>142300.0</v>
      </c>
      <c r="L372" s="34" t="s">
        <v>48</v>
      </c>
      <c r="M372" s="33" t="n">
        <f>143800</f>
        <v>143800.0</v>
      </c>
      <c r="N372" s="34" t="s">
        <v>50</v>
      </c>
      <c r="O372" s="33" t="n">
        <f>138900</f>
        <v>138900.0</v>
      </c>
      <c r="P372" s="34" t="s">
        <v>314</v>
      </c>
      <c r="Q372" s="33" t="n">
        <f>143300</f>
        <v>143300.0</v>
      </c>
      <c r="R372" s="34" t="s">
        <v>50</v>
      </c>
      <c r="S372" s="35" t="n">
        <f>141077.27</f>
        <v>141077.27</v>
      </c>
      <c r="T372" s="32" t="n">
        <f>28889</f>
        <v>28889.0</v>
      </c>
      <c r="U372" s="32" t="n">
        <f>5784</f>
        <v>5784.0</v>
      </c>
      <c r="V372" s="32" t="n">
        <f>4076627151</f>
        <v>4.076627151E9</v>
      </c>
      <c r="W372" s="32" t="n">
        <f>817692151</f>
        <v>8.17692151E8</v>
      </c>
      <c r="X372" s="36" t="n">
        <f>22</f>
        <v>22.0</v>
      </c>
    </row>
    <row r="373">
      <c r="A373" s="27" t="s">
        <v>42</v>
      </c>
      <c r="B373" s="27" t="s">
        <v>1167</v>
      </c>
      <c r="C373" s="27" t="s">
        <v>1168</v>
      </c>
      <c r="D373" s="27" t="s">
        <v>1169</v>
      </c>
      <c r="E373" s="28" t="s">
        <v>46</v>
      </c>
      <c r="F373" s="29" t="s">
        <v>46</v>
      </c>
      <c r="G373" s="30" t="s">
        <v>46</v>
      </c>
      <c r="H373" s="31"/>
      <c r="I373" s="31" t="s">
        <v>551</v>
      </c>
      <c r="J373" s="32" t="n">
        <v>1.0</v>
      </c>
      <c r="K373" s="33" t="n">
        <f>225400</f>
        <v>225400.0</v>
      </c>
      <c r="L373" s="34" t="s">
        <v>48</v>
      </c>
      <c r="M373" s="33" t="n">
        <f>225400</f>
        <v>225400.0</v>
      </c>
      <c r="N373" s="34" t="s">
        <v>48</v>
      </c>
      <c r="O373" s="33" t="n">
        <f>209600</f>
        <v>209600.0</v>
      </c>
      <c r="P373" s="34" t="s">
        <v>245</v>
      </c>
      <c r="Q373" s="33" t="n">
        <f>216000</f>
        <v>216000.0</v>
      </c>
      <c r="R373" s="34" t="s">
        <v>50</v>
      </c>
      <c r="S373" s="35" t="n">
        <f>214940.91</f>
        <v>214940.91</v>
      </c>
      <c r="T373" s="32" t="n">
        <f>17321</f>
        <v>17321.0</v>
      </c>
      <c r="U373" s="32" t="n">
        <f>2851</f>
        <v>2851.0</v>
      </c>
      <c r="V373" s="32" t="n">
        <f>3722219443</f>
        <v>3.722219443E9</v>
      </c>
      <c r="W373" s="32" t="n">
        <f>612755243</f>
        <v>6.12755243E8</v>
      </c>
      <c r="X373" s="36" t="n">
        <f>22</f>
        <v>22.0</v>
      </c>
    </row>
    <row r="374">
      <c r="A374" s="27" t="s">
        <v>42</v>
      </c>
      <c r="B374" s="27" t="s">
        <v>1170</v>
      </c>
      <c r="C374" s="27" t="s">
        <v>1171</v>
      </c>
      <c r="D374" s="27" t="s">
        <v>1172</v>
      </c>
      <c r="E374" s="28" t="s">
        <v>46</v>
      </c>
      <c r="F374" s="29" t="s">
        <v>46</v>
      </c>
      <c r="G374" s="30" t="s">
        <v>46</v>
      </c>
      <c r="H374" s="31"/>
      <c r="I374" s="31" t="s">
        <v>47</v>
      </c>
      <c r="J374" s="32" t="n">
        <v>1.0</v>
      </c>
      <c r="K374" s="33" t="n">
        <f>281000</f>
        <v>281000.0</v>
      </c>
      <c r="L374" s="34" t="s">
        <v>48</v>
      </c>
      <c r="M374" s="33" t="n">
        <f>286400</f>
        <v>286400.0</v>
      </c>
      <c r="N374" s="34" t="s">
        <v>174</v>
      </c>
      <c r="O374" s="33" t="n">
        <f>275000</f>
        <v>275000.0</v>
      </c>
      <c r="P374" s="34" t="s">
        <v>50</v>
      </c>
      <c r="Q374" s="33" t="n">
        <f>276200</f>
        <v>276200.0</v>
      </c>
      <c r="R374" s="34" t="s">
        <v>50</v>
      </c>
      <c r="S374" s="35" t="n">
        <f>280109.09</f>
        <v>280109.09</v>
      </c>
      <c r="T374" s="32" t="n">
        <f>111081</f>
        <v>111081.0</v>
      </c>
      <c r="U374" s="32" t="n">
        <f>19480</f>
        <v>19480.0</v>
      </c>
      <c r="V374" s="32" t="n">
        <f>31109615422</f>
        <v>3.1109615422E10</v>
      </c>
      <c r="W374" s="32" t="n">
        <f>5451386222</f>
        <v>5.451386222E9</v>
      </c>
      <c r="X374" s="36" t="n">
        <f>22</f>
        <v>22.0</v>
      </c>
    </row>
    <row r="375">
      <c r="A375" s="27" t="s">
        <v>42</v>
      </c>
      <c r="B375" s="27" t="s">
        <v>1173</v>
      </c>
      <c r="C375" s="27" t="s">
        <v>1174</v>
      </c>
      <c r="D375" s="27" t="s">
        <v>1175</v>
      </c>
      <c r="E375" s="28" t="s">
        <v>46</v>
      </c>
      <c r="F375" s="29" t="s">
        <v>46</v>
      </c>
      <c r="G375" s="30" t="s">
        <v>46</v>
      </c>
      <c r="H375" s="31"/>
      <c r="I375" s="31" t="s">
        <v>47</v>
      </c>
      <c r="J375" s="32" t="n">
        <v>1.0</v>
      </c>
      <c r="K375" s="33" t="n">
        <f>71100</f>
        <v>71100.0</v>
      </c>
      <c r="L375" s="34" t="s">
        <v>48</v>
      </c>
      <c r="M375" s="33" t="n">
        <f>76900</f>
        <v>76900.0</v>
      </c>
      <c r="N375" s="34" t="s">
        <v>490</v>
      </c>
      <c r="O375" s="33" t="n">
        <f>69400</f>
        <v>69400.0</v>
      </c>
      <c r="P375" s="34" t="s">
        <v>173</v>
      </c>
      <c r="Q375" s="33" t="n">
        <f>73800</f>
        <v>73800.0</v>
      </c>
      <c r="R375" s="34" t="s">
        <v>50</v>
      </c>
      <c r="S375" s="35" t="n">
        <f>73718.18</f>
        <v>73718.18</v>
      </c>
      <c r="T375" s="32" t="n">
        <f>542270</f>
        <v>542270.0</v>
      </c>
      <c r="U375" s="32" t="n">
        <f>125229</f>
        <v>125229.0</v>
      </c>
      <c r="V375" s="32" t="n">
        <f>40024977755</f>
        <v>4.0024977755E10</v>
      </c>
      <c r="W375" s="32" t="n">
        <f>9239141655</f>
        <v>9.239141655E9</v>
      </c>
      <c r="X375" s="36" t="n">
        <f>22</f>
        <v>22.0</v>
      </c>
    </row>
    <row r="376">
      <c r="A376" s="27" t="s">
        <v>42</v>
      </c>
      <c r="B376" s="27" t="s">
        <v>1176</v>
      </c>
      <c r="C376" s="27" t="s">
        <v>1177</v>
      </c>
      <c r="D376" s="27" t="s">
        <v>1178</v>
      </c>
      <c r="E376" s="28" t="s">
        <v>46</v>
      </c>
      <c r="F376" s="29" t="s">
        <v>46</v>
      </c>
      <c r="G376" s="30" t="s">
        <v>46</v>
      </c>
      <c r="H376" s="31"/>
      <c r="I376" s="31" t="s">
        <v>47</v>
      </c>
      <c r="J376" s="32" t="n">
        <v>1.0</v>
      </c>
      <c r="K376" s="33" t="n">
        <f>113800</f>
        <v>113800.0</v>
      </c>
      <c r="L376" s="34" t="s">
        <v>48</v>
      </c>
      <c r="M376" s="33" t="n">
        <f>113800</f>
        <v>113800.0</v>
      </c>
      <c r="N376" s="34" t="s">
        <v>48</v>
      </c>
      <c r="O376" s="33" t="n">
        <f>108300</f>
        <v>108300.0</v>
      </c>
      <c r="P376" s="34" t="s">
        <v>245</v>
      </c>
      <c r="Q376" s="33" t="n">
        <f>111500</f>
        <v>111500.0</v>
      </c>
      <c r="R376" s="34" t="s">
        <v>50</v>
      </c>
      <c r="S376" s="35" t="n">
        <f>110331.82</f>
        <v>110331.82</v>
      </c>
      <c r="T376" s="32" t="n">
        <f>92261</f>
        <v>92261.0</v>
      </c>
      <c r="U376" s="32" t="n">
        <f>20452</f>
        <v>20452.0</v>
      </c>
      <c r="V376" s="32" t="n">
        <f>10203562132</f>
        <v>1.0203562132E10</v>
      </c>
      <c r="W376" s="32" t="n">
        <f>2265204432</f>
        <v>2.265204432E9</v>
      </c>
      <c r="X376" s="36" t="n">
        <f>22</f>
        <v>22.0</v>
      </c>
    </row>
    <row r="377">
      <c r="A377" s="27" t="s">
        <v>42</v>
      </c>
      <c r="B377" s="27" t="s">
        <v>1179</v>
      </c>
      <c r="C377" s="27" t="s">
        <v>1180</v>
      </c>
      <c r="D377" s="27" t="s">
        <v>1181</v>
      </c>
      <c r="E377" s="28" t="s">
        <v>46</v>
      </c>
      <c r="F377" s="29" t="s">
        <v>46</v>
      </c>
      <c r="G377" s="30" t="s">
        <v>46</v>
      </c>
      <c r="H377" s="31"/>
      <c r="I377" s="31" t="s">
        <v>47</v>
      </c>
      <c r="J377" s="32" t="n">
        <v>1.0</v>
      </c>
      <c r="K377" s="33" t="n">
        <f>132200</f>
        <v>132200.0</v>
      </c>
      <c r="L377" s="34" t="s">
        <v>48</v>
      </c>
      <c r="M377" s="33" t="n">
        <f>136000</f>
        <v>136000.0</v>
      </c>
      <c r="N377" s="34" t="s">
        <v>79</v>
      </c>
      <c r="O377" s="33" t="n">
        <f>125800</f>
        <v>125800.0</v>
      </c>
      <c r="P377" s="34" t="s">
        <v>72</v>
      </c>
      <c r="Q377" s="33" t="n">
        <f>132700</f>
        <v>132700.0</v>
      </c>
      <c r="R377" s="34" t="s">
        <v>50</v>
      </c>
      <c r="S377" s="35" t="n">
        <f>132045.45</f>
        <v>132045.45</v>
      </c>
      <c r="T377" s="32" t="n">
        <f>99836</f>
        <v>99836.0</v>
      </c>
      <c r="U377" s="32" t="n">
        <f>21578</f>
        <v>21578.0</v>
      </c>
      <c r="V377" s="32" t="n">
        <f>13137188715</f>
        <v>1.3137188715E10</v>
      </c>
      <c r="W377" s="32" t="n">
        <f>2836173815</f>
        <v>2.836173815E9</v>
      </c>
      <c r="X377" s="36" t="n">
        <f>22</f>
        <v>22.0</v>
      </c>
    </row>
    <row r="378">
      <c r="A378" s="27" t="s">
        <v>42</v>
      </c>
      <c r="B378" s="27" t="s">
        <v>1182</v>
      </c>
      <c r="C378" s="27" t="s">
        <v>1183</v>
      </c>
      <c r="D378" s="27" t="s">
        <v>1184</v>
      </c>
      <c r="E378" s="28" t="s">
        <v>46</v>
      </c>
      <c r="F378" s="29" t="s">
        <v>46</v>
      </c>
      <c r="G378" s="30" t="s">
        <v>46</v>
      </c>
      <c r="H378" s="31"/>
      <c r="I378" s="31" t="s">
        <v>551</v>
      </c>
      <c r="J378" s="32" t="n">
        <v>1.0</v>
      </c>
      <c r="K378" s="33" t="n">
        <f>71300</f>
        <v>71300.0</v>
      </c>
      <c r="L378" s="34" t="s">
        <v>48</v>
      </c>
      <c r="M378" s="33" t="n">
        <f>72000</f>
        <v>72000.0</v>
      </c>
      <c r="N378" s="34" t="s">
        <v>50</v>
      </c>
      <c r="O378" s="33" t="n">
        <f>70000</f>
        <v>70000.0</v>
      </c>
      <c r="P378" s="34" t="s">
        <v>79</v>
      </c>
      <c r="Q378" s="33" t="n">
        <f>71900</f>
        <v>71900.0</v>
      </c>
      <c r="R378" s="34" t="s">
        <v>50</v>
      </c>
      <c r="S378" s="35" t="n">
        <f>70745.45</f>
        <v>70745.45</v>
      </c>
      <c r="T378" s="32" t="n">
        <f>1870</f>
        <v>1870.0</v>
      </c>
      <c r="U378" s="32" t="n">
        <f>9</f>
        <v>9.0</v>
      </c>
      <c r="V378" s="32" t="n">
        <f>132060300</f>
        <v>1.320603E8</v>
      </c>
      <c r="W378" s="32" t="n">
        <f>638200</f>
        <v>638200.0</v>
      </c>
      <c r="X378" s="36" t="n">
        <f>22</f>
        <v>22.0</v>
      </c>
    </row>
    <row r="379">
      <c r="A379" s="27" t="s">
        <v>42</v>
      </c>
      <c r="B379" s="27" t="s">
        <v>1185</v>
      </c>
      <c r="C379" s="27" t="s">
        <v>1186</v>
      </c>
      <c r="D379" s="27" t="s">
        <v>1187</v>
      </c>
      <c r="E379" s="28" t="s">
        <v>46</v>
      </c>
      <c r="F379" s="29" t="s">
        <v>46</v>
      </c>
      <c r="G379" s="30" t="s">
        <v>46</v>
      </c>
      <c r="H379" s="31"/>
      <c r="I379" s="31" t="s">
        <v>551</v>
      </c>
      <c r="J379" s="32" t="n">
        <v>1.0</v>
      </c>
      <c r="K379" s="33" t="n">
        <f>118500</f>
        <v>118500.0</v>
      </c>
      <c r="L379" s="34" t="s">
        <v>48</v>
      </c>
      <c r="M379" s="33" t="n">
        <f>119400</f>
        <v>119400.0</v>
      </c>
      <c r="N379" s="34" t="s">
        <v>50</v>
      </c>
      <c r="O379" s="33" t="n">
        <f>117700</f>
        <v>117700.0</v>
      </c>
      <c r="P379" s="34" t="s">
        <v>154</v>
      </c>
      <c r="Q379" s="33" t="n">
        <f>118700</f>
        <v>118700.0</v>
      </c>
      <c r="R379" s="34" t="s">
        <v>50</v>
      </c>
      <c r="S379" s="35" t="n">
        <f>118231.82</f>
        <v>118231.82</v>
      </c>
      <c r="T379" s="32" t="n">
        <f>12952</f>
        <v>12952.0</v>
      </c>
      <c r="U379" s="32" t="n">
        <f>212</f>
        <v>212.0</v>
      </c>
      <c r="V379" s="32" t="n">
        <f>1531383957</f>
        <v>1.531383957E9</v>
      </c>
      <c r="W379" s="32" t="n">
        <f>25280957</f>
        <v>2.5280957E7</v>
      </c>
      <c r="X379" s="36" t="n">
        <f>22</f>
        <v>22.0</v>
      </c>
    </row>
    <row r="380">
      <c r="A380" s="27" t="s">
        <v>42</v>
      </c>
      <c r="B380" s="27" t="s">
        <v>1188</v>
      </c>
      <c r="C380" s="27" t="s">
        <v>1189</v>
      </c>
      <c r="D380" s="27" t="s">
        <v>1190</v>
      </c>
      <c r="E380" s="28" t="s">
        <v>46</v>
      </c>
      <c r="F380" s="29" t="s">
        <v>46</v>
      </c>
      <c r="G380" s="30" t="s">
        <v>46</v>
      </c>
      <c r="H380" s="31"/>
      <c r="I380" s="31" t="s">
        <v>551</v>
      </c>
      <c r="J380" s="32" t="n">
        <v>1.0</v>
      </c>
      <c r="K380" s="33" t="n">
        <f>91700</f>
        <v>91700.0</v>
      </c>
      <c r="L380" s="34" t="s">
        <v>48</v>
      </c>
      <c r="M380" s="33" t="n">
        <f>92300</f>
        <v>92300.0</v>
      </c>
      <c r="N380" s="34" t="s">
        <v>213</v>
      </c>
      <c r="O380" s="33" t="n">
        <f>91200</f>
        <v>91200.0</v>
      </c>
      <c r="P380" s="34" t="s">
        <v>60</v>
      </c>
      <c r="Q380" s="33" t="n">
        <f>91600</f>
        <v>91600.0</v>
      </c>
      <c r="R380" s="34" t="s">
        <v>50</v>
      </c>
      <c r="S380" s="35" t="n">
        <f>91590.91</f>
        <v>91590.91</v>
      </c>
      <c r="T380" s="32" t="n">
        <f>3439</f>
        <v>3439.0</v>
      </c>
      <c r="U380" s="32" t="n">
        <f>239</f>
        <v>239.0</v>
      </c>
      <c r="V380" s="32" t="n">
        <f>315097000</f>
        <v>3.15097E8</v>
      </c>
      <c r="W380" s="32" t="n">
        <f>22165500</f>
        <v>2.21655E7</v>
      </c>
      <c r="X380" s="36" t="n">
        <f>22</f>
        <v>22.0</v>
      </c>
    </row>
    <row r="381">
      <c r="A381" s="27" t="s">
        <v>42</v>
      </c>
      <c r="B381" s="27" t="s">
        <v>1191</v>
      </c>
      <c r="C381" s="27" t="s">
        <v>1192</v>
      </c>
      <c r="D381" s="27" t="s">
        <v>1193</v>
      </c>
      <c r="E381" s="28" t="s">
        <v>46</v>
      </c>
      <c r="F381" s="29" t="s">
        <v>46</v>
      </c>
      <c r="G381" s="30" t="s">
        <v>46</v>
      </c>
      <c r="H381" s="31"/>
      <c r="I381" s="31" t="s">
        <v>47</v>
      </c>
      <c r="J381" s="32" t="n">
        <v>1.0</v>
      </c>
      <c r="K381" s="33" t="n">
        <f>89300</f>
        <v>89300.0</v>
      </c>
      <c r="L381" s="34" t="s">
        <v>48</v>
      </c>
      <c r="M381" s="33" t="n">
        <f>90600</f>
        <v>90600.0</v>
      </c>
      <c r="N381" s="34" t="s">
        <v>67</v>
      </c>
      <c r="O381" s="33" t="n">
        <f>89200</f>
        <v>89200.0</v>
      </c>
      <c r="P381" s="34" t="s">
        <v>154</v>
      </c>
      <c r="Q381" s="33" t="n">
        <f>90300</f>
        <v>90300.0</v>
      </c>
      <c r="R381" s="34" t="s">
        <v>50</v>
      </c>
      <c r="S381" s="35" t="n">
        <f>89590.91</f>
        <v>89590.91</v>
      </c>
      <c r="T381" s="32" t="n">
        <f>27032</f>
        <v>27032.0</v>
      </c>
      <c r="U381" s="32" t="n">
        <f>523</f>
        <v>523.0</v>
      </c>
      <c r="V381" s="32" t="n">
        <f>2423518300</f>
        <v>2.4235183E9</v>
      </c>
      <c r="W381" s="32" t="n">
        <f>48607400</f>
        <v>4.86074E7</v>
      </c>
      <c r="X381" s="36" t="n">
        <f>22</f>
        <v>22.0</v>
      </c>
    </row>
    <row r="382">
      <c r="A382" s="27" t="s">
        <v>42</v>
      </c>
      <c r="B382" s="27" t="s">
        <v>1194</v>
      </c>
      <c r="C382" s="27" t="s">
        <v>1195</v>
      </c>
      <c r="D382" s="27" t="s">
        <v>1196</v>
      </c>
      <c r="E382" s="28" t="s">
        <v>46</v>
      </c>
      <c r="F382" s="29" t="s">
        <v>46</v>
      </c>
      <c r="G382" s="30" t="s">
        <v>46</v>
      </c>
      <c r="H382" s="31"/>
      <c r="I382" s="31" t="s">
        <v>551</v>
      </c>
      <c r="J382" s="32" t="n">
        <v>1.0</v>
      </c>
      <c r="K382" s="33" t="n">
        <f>90400</f>
        <v>90400.0</v>
      </c>
      <c r="L382" s="34" t="s">
        <v>48</v>
      </c>
      <c r="M382" s="33" t="n">
        <f>91000</f>
        <v>91000.0</v>
      </c>
      <c r="N382" s="34" t="s">
        <v>67</v>
      </c>
      <c r="O382" s="33" t="n">
        <f>90000</f>
        <v>90000.0</v>
      </c>
      <c r="P382" s="34" t="s">
        <v>245</v>
      </c>
      <c r="Q382" s="33" t="n">
        <f>90700</f>
        <v>90700.0</v>
      </c>
      <c r="R382" s="34" t="s">
        <v>50</v>
      </c>
      <c r="S382" s="35" t="n">
        <f>90345.45</f>
        <v>90345.45</v>
      </c>
      <c r="T382" s="32" t="n">
        <f>8601</f>
        <v>8601.0</v>
      </c>
      <c r="U382" s="32" t="n">
        <f>232</f>
        <v>232.0</v>
      </c>
      <c r="V382" s="32" t="n">
        <f>777561200</f>
        <v>7.775612E8</v>
      </c>
      <c r="W382" s="32" t="n">
        <f>21171000</f>
        <v>2.1171E7</v>
      </c>
      <c r="X382" s="36" t="n">
        <f>22</f>
        <v>22.0</v>
      </c>
    </row>
  </sheetData>
  <mergeCells count="3">
    <mergeCell ref="N1:X3"/>
    <mergeCell ref="A2:M2"/>
    <mergeCell ref="A3:M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2020-05-11T08:48:14Z</dcterms:modified>
</cp:coreProperties>
</file>