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<sst xmlns="http://schemas.openxmlformats.org/spreadsheetml/2006/main" count="4718" uniqueCount="1238">
  <si>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</si>
  <si>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</si>
  <si>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</si>
  <si>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</si>
  <si>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</si>
  <si>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</si>
  <si>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</si>
  <si>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</si>
  <si>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</si>
  <si>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</si>
  <si>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</si>
  <si>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</si>
  <si>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</si>
  <si>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</si>
  <si>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</si>
  <si>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</si>
  <si>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</si>
  <si>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</si>
  <si>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</si>
  <si>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</si>
  <si>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</si>
  <si>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</si>
  <si>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</si>
  <si>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</si>
  <si>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</si>
  <si>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</si>
  <si>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</si>
  <si>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</si>
  <si>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</si>
  <si>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</si>
  <si>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</si>
  <si>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</si>
  <si>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</si>
  <si>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</si>
  <si>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</si>
  <si>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</si>
  <si>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</si>
  <si>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</si>
  <si>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</si>
  <si>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</si>
  <si>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</si>
  <si>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</si>
  <si>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2023/09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</si>
  <si>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</si>
  <si>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</si>
  <si>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</si>
  <si>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</si>
  <si>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</si>
  <si>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</si>
  <si>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15</t>
  </si>
  <si>
    <t>29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</si>
  <si>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</si>
  <si>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</si>
  <si>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</si>
  <si>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</si>
  <si>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</si>
  <si>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</si>
  <si>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</si>
  <si>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</si>
  <si>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</si>
  <si>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6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</si>
  <si>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</si>
  <si>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</si>
  <si>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</si>
  <si>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</si>
  <si>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</si>
  <si>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</si>
  <si>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20</t>
  </si>
  <si>
    <t>13</t>
  </si>
  <si>
    <t>28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</si>
  <si>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</si>
  <si>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</si>
  <si>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</si>
  <si>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</si>
  <si>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</si>
  <si>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</si>
  <si>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</si>
  <si>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</si>
  <si>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</si>
  <si>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4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</si>
  <si>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</si>
  <si>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</si>
  <si>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</si>
  <si>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</si>
  <si>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</si>
  <si>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</si>
  <si>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8</t>
  </si>
  <si>
    <t>1326</t>
  </si>
  <si>
    <t>ＳＰＤＲゴールド・シェア　受益証券</t>
  </si>
  <si>
    <t>SPDR Gold Shares</t>
  </si>
  <si>
    <t>21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</si>
  <si>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</si>
  <si>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</si>
  <si>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</si>
  <si>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</si>
  <si>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</si>
  <si>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</si>
  <si>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</si>
  <si>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</si>
  <si>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</si>
  <si>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</si>
  <si>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　指数連動型上場投信　受益証券</t>
  </si>
  <si>
    <t>NEXT FUNDS REIT INDEX ETF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</si>
  <si>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</si>
  <si>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</si>
  <si>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</si>
  <si>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</si>
  <si>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</si>
  <si>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</si>
  <si>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</si>
  <si>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</si>
  <si>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</si>
  <si>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</si>
  <si>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</si>
  <si>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</si>
  <si>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</si>
  <si>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</si>
  <si>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</si>
  <si>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</si>
  <si>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</si>
  <si>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</si>
  <si>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</si>
  <si>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</si>
  <si>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</si>
  <si>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</si>
  <si>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</si>
  <si>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</si>
  <si>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</si>
  <si>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</si>
  <si>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</si>
  <si>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</si>
  <si>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</si>
  <si>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</si>
  <si>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</si>
  <si>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</si>
  <si>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</si>
  <si>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</si>
  <si>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</si>
  <si>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</si>
  <si>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</si>
  <si>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</si>
  <si>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</si>
  <si>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</si>
  <si>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</si>
  <si>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</si>
  <si>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</si>
  <si>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</si>
  <si>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</si>
  <si>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</si>
  <si>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</si>
  <si>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</si>
  <si>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</si>
  <si>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</si>
  <si>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</si>
  <si>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</si>
  <si>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</si>
  <si>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</si>
  <si>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</si>
  <si>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</si>
  <si>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</si>
  <si>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</si>
  <si>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</si>
  <si>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</si>
  <si>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</si>
  <si>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</si>
  <si>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</si>
  <si>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</si>
  <si>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ｉＦｒｅｅＥＴＦ　ＪＰＸ日経４００レバレッジ・インデックス　受益証券</t>
  </si>
  <si>
    <t>iFreeETF JPX-Nikkei400 Leveraged (2x) Index</t>
  </si>
  <si>
    <t>1465</t>
  </si>
  <si>
    <t>ｉＦｒｅｅＥＴＦ　ＪＰＸ日経４００インバース・インデックス　受益証券</t>
  </si>
  <si>
    <t>iFreeETF JPX-Nikkei400 Inverse (-1x)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</si>
  <si>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</si>
  <si>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</si>
  <si>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</si>
  <si>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</si>
  <si>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</si>
  <si>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</si>
  <si>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</si>
  <si>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</si>
  <si>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</si>
  <si>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</si>
  <si>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</si>
  <si>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</si>
  <si>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</si>
  <si>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</si>
  <si>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</si>
  <si>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</si>
  <si>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</si>
  <si>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</si>
  <si>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</si>
  <si>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</si>
  <si>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</si>
  <si>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</si>
  <si>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</si>
  <si>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</si>
  <si>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</si>
  <si>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</si>
  <si>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</si>
  <si>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</si>
  <si>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</si>
  <si>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</si>
  <si>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</si>
  <si>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</si>
  <si>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</si>
  <si>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</si>
  <si>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</si>
  <si>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</si>
  <si>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</si>
  <si>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</si>
  <si>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</si>
  <si>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</si>
  <si>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</si>
  <si>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</si>
  <si>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</si>
  <si>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</si>
  <si>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</si>
  <si>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</si>
  <si>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</si>
  <si>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</si>
  <si>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11</t>
  </si>
  <si>
    <t>22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</si>
  <si>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</si>
  <si>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</si>
  <si>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</si>
  <si>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</si>
  <si>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</si>
  <si>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</si>
  <si>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</si>
  <si>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</si>
  <si>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</si>
  <si>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</si>
  <si>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</si>
  <si>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</si>
  <si>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</si>
  <si>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</si>
  <si>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</si>
  <si>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</si>
  <si>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</si>
  <si>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</si>
  <si>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</si>
  <si>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</si>
  <si>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</si>
  <si>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</si>
  <si>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</si>
  <si>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</si>
  <si>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19</t>
  </si>
  <si>
    <t>1495</t>
  </si>
  <si>
    <t>上場インデックスファンドアジアリート　受益証券</t>
  </si>
  <si>
    <t>Listed Index Fund Asian REIT</t>
  </si>
  <si>
    <t>27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</si>
  <si>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</si>
  <si>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</si>
  <si>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</si>
  <si>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</si>
  <si>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</si>
  <si>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</si>
  <si>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5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</si>
  <si>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</si>
  <si>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</si>
  <si>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</si>
  <si>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</si>
  <si>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</si>
  <si>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</si>
  <si>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7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</si>
  <si>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</si>
  <si>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</si>
  <si>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</si>
  <si>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</si>
  <si>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</si>
  <si>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</si>
  <si>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</si>
  <si>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</si>
  <si>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</si>
  <si>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</si>
  <si>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</si>
  <si>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</si>
  <si>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</si>
  <si>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</si>
  <si>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</si>
  <si>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</si>
  <si>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</si>
  <si>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</si>
  <si>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</si>
  <si>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</si>
  <si>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</si>
  <si>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</si>
  <si>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</si>
  <si>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</si>
  <si>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</si>
  <si>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</si>
  <si>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</si>
  <si>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</si>
  <si>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</si>
  <si>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</si>
  <si>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確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</si>
  <si>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</si>
  <si>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</si>
  <si>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</si>
  <si>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</si>
  <si>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</si>
  <si>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</si>
  <si>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</si>
  <si>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</si>
  <si>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</si>
  <si>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</si>
  <si>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</si>
  <si>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</si>
  <si>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</si>
  <si>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</si>
  <si>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</si>
  <si>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</si>
  <si>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</si>
  <si>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</si>
  <si>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</si>
  <si>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</si>
  <si>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</si>
  <si>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</si>
  <si>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</si>
  <si>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</si>
  <si>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</si>
  <si>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</si>
  <si>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</si>
  <si>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</si>
  <si>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</si>
  <si>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</si>
  <si>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</si>
  <si>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</si>
  <si>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</si>
  <si>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</si>
  <si>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</si>
  <si>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</si>
  <si>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</si>
  <si>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</si>
  <si>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</si>
  <si>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</si>
  <si>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</si>
  <si>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</si>
  <si>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</si>
  <si>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</si>
  <si>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</si>
  <si>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</si>
  <si>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</si>
  <si>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</si>
  <si>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</si>
  <si>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</si>
  <si>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</si>
  <si>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</si>
  <si>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</si>
  <si>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</si>
  <si>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</si>
  <si>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</si>
  <si>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</si>
  <si>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</si>
  <si>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</si>
  <si>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</si>
  <si>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</si>
  <si>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</si>
  <si>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</si>
  <si>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</si>
  <si>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</si>
  <si>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</si>
  <si>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</si>
  <si>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</si>
  <si>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</si>
  <si>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</si>
  <si>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</si>
  <si>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</si>
  <si>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</si>
  <si>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</si>
  <si>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</si>
  <si>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</si>
  <si>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</si>
  <si>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</si>
  <si>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</si>
  <si>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</si>
  <si>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</si>
  <si>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</si>
  <si>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</si>
  <si>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</si>
  <si>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</si>
  <si>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</si>
  <si>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</si>
  <si>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</si>
  <si>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</si>
  <si>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</si>
  <si>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</si>
  <si>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</si>
  <si>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</si>
  <si>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</si>
  <si>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</si>
  <si>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</si>
  <si>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</si>
  <si>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</si>
  <si>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</si>
  <si>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</si>
  <si>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</si>
  <si>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</si>
  <si>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</si>
  <si>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</si>
  <si>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</si>
  <si>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</si>
  <si>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</si>
  <si>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</si>
  <si>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</si>
  <si>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</si>
  <si>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</si>
  <si>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</si>
  <si>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</si>
  <si>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</si>
  <si>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</si>
  <si>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</si>
  <si>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</si>
  <si>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</si>
  <si>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</si>
  <si>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</si>
  <si>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</si>
  <si>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</si>
  <si>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</si>
  <si>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</si>
  <si>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</si>
  <si>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</si>
  <si>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</si>
  <si>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</si>
  <si>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</si>
  <si>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</si>
  <si>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</si>
  <si>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</si>
  <si>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</si>
  <si>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</si>
  <si>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</si>
  <si>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</si>
  <si>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</si>
  <si>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</si>
  <si>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</si>
  <si>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</si>
  <si>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</si>
  <si>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</si>
  <si>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Ｂｌｏｓｓｏｍ　Ｊａｐａｎ　Ｉｎｄｅｘ　受益証券</t>
  </si>
  <si>
    <t>iFreeETF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</si>
  <si>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</si>
  <si>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</si>
  <si>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</si>
  <si>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</si>
  <si>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</si>
  <si>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</si>
  <si>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</si>
  <si>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</si>
  <si>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</si>
  <si>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</si>
  <si>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</si>
  <si>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</si>
  <si>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</si>
  <si>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</si>
  <si>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</si>
  <si>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</si>
  <si>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</si>
  <si>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</si>
  <si>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</si>
  <si>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</si>
  <si>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</si>
  <si>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</si>
  <si>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</si>
  <si>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</si>
  <si>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</si>
  <si>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</si>
  <si>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</si>
  <si>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14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</si>
  <si>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</si>
  <si>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</si>
  <si>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</si>
  <si>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</si>
  <si>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</si>
  <si>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</si>
  <si>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</si>
  <si>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</si>
  <si>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</si>
  <si>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25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</si>
  <si>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</si>
  <si>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</si>
  <si>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</si>
  <si>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</si>
  <si>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</si>
  <si>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</si>
  <si>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</si>
  <si>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</si>
  <si>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</si>
  <si>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</si>
  <si>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</si>
  <si>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</si>
  <si>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</si>
  <si>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</si>
  <si>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</si>
  <si>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</si>
  <si>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</si>
  <si>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</si>
  <si>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</si>
  <si>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</si>
  <si>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</si>
  <si>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</si>
  <si>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</si>
  <si>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</si>
  <si>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</si>
  <si>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</si>
  <si>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</si>
  <si>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</si>
  <si>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</si>
  <si>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</si>
  <si>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</si>
  <si>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</si>
  <si>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</si>
  <si>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</si>
  <si>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</si>
  <si>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</si>
  <si>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</si>
  <si>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</si>
  <si>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</si>
  <si>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</si>
  <si>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</si>
  <si>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</si>
  <si>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</si>
  <si>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</si>
  <si>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</si>
  <si>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12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</si>
  <si>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</si>
  <si>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</si>
  <si>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</si>
  <si>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</si>
  <si>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</si>
  <si>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</si>
  <si>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</si>
  <si>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</si>
  <si>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</si>
  <si>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</si>
  <si>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</si>
  <si>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</si>
  <si>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</si>
  <si>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</si>
  <si>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</si>
  <si>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</si>
  <si>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</si>
  <si>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</si>
  <si>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</si>
  <si>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</si>
  <si>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</si>
  <si>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</si>
  <si>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</si>
  <si>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</si>
  <si>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</si>
  <si>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</si>
  <si>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</si>
  <si>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</si>
  <si>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</si>
  <si>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</si>
  <si>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</si>
  <si>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</si>
  <si>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</si>
  <si>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</si>
  <si>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</si>
  <si>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</si>
  <si>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</si>
  <si>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</si>
  <si>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</si>
  <si>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</si>
  <si>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</si>
  <si>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</si>
  <si>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</si>
  <si>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</si>
  <si>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</si>
  <si>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</si>
  <si>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</si>
  <si>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</si>
  <si>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</si>
  <si>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</si>
  <si>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</si>
  <si>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</si>
  <si>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</si>
  <si>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</si>
  <si>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</si>
  <si>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</si>
  <si>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</si>
  <si>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</si>
  <si>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</si>
  <si>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</si>
  <si>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</si>
  <si>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</si>
  <si>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</si>
  <si>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</si>
  <si>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</si>
  <si>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</si>
  <si>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</si>
  <si>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</si>
  <si>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</si>
  <si>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</si>
  <si>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</si>
  <si>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</si>
  <si>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</si>
  <si>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</si>
  <si>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</si>
  <si>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</si>
  <si>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</si>
  <si>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</si>
  <si>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</si>
  <si>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</si>
  <si>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</si>
  <si>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</si>
  <si>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</si>
  <si>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</si>
  <si>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</si>
  <si>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26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</si>
  <si>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</si>
  <si>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</si>
  <si>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</si>
  <si>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</si>
  <si>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</si>
  <si>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</si>
  <si>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</si>
  <si>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</si>
  <si>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</si>
  <si>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</si>
  <si>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</si>
  <si>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</si>
  <si>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</si>
  <si>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</si>
  <si>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</si>
  <si>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</si>
  <si>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</si>
  <si>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</si>
  <si>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</si>
  <si>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</si>
  <si>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</si>
  <si>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 xml:space="preserve">新規上場  </t>
  </si>
  <si>
    <t xml:space="preserve">New Listing  </t>
  </si>
  <si>
    <t xml:space="preserve">2023/09/07  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</si>
  <si>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</si>
  <si>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</si>
  <si>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</si>
  <si>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</si>
  <si>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</si>
  <si>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</si>
  <si>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</si>
  <si>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</si>
  <si>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</si>
  <si>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</si>
  <si>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</si>
  <si>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</si>
  <si>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</si>
  <si>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</si>
  <si>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</si>
  <si>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</si>
  <si>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</si>
  <si>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</si>
  <si>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 xml:space="preserve">2023/09/22  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</si>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</sst>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95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2435</f>
        <v>2435.0</v>
      </c>
      <c r="L7" s="34" t="s">
        <v>48</v>
      </c>
      <c r="M7" s="33" t="n">
        <f>2551</f>
        <v>2551.0</v>
      </c>
      <c r="N7" s="34" t="s">
        <v>49</v>
      </c>
      <c r="O7" s="33" t="n">
        <f>2435</f>
        <v>2435.0</v>
      </c>
      <c r="P7" s="34" t="s">
        <v>48</v>
      </c>
      <c r="Q7" s="33" t="n">
        <f>2455</f>
        <v>2455.0</v>
      </c>
      <c r="R7" s="34" t="s">
        <v>50</v>
      </c>
      <c r="S7" s="35" t="n">
        <f>2492.6</f>
        <v>2492.6</v>
      </c>
      <c r="T7" s="32" t="n">
        <f>18442320</f>
        <v>1.844232E7</v>
      </c>
      <c r="U7" s="32" t="n">
        <f>15142830</f>
        <v>1.514283E7</v>
      </c>
      <c r="V7" s="32" t="n">
        <f>45774525596</f>
        <v>4.5774525596E10</v>
      </c>
      <c r="W7" s="32" t="n">
        <f>37555480456</f>
        <v>3.7555480456E10</v>
      </c>
      <c r="X7" s="36" t="n">
        <f>20</f>
        <v>20.0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2409.5</f>
        <v>2409.5</v>
      </c>
      <c r="L8" s="34" t="s">
        <v>48</v>
      </c>
      <c r="M8" s="33" t="n">
        <f>2524.5</f>
        <v>2524.5</v>
      </c>
      <c r="N8" s="34" t="s">
        <v>49</v>
      </c>
      <c r="O8" s="33" t="n">
        <f>2409.5</f>
        <v>2409.5</v>
      </c>
      <c r="P8" s="34" t="s">
        <v>48</v>
      </c>
      <c r="Q8" s="33" t="n">
        <f>2427.5</f>
        <v>2427.5</v>
      </c>
      <c r="R8" s="34" t="s">
        <v>50</v>
      </c>
      <c r="S8" s="35" t="n">
        <f>2466.08</f>
        <v>2466.08</v>
      </c>
      <c r="T8" s="32" t="n">
        <f>73365550</f>
        <v>7.336555E7</v>
      </c>
      <c r="U8" s="32" t="n">
        <f>37211090</f>
        <v>3.721109E7</v>
      </c>
      <c r="V8" s="32" t="n">
        <f>180127197493</f>
        <v>1.80127197493E11</v>
      </c>
      <c r="W8" s="32" t="n">
        <f>91082669948</f>
        <v>9.1082669948E10</v>
      </c>
      <c r="X8" s="36" t="n">
        <f>20</f>
        <v>20.0</v>
      </c>
    </row>
    <row r="9">
      <c r="A9" s="27" t="s">
        <v>42</v>
      </c>
      <c r="B9" s="27" t="s">
        <v>54</v>
      </c>
      <c r="C9" s="27" t="s">
        <v>55</v>
      </c>
      <c r="D9" s="27" t="s">
        <v>56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2383</f>
        <v>2383.0</v>
      </c>
      <c r="L9" s="34" t="s">
        <v>48</v>
      </c>
      <c r="M9" s="33" t="n">
        <f>2495</f>
        <v>2495.0</v>
      </c>
      <c r="N9" s="34" t="s">
        <v>49</v>
      </c>
      <c r="O9" s="33" t="n">
        <f>2382</f>
        <v>2382.0</v>
      </c>
      <c r="P9" s="34" t="s">
        <v>48</v>
      </c>
      <c r="Q9" s="33" t="n">
        <f>2400</f>
        <v>2400.0</v>
      </c>
      <c r="R9" s="34" t="s">
        <v>50</v>
      </c>
      <c r="S9" s="35" t="n">
        <f>2436.75</f>
        <v>2436.75</v>
      </c>
      <c r="T9" s="32" t="n">
        <f>20216842</f>
        <v>2.0216842E7</v>
      </c>
      <c r="U9" s="32" t="n">
        <f>17230073</f>
        <v>1.7230073E7</v>
      </c>
      <c r="V9" s="32" t="n">
        <f>49093093606</f>
        <v>4.9093093606E10</v>
      </c>
      <c r="W9" s="32" t="n">
        <f>41843275576</f>
        <v>4.1843275576E10</v>
      </c>
      <c r="X9" s="36" t="n">
        <f>20</f>
        <v>20.0</v>
      </c>
    </row>
    <row r="10">
      <c r="A10" s="27" t="s">
        <v>42</v>
      </c>
      <c r="B10" s="27" t="s">
        <v>57</v>
      </c>
      <c r="C10" s="27" t="s">
        <v>58</v>
      </c>
      <c r="D10" s="27" t="s">
        <v>59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38610</f>
        <v>38610.0</v>
      </c>
      <c r="L10" s="34" t="s">
        <v>48</v>
      </c>
      <c r="M10" s="33" t="n">
        <f>40390</f>
        <v>40390.0</v>
      </c>
      <c r="N10" s="34" t="s">
        <v>60</v>
      </c>
      <c r="O10" s="33" t="n">
        <f>38610</f>
        <v>38610.0</v>
      </c>
      <c r="P10" s="34" t="s">
        <v>48</v>
      </c>
      <c r="Q10" s="33" t="n">
        <f>40360</f>
        <v>40360.0</v>
      </c>
      <c r="R10" s="34" t="s">
        <v>50</v>
      </c>
      <c r="S10" s="35" t="n">
        <f>39836</f>
        <v>39836.0</v>
      </c>
      <c r="T10" s="32" t="n">
        <f>3531</f>
        <v>3531.0</v>
      </c>
      <c r="U10" s="32" t="str">
        <f>"－"</f>
        <v>－</v>
      </c>
      <c r="V10" s="32" t="n">
        <f>140760940</f>
        <v>1.4076094E8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1146.5</f>
        <v>1146.5</v>
      </c>
      <c r="L11" s="34" t="s">
        <v>48</v>
      </c>
      <c r="M11" s="33" t="n">
        <f>1213.5</f>
        <v>1213.5</v>
      </c>
      <c r="N11" s="34" t="s">
        <v>49</v>
      </c>
      <c r="O11" s="33" t="n">
        <f>1146.5</f>
        <v>1146.5</v>
      </c>
      <c r="P11" s="34" t="s">
        <v>48</v>
      </c>
      <c r="Q11" s="33" t="n">
        <f>1166</f>
        <v>1166.0</v>
      </c>
      <c r="R11" s="34" t="s">
        <v>50</v>
      </c>
      <c r="S11" s="35" t="n">
        <f>1180</f>
        <v>1180.0</v>
      </c>
      <c r="T11" s="32" t="n">
        <f>208580</f>
        <v>208580.0</v>
      </c>
      <c r="U11" s="32" t="str">
        <f>"－"</f>
        <v>－</v>
      </c>
      <c r="V11" s="32" t="n">
        <f>245788710</f>
        <v>2.4578871E8</v>
      </c>
      <c r="W11" s="32" t="str">
        <f>"－"</f>
        <v>－</v>
      </c>
      <c r="X11" s="36" t="n">
        <f>20</f>
        <v>20.0</v>
      </c>
    </row>
    <row r="12">
      <c r="A12" s="27" t="s">
        <v>42</v>
      </c>
      <c r="B12" s="27" t="s">
        <v>64</v>
      </c>
      <c r="C12" s="27" t="s">
        <v>65</v>
      </c>
      <c r="D12" s="27" t="s">
        <v>66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403.2</f>
        <v>403.2</v>
      </c>
      <c r="L12" s="34" t="s">
        <v>48</v>
      </c>
      <c r="M12" s="33" t="n">
        <f>422.8</f>
        <v>422.8</v>
      </c>
      <c r="N12" s="34" t="s">
        <v>67</v>
      </c>
      <c r="O12" s="33" t="n">
        <f>401.1</f>
        <v>401.1</v>
      </c>
      <c r="P12" s="34" t="s">
        <v>68</v>
      </c>
      <c r="Q12" s="33" t="n">
        <f>414.7</f>
        <v>414.7</v>
      </c>
      <c r="R12" s="34" t="s">
        <v>69</v>
      </c>
      <c r="S12" s="35" t="n">
        <f>410.79</f>
        <v>410.79</v>
      </c>
      <c r="T12" s="32" t="n">
        <f>65000</f>
        <v>65000.0</v>
      </c>
      <c r="U12" s="32" t="n">
        <f>4000</f>
        <v>4000.0</v>
      </c>
      <c r="V12" s="32" t="n">
        <f>26634800</f>
        <v>2.66348E7</v>
      </c>
      <c r="W12" s="32" t="n">
        <f>1652500</f>
        <v>1652500.0</v>
      </c>
      <c r="X12" s="36" t="n">
        <f>16</f>
        <v>16.0</v>
      </c>
    </row>
    <row r="13">
      <c r="A13" s="27" t="s">
        <v>42</v>
      </c>
      <c r="B13" s="27" t="s">
        <v>70</v>
      </c>
      <c r="C13" s="27" t="s">
        <v>71</v>
      </c>
      <c r="D13" s="27" t="s">
        <v>72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33300</f>
        <v>33300.0</v>
      </c>
      <c r="L13" s="34" t="s">
        <v>48</v>
      </c>
      <c r="M13" s="33" t="n">
        <f>34470</f>
        <v>34470.0</v>
      </c>
      <c r="N13" s="34" t="s">
        <v>49</v>
      </c>
      <c r="O13" s="33" t="n">
        <f>32690</f>
        <v>32690.0</v>
      </c>
      <c r="P13" s="34" t="s">
        <v>69</v>
      </c>
      <c r="Q13" s="33" t="n">
        <f>32890</f>
        <v>32890.0</v>
      </c>
      <c r="R13" s="34" t="s">
        <v>50</v>
      </c>
      <c r="S13" s="35" t="n">
        <f>33560</f>
        <v>33560.0</v>
      </c>
      <c r="T13" s="32" t="n">
        <f>1355626</f>
        <v>1355626.0</v>
      </c>
      <c r="U13" s="32" t="n">
        <f>658319</f>
        <v>658319.0</v>
      </c>
      <c r="V13" s="32" t="n">
        <f>45315188263</f>
        <v>4.5315188263E10</v>
      </c>
      <c r="W13" s="32" t="n">
        <f>21909208453</f>
        <v>2.1909208453E10</v>
      </c>
      <c r="X13" s="36" t="n">
        <f>20</f>
        <v>20.0</v>
      </c>
    </row>
    <row r="14">
      <c r="A14" s="27" t="s">
        <v>42</v>
      </c>
      <c r="B14" s="27" t="s">
        <v>73</v>
      </c>
      <c r="C14" s="27" t="s">
        <v>74</v>
      </c>
      <c r="D14" s="27" t="s">
        <v>75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33420</f>
        <v>33420.0</v>
      </c>
      <c r="L14" s="34" t="s">
        <v>48</v>
      </c>
      <c r="M14" s="33" t="n">
        <f>34600</f>
        <v>34600.0</v>
      </c>
      <c r="N14" s="34" t="s">
        <v>49</v>
      </c>
      <c r="O14" s="33" t="n">
        <f>32800</f>
        <v>32800.0</v>
      </c>
      <c r="P14" s="34" t="s">
        <v>69</v>
      </c>
      <c r="Q14" s="33" t="n">
        <f>33010</f>
        <v>33010.0</v>
      </c>
      <c r="R14" s="34" t="s">
        <v>50</v>
      </c>
      <c r="S14" s="35" t="n">
        <f>33686</f>
        <v>33686.0</v>
      </c>
      <c r="T14" s="32" t="n">
        <f>6067671</f>
        <v>6067671.0</v>
      </c>
      <c r="U14" s="32" t="n">
        <f>1126012</f>
        <v>1126012.0</v>
      </c>
      <c r="V14" s="32" t="n">
        <f>204208981410</f>
        <v>2.0420898141E11</v>
      </c>
      <c r="W14" s="32" t="n">
        <f>37716462500</f>
        <v>3.77164625E10</v>
      </c>
      <c r="X14" s="36" t="n">
        <f>20</f>
        <v>20.0</v>
      </c>
    </row>
    <row r="15">
      <c r="A15" s="27" t="s">
        <v>42</v>
      </c>
      <c r="B15" s="27" t="s">
        <v>76</v>
      </c>
      <c r="C15" s="27" t="s">
        <v>77</v>
      </c>
      <c r="D15" s="27" t="s">
        <v>78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10.0</v>
      </c>
      <c r="K15" s="33" t="n">
        <f>7605</f>
        <v>7605.0</v>
      </c>
      <c r="L15" s="34" t="s">
        <v>48</v>
      </c>
      <c r="M15" s="33" t="n">
        <f>7850</f>
        <v>7850.0</v>
      </c>
      <c r="N15" s="34" t="s">
        <v>79</v>
      </c>
      <c r="O15" s="33" t="n">
        <f>7450</f>
        <v>7450.0</v>
      </c>
      <c r="P15" s="34" t="s">
        <v>50</v>
      </c>
      <c r="Q15" s="33" t="n">
        <f>7722</f>
        <v>7722.0</v>
      </c>
      <c r="R15" s="34" t="s">
        <v>50</v>
      </c>
      <c r="S15" s="35" t="n">
        <f>7677.35</f>
        <v>7677.35</v>
      </c>
      <c r="T15" s="32" t="n">
        <f>29760</f>
        <v>29760.0</v>
      </c>
      <c r="U15" s="32" t="n">
        <f>16000</f>
        <v>16000.0</v>
      </c>
      <c r="V15" s="32" t="n">
        <f>227711037</f>
        <v>2.27711037E8</v>
      </c>
      <c r="W15" s="32" t="n">
        <f>121863667</f>
        <v>1.21863667E8</v>
      </c>
      <c r="X15" s="36" t="n">
        <f>20</f>
        <v>20.0</v>
      </c>
    </row>
    <row r="16">
      <c r="A16" s="27" t="s">
        <v>42</v>
      </c>
      <c r="B16" s="27" t="s">
        <v>80</v>
      </c>
      <c r="C16" s="27" t="s">
        <v>81</v>
      </c>
      <c r="D16" s="27" t="s">
        <v>82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100.0</v>
      </c>
      <c r="K16" s="33" t="str">
        <f>"－"</f>
        <v>－</v>
      </c>
      <c r="L16" s="34"/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5" t="str">
        <f>"－"</f>
        <v>－</v>
      </c>
      <c r="T16" s="32" t="str">
        <f>"－"</f>
        <v>－</v>
      </c>
      <c r="U16" s="32" t="str">
        <f>"－"</f>
        <v>－</v>
      </c>
      <c r="V16" s="32" t="str">
        <f>"－"</f>
        <v>－</v>
      </c>
      <c r="W16" s="32" t="str">
        <f>"－"</f>
        <v>－</v>
      </c>
      <c r="X16" s="36" t="str">
        <f>"－"</f>
        <v>－</v>
      </c>
    </row>
    <row r="17">
      <c r="A17" s="27" t="s">
        <v>42</v>
      </c>
      <c r="B17" s="27" t="s">
        <v>83</v>
      </c>
      <c r="C17" s="27" t="s">
        <v>84</v>
      </c>
      <c r="D17" s="27" t="s">
        <v>85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100.0</v>
      </c>
      <c r="K17" s="33" t="n">
        <f>225</f>
        <v>225.0</v>
      </c>
      <c r="L17" s="34" t="s">
        <v>48</v>
      </c>
      <c r="M17" s="33" t="n">
        <f>229</f>
        <v>229.0</v>
      </c>
      <c r="N17" s="34" t="s">
        <v>79</v>
      </c>
      <c r="O17" s="33" t="n">
        <f>210</f>
        <v>210.0</v>
      </c>
      <c r="P17" s="34" t="s">
        <v>86</v>
      </c>
      <c r="Q17" s="33" t="n">
        <f>221.8</f>
        <v>221.8</v>
      </c>
      <c r="R17" s="34" t="s">
        <v>50</v>
      </c>
      <c r="S17" s="35" t="n">
        <f>222.54</f>
        <v>222.54</v>
      </c>
      <c r="T17" s="32" t="n">
        <f>653400</f>
        <v>653400.0</v>
      </c>
      <c r="U17" s="32" t="str">
        <f>"－"</f>
        <v>－</v>
      </c>
      <c r="V17" s="32" t="n">
        <f>144753490</f>
        <v>1.4475349E8</v>
      </c>
      <c r="W17" s="32" t="str">
        <f>"－"</f>
        <v>－</v>
      </c>
      <c r="X17" s="36" t="n">
        <f>20</f>
        <v>20.0</v>
      </c>
    </row>
    <row r="18">
      <c r="A18" s="27" t="s">
        <v>42</v>
      </c>
      <c r="B18" s="27" t="s">
        <v>87</v>
      </c>
      <c r="C18" s="27" t="s">
        <v>88</v>
      </c>
      <c r="D18" s="27" t="s">
        <v>89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26220</f>
        <v>26220.0</v>
      </c>
      <c r="L18" s="34" t="s">
        <v>48</v>
      </c>
      <c r="M18" s="33" t="n">
        <f>26560</f>
        <v>26560.0</v>
      </c>
      <c r="N18" s="34" t="s">
        <v>90</v>
      </c>
      <c r="O18" s="33" t="n">
        <f>25810</f>
        <v>25810.0</v>
      </c>
      <c r="P18" s="34" t="s">
        <v>50</v>
      </c>
      <c r="Q18" s="33" t="n">
        <f>25850</f>
        <v>25850.0</v>
      </c>
      <c r="R18" s="34" t="s">
        <v>50</v>
      </c>
      <c r="S18" s="35" t="n">
        <f>26271</f>
        <v>26271.0</v>
      </c>
      <c r="T18" s="32" t="n">
        <f>64643</f>
        <v>64643.0</v>
      </c>
      <c r="U18" s="32" t="n">
        <f>24</f>
        <v>24.0</v>
      </c>
      <c r="V18" s="32" t="n">
        <f>1697934735</f>
        <v>1.697934735E9</v>
      </c>
      <c r="W18" s="32" t="n">
        <f>629410</f>
        <v>629410.0</v>
      </c>
      <c r="X18" s="36" t="n">
        <f>20</f>
        <v>20.0</v>
      </c>
    </row>
    <row r="19">
      <c r="A19" s="27" t="s">
        <v>42</v>
      </c>
      <c r="B19" s="27" t="s">
        <v>91</v>
      </c>
      <c r="C19" s="27" t="s">
        <v>92</v>
      </c>
      <c r="D19" s="27" t="s">
        <v>93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10.0</v>
      </c>
      <c r="K19" s="33" t="n">
        <f>6983</f>
        <v>6983.0</v>
      </c>
      <c r="L19" s="34" t="s">
        <v>48</v>
      </c>
      <c r="M19" s="33" t="n">
        <f>7070</f>
        <v>7070.0</v>
      </c>
      <c r="N19" s="34" t="s">
        <v>90</v>
      </c>
      <c r="O19" s="33" t="n">
        <f>6870</f>
        <v>6870.0</v>
      </c>
      <c r="P19" s="34" t="s">
        <v>50</v>
      </c>
      <c r="Q19" s="33" t="n">
        <f>6880</f>
        <v>6880.0</v>
      </c>
      <c r="R19" s="34" t="s">
        <v>50</v>
      </c>
      <c r="S19" s="35" t="n">
        <f>6999.8</f>
        <v>6999.8</v>
      </c>
      <c r="T19" s="32" t="n">
        <f>119720</f>
        <v>119720.0</v>
      </c>
      <c r="U19" s="32" t="n">
        <f>350</f>
        <v>350.0</v>
      </c>
      <c r="V19" s="32" t="n">
        <f>836639920</f>
        <v>8.3663992E8</v>
      </c>
      <c r="W19" s="32" t="n">
        <f>2455130</f>
        <v>2455130.0</v>
      </c>
      <c r="X19" s="36" t="n">
        <f>20</f>
        <v>20.0</v>
      </c>
    </row>
    <row r="20">
      <c r="A20" s="27" t="s">
        <v>42</v>
      </c>
      <c r="B20" s="27" t="s">
        <v>94</v>
      </c>
      <c r="C20" s="27" t="s">
        <v>95</v>
      </c>
      <c r="D20" s="27" t="s">
        <v>96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33580</f>
        <v>33580.0</v>
      </c>
      <c r="L20" s="34" t="s">
        <v>48</v>
      </c>
      <c r="M20" s="33" t="n">
        <f>34760</f>
        <v>34760.0</v>
      </c>
      <c r="N20" s="34" t="s">
        <v>49</v>
      </c>
      <c r="O20" s="33" t="n">
        <f>32950</f>
        <v>32950.0</v>
      </c>
      <c r="P20" s="34" t="s">
        <v>69</v>
      </c>
      <c r="Q20" s="33" t="n">
        <f>33160</f>
        <v>33160.0</v>
      </c>
      <c r="R20" s="34" t="s">
        <v>50</v>
      </c>
      <c r="S20" s="35" t="n">
        <f>33845.5</f>
        <v>33845.5</v>
      </c>
      <c r="T20" s="32" t="n">
        <f>1600925</f>
        <v>1600925.0</v>
      </c>
      <c r="U20" s="32" t="n">
        <f>980109</f>
        <v>980109.0</v>
      </c>
      <c r="V20" s="32" t="n">
        <f>53788188903</f>
        <v>5.3788188903E10</v>
      </c>
      <c r="W20" s="32" t="n">
        <f>32759396083</f>
        <v>3.2759396083E10</v>
      </c>
      <c r="X20" s="36" t="n">
        <f>20</f>
        <v>20.0</v>
      </c>
    </row>
    <row r="21">
      <c r="A21" s="27" t="s">
        <v>42</v>
      </c>
      <c r="B21" s="27" t="s">
        <v>97</v>
      </c>
      <c r="C21" s="27" t="s">
        <v>98</v>
      </c>
      <c r="D21" s="27" t="s">
        <v>99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33470</f>
        <v>33470.0</v>
      </c>
      <c r="L21" s="34" t="s">
        <v>48</v>
      </c>
      <c r="M21" s="33" t="n">
        <f>34630</f>
        <v>34630.0</v>
      </c>
      <c r="N21" s="34" t="s">
        <v>49</v>
      </c>
      <c r="O21" s="33" t="n">
        <f>32840</f>
        <v>32840.0</v>
      </c>
      <c r="P21" s="34" t="s">
        <v>69</v>
      </c>
      <c r="Q21" s="33" t="n">
        <f>33040</f>
        <v>33040.0</v>
      </c>
      <c r="R21" s="34" t="s">
        <v>50</v>
      </c>
      <c r="S21" s="35" t="n">
        <f>33726.5</f>
        <v>33726.5</v>
      </c>
      <c r="T21" s="32" t="n">
        <f>1129556</f>
        <v>1129556.0</v>
      </c>
      <c r="U21" s="32" t="n">
        <f>678103</f>
        <v>678103.0</v>
      </c>
      <c r="V21" s="32" t="n">
        <f>37888361228</f>
        <v>3.7888361228E10</v>
      </c>
      <c r="W21" s="32" t="n">
        <f>22673438358</f>
        <v>2.2673438358E10</v>
      </c>
      <c r="X21" s="36" t="n">
        <f>20</f>
        <v>20.0</v>
      </c>
    </row>
    <row r="22">
      <c r="A22" s="27" t="s">
        <v>42</v>
      </c>
      <c r="B22" s="27" t="s">
        <v>100</v>
      </c>
      <c r="C22" s="27" t="s">
        <v>101</v>
      </c>
      <c r="D22" s="27" t="s">
        <v>102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2031.5</f>
        <v>2031.5</v>
      </c>
      <c r="L22" s="34" t="s">
        <v>48</v>
      </c>
      <c r="M22" s="33" t="n">
        <f>2072</f>
        <v>2072.0</v>
      </c>
      <c r="N22" s="34" t="s">
        <v>60</v>
      </c>
      <c r="O22" s="33" t="n">
        <f>1985.5</f>
        <v>1985.5</v>
      </c>
      <c r="P22" s="34" t="s">
        <v>69</v>
      </c>
      <c r="Q22" s="33" t="n">
        <f>2006</f>
        <v>2006.0</v>
      </c>
      <c r="R22" s="34" t="s">
        <v>50</v>
      </c>
      <c r="S22" s="35" t="n">
        <f>2028.93</f>
        <v>2028.93</v>
      </c>
      <c r="T22" s="32" t="n">
        <f>5370620</f>
        <v>5370620.0</v>
      </c>
      <c r="U22" s="32" t="n">
        <f>1451260</f>
        <v>1451260.0</v>
      </c>
      <c r="V22" s="32" t="n">
        <f>10901117084</f>
        <v>1.0901117084E10</v>
      </c>
      <c r="W22" s="32" t="n">
        <f>2963396324</f>
        <v>2.963396324E9</v>
      </c>
      <c r="X22" s="36" t="n">
        <f>20</f>
        <v>20.0</v>
      </c>
    </row>
    <row r="23">
      <c r="A23" s="27" t="s">
        <v>42</v>
      </c>
      <c r="B23" s="27" t="s">
        <v>103</v>
      </c>
      <c r="C23" s="27" t="s">
        <v>104</v>
      </c>
      <c r="D23" s="27" t="s">
        <v>105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1928</f>
        <v>1928.0</v>
      </c>
      <c r="L23" s="34" t="s">
        <v>48</v>
      </c>
      <c r="M23" s="33" t="n">
        <f>1959</f>
        <v>1959.0</v>
      </c>
      <c r="N23" s="34" t="s">
        <v>60</v>
      </c>
      <c r="O23" s="33" t="n">
        <f>1860</f>
        <v>1860.0</v>
      </c>
      <c r="P23" s="34" t="s">
        <v>69</v>
      </c>
      <c r="Q23" s="33" t="n">
        <f>1881</f>
        <v>1881.0</v>
      </c>
      <c r="R23" s="34" t="s">
        <v>50</v>
      </c>
      <c r="S23" s="35" t="n">
        <f>1905.13</f>
        <v>1905.13</v>
      </c>
      <c r="T23" s="32" t="n">
        <f>2012400</f>
        <v>2012400.0</v>
      </c>
      <c r="U23" s="32" t="n">
        <f>1195900</f>
        <v>1195900.0</v>
      </c>
      <c r="V23" s="32" t="n">
        <f>3845950260</f>
        <v>3.84595026E9</v>
      </c>
      <c r="W23" s="32" t="n">
        <f>2288550160</f>
        <v>2.28855016E9</v>
      </c>
      <c r="X23" s="36" t="n">
        <f>20</f>
        <v>20.0</v>
      </c>
    </row>
    <row r="24">
      <c r="A24" s="27" t="s">
        <v>42</v>
      </c>
      <c r="B24" s="27" t="s">
        <v>106</v>
      </c>
      <c r="C24" s="27" t="s">
        <v>107</v>
      </c>
      <c r="D24" s="27" t="s">
        <v>108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33490</f>
        <v>33490.0</v>
      </c>
      <c r="L24" s="34" t="s">
        <v>48</v>
      </c>
      <c r="M24" s="33" t="n">
        <f>34690</f>
        <v>34690.0</v>
      </c>
      <c r="N24" s="34" t="s">
        <v>49</v>
      </c>
      <c r="O24" s="33" t="n">
        <f>32900</f>
        <v>32900.0</v>
      </c>
      <c r="P24" s="34" t="s">
        <v>69</v>
      </c>
      <c r="Q24" s="33" t="n">
        <f>33120</f>
        <v>33120.0</v>
      </c>
      <c r="R24" s="34" t="s">
        <v>50</v>
      </c>
      <c r="S24" s="35" t="n">
        <f>33788</f>
        <v>33788.0</v>
      </c>
      <c r="T24" s="32" t="n">
        <f>791117</f>
        <v>791117.0</v>
      </c>
      <c r="U24" s="32" t="n">
        <f>416746</f>
        <v>416746.0</v>
      </c>
      <c r="V24" s="32" t="n">
        <f>26517941999</f>
        <v>2.6517941999E10</v>
      </c>
      <c r="W24" s="32" t="n">
        <f>13927857999</f>
        <v>1.3927857999E10</v>
      </c>
      <c r="X24" s="36" t="n">
        <f>20</f>
        <v>20.0</v>
      </c>
    </row>
    <row r="25">
      <c r="A25" s="27" t="s">
        <v>42</v>
      </c>
      <c r="B25" s="27" t="s">
        <v>109</v>
      </c>
      <c r="C25" s="27" t="s">
        <v>110</v>
      </c>
      <c r="D25" s="27" t="s">
        <v>111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2406.5</f>
        <v>2406.5</v>
      </c>
      <c r="L25" s="34" t="s">
        <v>48</v>
      </c>
      <c r="M25" s="33" t="n">
        <f>2521</f>
        <v>2521.0</v>
      </c>
      <c r="N25" s="34" t="s">
        <v>49</v>
      </c>
      <c r="O25" s="33" t="n">
        <f>2406.5</f>
        <v>2406.5</v>
      </c>
      <c r="P25" s="34" t="s">
        <v>48</v>
      </c>
      <c r="Q25" s="33" t="n">
        <f>2425</f>
        <v>2425.0</v>
      </c>
      <c r="R25" s="34" t="s">
        <v>50</v>
      </c>
      <c r="S25" s="35" t="n">
        <f>2463.08</f>
        <v>2463.08</v>
      </c>
      <c r="T25" s="32" t="n">
        <f>2266690</f>
        <v>2266690.0</v>
      </c>
      <c r="U25" s="32" t="n">
        <f>684400</f>
        <v>684400.0</v>
      </c>
      <c r="V25" s="32" t="n">
        <f>5570496330</f>
        <v>5.57049633E9</v>
      </c>
      <c r="W25" s="32" t="n">
        <f>1675300860</f>
        <v>1.67530086E9</v>
      </c>
      <c r="X25" s="36" t="n">
        <f>20</f>
        <v>20.0</v>
      </c>
    </row>
    <row r="26">
      <c r="A26" s="27" t="s">
        <v>42</v>
      </c>
      <c r="B26" s="27" t="s">
        <v>112</v>
      </c>
      <c r="C26" s="27" t="s">
        <v>113</v>
      </c>
      <c r="D26" s="27" t="s">
        <v>114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15220</f>
        <v>15220.0</v>
      </c>
      <c r="L26" s="34" t="s">
        <v>48</v>
      </c>
      <c r="M26" s="33" t="n">
        <f>15380</f>
        <v>15380.0</v>
      </c>
      <c r="N26" s="34" t="s">
        <v>79</v>
      </c>
      <c r="O26" s="33" t="n">
        <f>15220</f>
        <v>15220.0</v>
      </c>
      <c r="P26" s="34" t="s">
        <v>48</v>
      </c>
      <c r="Q26" s="33" t="n">
        <f>15380</f>
        <v>15380.0</v>
      </c>
      <c r="R26" s="34" t="s">
        <v>50</v>
      </c>
      <c r="S26" s="35" t="n">
        <f>15344.12</f>
        <v>15344.12</v>
      </c>
      <c r="T26" s="32" t="n">
        <f>285</f>
        <v>285.0</v>
      </c>
      <c r="U26" s="32" t="str">
        <f>"－"</f>
        <v>－</v>
      </c>
      <c r="V26" s="32" t="n">
        <f>4359710</f>
        <v>4359710.0</v>
      </c>
      <c r="W26" s="32" t="str">
        <f>"－"</f>
        <v>－</v>
      </c>
      <c r="X26" s="36" t="n">
        <f>17</f>
        <v>17.0</v>
      </c>
    </row>
    <row r="27">
      <c r="A27" s="27" t="s">
        <v>42</v>
      </c>
      <c r="B27" s="27" t="s">
        <v>115</v>
      </c>
      <c r="C27" s="27" t="s">
        <v>116</v>
      </c>
      <c r="D27" s="27" t="s">
        <v>117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588.3</f>
        <v>588.3</v>
      </c>
      <c r="L27" s="34" t="s">
        <v>48</v>
      </c>
      <c r="M27" s="33" t="n">
        <f>588.3</f>
        <v>588.3</v>
      </c>
      <c r="N27" s="34" t="s">
        <v>48</v>
      </c>
      <c r="O27" s="33" t="n">
        <f>533.6</f>
        <v>533.6</v>
      </c>
      <c r="P27" s="34" t="s">
        <v>49</v>
      </c>
      <c r="Q27" s="33" t="n">
        <f>576.5</f>
        <v>576.5</v>
      </c>
      <c r="R27" s="34" t="s">
        <v>50</v>
      </c>
      <c r="S27" s="35" t="n">
        <f>560.17</f>
        <v>560.17</v>
      </c>
      <c r="T27" s="32" t="n">
        <f>15006460</f>
        <v>1.500646E7</v>
      </c>
      <c r="U27" s="32" t="n">
        <f>350</f>
        <v>350.0</v>
      </c>
      <c r="V27" s="32" t="n">
        <f>8421451427</f>
        <v>8.421451427E9</v>
      </c>
      <c r="W27" s="32" t="n">
        <f>198526</f>
        <v>198526.0</v>
      </c>
      <c r="X27" s="36" t="n">
        <f>20</f>
        <v>20.0</v>
      </c>
    </row>
    <row r="28">
      <c r="A28" s="27" t="s">
        <v>42</v>
      </c>
      <c r="B28" s="27" t="s">
        <v>118</v>
      </c>
      <c r="C28" s="27" t="s">
        <v>119</v>
      </c>
      <c r="D28" s="27" t="s">
        <v>120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233</f>
        <v>233.0</v>
      </c>
      <c r="L28" s="34" t="s">
        <v>48</v>
      </c>
      <c r="M28" s="33" t="n">
        <f>241</f>
        <v>241.0</v>
      </c>
      <c r="N28" s="34" t="s">
        <v>69</v>
      </c>
      <c r="O28" s="33" t="n">
        <f>216</f>
        <v>216.0</v>
      </c>
      <c r="P28" s="34" t="s">
        <v>49</v>
      </c>
      <c r="Q28" s="33" t="n">
        <f>238</f>
        <v>238.0</v>
      </c>
      <c r="R28" s="34" t="s">
        <v>50</v>
      </c>
      <c r="S28" s="35" t="n">
        <f>228.85</f>
        <v>228.85</v>
      </c>
      <c r="T28" s="32" t="n">
        <f>1026503101</f>
        <v>1.026503101E9</v>
      </c>
      <c r="U28" s="32" t="n">
        <f>3723042</f>
        <v>3723042.0</v>
      </c>
      <c r="V28" s="32" t="n">
        <f>235203777702</f>
        <v>2.35203777702E11</v>
      </c>
      <c r="W28" s="32" t="n">
        <f>815477867</f>
        <v>8.15477867E8</v>
      </c>
      <c r="X28" s="36" t="n">
        <f>20</f>
        <v>20.0</v>
      </c>
    </row>
    <row r="29">
      <c r="A29" s="27" t="s">
        <v>42</v>
      </c>
      <c r="B29" s="27" t="s">
        <v>121</v>
      </c>
      <c r="C29" s="27" t="s">
        <v>122</v>
      </c>
      <c r="D29" s="27" t="s">
        <v>123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36820</f>
        <v>36820.0</v>
      </c>
      <c r="L29" s="34" t="s">
        <v>48</v>
      </c>
      <c r="M29" s="33" t="n">
        <f>39410</f>
        <v>39410.0</v>
      </c>
      <c r="N29" s="34" t="s">
        <v>49</v>
      </c>
      <c r="O29" s="33" t="n">
        <f>35360</f>
        <v>35360.0</v>
      </c>
      <c r="P29" s="34" t="s">
        <v>69</v>
      </c>
      <c r="Q29" s="33" t="n">
        <f>35790</f>
        <v>35790.0</v>
      </c>
      <c r="R29" s="34" t="s">
        <v>50</v>
      </c>
      <c r="S29" s="35" t="n">
        <f>37356.5</f>
        <v>37356.5</v>
      </c>
      <c r="T29" s="32" t="n">
        <f>256260</f>
        <v>256260.0</v>
      </c>
      <c r="U29" s="32" t="n">
        <f>12</f>
        <v>12.0</v>
      </c>
      <c r="V29" s="32" t="n">
        <f>9569062910</f>
        <v>9.56906291E9</v>
      </c>
      <c r="W29" s="32" t="n">
        <f>457690</f>
        <v>457690.0</v>
      </c>
      <c r="X29" s="36" t="n">
        <f>20</f>
        <v>20.0</v>
      </c>
    </row>
    <row r="30">
      <c r="A30" s="27" t="s">
        <v>42</v>
      </c>
      <c r="B30" s="27" t="s">
        <v>124</v>
      </c>
      <c r="C30" s="27" t="s">
        <v>125</v>
      </c>
      <c r="D30" s="27" t="s">
        <v>126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570</f>
        <v>570.0</v>
      </c>
      <c r="L30" s="34" t="s">
        <v>48</v>
      </c>
      <c r="M30" s="33" t="n">
        <f>588.5</f>
        <v>588.5</v>
      </c>
      <c r="N30" s="34" t="s">
        <v>69</v>
      </c>
      <c r="O30" s="33" t="n">
        <f>529.2</f>
        <v>529.2</v>
      </c>
      <c r="P30" s="34" t="s">
        <v>49</v>
      </c>
      <c r="Q30" s="33" t="n">
        <f>581.4</f>
        <v>581.4</v>
      </c>
      <c r="R30" s="34" t="s">
        <v>50</v>
      </c>
      <c r="S30" s="35" t="n">
        <f>559.25</f>
        <v>559.25</v>
      </c>
      <c r="T30" s="32" t="n">
        <f>277158070</f>
        <v>2.7715807E8</v>
      </c>
      <c r="U30" s="32" t="n">
        <f>712750</f>
        <v>712750.0</v>
      </c>
      <c r="V30" s="32" t="n">
        <f>154871666491</f>
        <v>1.54871666491E11</v>
      </c>
      <c r="W30" s="32" t="n">
        <f>403327030</f>
        <v>4.0332703E8</v>
      </c>
      <c r="X30" s="36" t="n">
        <f>20</f>
        <v>20.0</v>
      </c>
    </row>
    <row r="31">
      <c r="A31" s="27" t="s">
        <v>42</v>
      </c>
      <c r="B31" s="27" t="s">
        <v>127</v>
      </c>
      <c r="C31" s="27" t="s">
        <v>128</v>
      </c>
      <c r="D31" s="27" t="s">
        <v>129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21470</f>
        <v>21470.0</v>
      </c>
      <c r="L31" s="34" t="s">
        <v>48</v>
      </c>
      <c r="M31" s="33" t="n">
        <f>22410</f>
        <v>22410.0</v>
      </c>
      <c r="N31" s="34" t="s">
        <v>49</v>
      </c>
      <c r="O31" s="33" t="n">
        <f>21440</f>
        <v>21440.0</v>
      </c>
      <c r="P31" s="34" t="s">
        <v>50</v>
      </c>
      <c r="Q31" s="33" t="n">
        <f>21510</f>
        <v>21510.0</v>
      </c>
      <c r="R31" s="34" t="s">
        <v>50</v>
      </c>
      <c r="S31" s="35" t="n">
        <f>21890.25</f>
        <v>21890.25</v>
      </c>
      <c r="T31" s="32" t="n">
        <f>11627</f>
        <v>11627.0</v>
      </c>
      <c r="U31" s="32" t="n">
        <f>1</f>
        <v>1.0</v>
      </c>
      <c r="V31" s="32" t="n">
        <f>256988885</f>
        <v>2.56988885E8</v>
      </c>
      <c r="W31" s="32" t="n">
        <f>21945</f>
        <v>21945.0</v>
      </c>
      <c r="X31" s="36" t="n">
        <f>20</f>
        <v>20.0</v>
      </c>
    </row>
    <row r="32">
      <c r="A32" s="27" t="s">
        <v>42</v>
      </c>
      <c r="B32" s="27" t="s">
        <v>130</v>
      </c>
      <c r="C32" s="27" t="s">
        <v>131</v>
      </c>
      <c r="D32" s="27" t="s">
        <v>132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30600</f>
        <v>30600.0</v>
      </c>
      <c r="L32" s="34" t="s">
        <v>48</v>
      </c>
      <c r="M32" s="33" t="n">
        <f>32770</f>
        <v>32770.0</v>
      </c>
      <c r="N32" s="34" t="s">
        <v>49</v>
      </c>
      <c r="O32" s="33" t="n">
        <f>29395</f>
        <v>29395.0</v>
      </c>
      <c r="P32" s="34" t="s">
        <v>69</v>
      </c>
      <c r="Q32" s="33" t="n">
        <f>29770</f>
        <v>29770.0</v>
      </c>
      <c r="R32" s="34" t="s">
        <v>50</v>
      </c>
      <c r="S32" s="35" t="n">
        <f>31063.25</f>
        <v>31063.25</v>
      </c>
      <c r="T32" s="32" t="n">
        <f>523412</f>
        <v>523412.0</v>
      </c>
      <c r="U32" s="32" t="str">
        <f>"－"</f>
        <v>－</v>
      </c>
      <c r="V32" s="32" t="n">
        <f>16200323170</f>
        <v>1.620032317E10</v>
      </c>
      <c r="W32" s="32" t="str">
        <f>"－"</f>
        <v>－</v>
      </c>
      <c r="X32" s="36" t="n">
        <f>20</f>
        <v>20.0</v>
      </c>
    </row>
    <row r="33">
      <c r="A33" s="27" t="s">
        <v>42</v>
      </c>
      <c r="B33" s="27" t="s">
        <v>133</v>
      </c>
      <c r="C33" s="27" t="s">
        <v>134</v>
      </c>
      <c r="D33" s="27" t="s">
        <v>135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606</f>
        <v>606.0</v>
      </c>
      <c r="L33" s="34" t="s">
        <v>48</v>
      </c>
      <c r="M33" s="33" t="n">
        <f>627</f>
        <v>627.0</v>
      </c>
      <c r="N33" s="34" t="s">
        <v>69</v>
      </c>
      <c r="O33" s="33" t="n">
        <f>563</f>
        <v>563.0</v>
      </c>
      <c r="P33" s="34" t="s">
        <v>49</v>
      </c>
      <c r="Q33" s="33" t="n">
        <f>620</f>
        <v>620.0</v>
      </c>
      <c r="R33" s="34" t="s">
        <v>50</v>
      </c>
      <c r="S33" s="35" t="n">
        <f>595.6</f>
        <v>595.6</v>
      </c>
      <c r="T33" s="32" t="n">
        <f>28279213</f>
        <v>2.8279213E7</v>
      </c>
      <c r="U33" s="32" t="str">
        <f>"－"</f>
        <v>－</v>
      </c>
      <c r="V33" s="32" t="n">
        <f>16927444432</f>
        <v>1.6927444432E10</v>
      </c>
      <c r="W33" s="32" t="str">
        <f>"－"</f>
        <v>－</v>
      </c>
      <c r="X33" s="36" t="n">
        <f>20</f>
        <v>20.0</v>
      </c>
    </row>
    <row r="34">
      <c r="A34" s="27" t="s">
        <v>42</v>
      </c>
      <c r="B34" s="27" t="s">
        <v>136</v>
      </c>
      <c r="C34" s="27" t="s">
        <v>137</v>
      </c>
      <c r="D34" s="27" t="s">
        <v>138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27140</f>
        <v>27140.0</v>
      </c>
      <c r="L34" s="34" t="s">
        <v>48</v>
      </c>
      <c r="M34" s="33" t="n">
        <f>29765</f>
        <v>29765.0</v>
      </c>
      <c r="N34" s="34" t="s">
        <v>49</v>
      </c>
      <c r="O34" s="33" t="n">
        <f>27140</f>
        <v>27140.0</v>
      </c>
      <c r="P34" s="34" t="s">
        <v>48</v>
      </c>
      <c r="Q34" s="33" t="n">
        <f>27470</f>
        <v>27470.0</v>
      </c>
      <c r="R34" s="34" t="s">
        <v>50</v>
      </c>
      <c r="S34" s="35" t="n">
        <f>28394.75</f>
        <v>28394.75</v>
      </c>
      <c r="T34" s="32" t="n">
        <f>367692</f>
        <v>367692.0</v>
      </c>
      <c r="U34" s="32" t="str">
        <f>"－"</f>
        <v>－</v>
      </c>
      <c r="V34" s="32" t="n">
        <f>10417431385</f>
        <v>1.0417431385E10</v>
      </c>
      <c r="W34" s="32" t="str">
        <f>"－"</f>
        <v>－</v>
      </c>
      <c r="X34" s="36" t="n">
        <f>20</f>
        <v>20.0</v>
      </c>
    </row>
    <row r="35">
      <c r="A35" s="27" t="s">
        <v>42</v>
      </c>
      <c r="B35" s="27" t="s">
        <v>139</v>
      </c>
      <c r="C35" s="27" t="s">
        <v>140</v>
      </c>
      <c r="D35" s="27" t="s">
        <v>141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855</f>
        <v>855.0</v>
      </c>
      <c r="L35" s="34" t="s">
        <v>48</v>
      </c>
      <c r="M35" s="33" t="n">
        <f>855</f>
        <v>855.0</v>
      </c>
      <c r="N35" s="34" t="s">
        <v>48</v>
      </c>
      <c r="O35" s="33" t="n">
        <f>775</f>
        <v>775.0</v>
      </c>
      <c r="P35" s="34" t="s">
        <v>49</v>
      </c>
      <c r="Q35" s="33" t="n">
        <f>838</f>
        <v>838.0</v>
      </c>
      <c r="R35" s="34" t="s">
        <v>50</v>
      </c>
      <c r="S35" s="35" t="n">
        <f>813</f>
        <v>813.0</v>
      </c>
      <c r="T35" s="32" t="n">
        <f>1268721</f>
        <v>1268721.0</v>
      </c>
      <c r="U35" s="32" t="str">
        <f>"－"</f>
        <v>－</v>
      </c>
      <c r="V35" s="32" t="n">
        <f>1031314168</f>
        <v>1.031314168E9</v>
      </c>
      <c r="W35" s="32" t="str">
        <f>"－"</f>
        <v>－</v>
      </c>
      <c r="X35" s="36" t="n">
        <f>20</f>
        <v>20.0</v>
      </c>
    </row>
    <row r="36">
      <c r="A36" s="27" t="s">
        <v>42</v>
      </c>
      <c r="B36" s="27" t="s">
        <v>142</v>
      </c>
      <c r="C36" s="27" t="s">
        <v>143</v>
      </c>
      <c r="D36" s="27" t="s">
        <v>144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32540</f>
        <v>32540.0</v>
      </c>
      <c r="L36" s="34" t="s">
        <v>48</v>
      </c>
      <c r="M36" s="33" t="n">
        <f>33670</f>
        <v>33670.0</v>
      </c>
      <c r="N36" s="34" t="s">
        <v>49</v>
      </c>
      <c r="O36" s="33" t="n">
        <f>31940</f>
        <v>31940.0</v>
      </c>
      <c r="P36" s="34" t="s">
        <v>69</v>
      </c>
      <c r="Q36" s="33" t="n">
        <f>32110</f>
        <v>32110.0</v>
      </c>
      <c r="R36" s="34" t="s">
        <v>50</v>
      </c>
      <c r="S36" s="35" t="n">
        <f>32796</f>
        <v>32796.0</v>
      </c>
      <c r="T36" s="32" t="n">
        <f>57470</f>
        <v>57470.0</v>
      </c>
      <c r="U36" s="32" t="n">
        <f>4252</f>
        <v>4252.0</v>
      </c>
      <c r="V36" s="32" t="n">
        <f>1875562026</f>
        <v>1.875562026E9</v>
      </c>
      <c r="W36" s="32" t="n">
        <f>138899156</f>
        <v>1.38899156E8</v>
      </c>
      <c r="X36" s="36" t="n">
        <f>20</f>
        <v>20.0</v>
      </c>
    </row>
    <row r="37">
      <c r="A37" s="27" t="s">
        <v>42</v>
      </c>
      <c r="B37" s="27" t="s">
        <v>145</v>
      </c>
      <c r="C37" s="27" t="s">
        <v>146</v>
      </c>
      <c r="D37" s="27" t="s">
        <v>147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32880</f>
        <v>32880.0</v>
      </c>
      <c r="L37" s="34" t="s">
        <v>48</v>
      </c>
      <c r="M37" s="33" t="n">
        <f>34000</f>
        <v>34000.0</v>
      </c>
      <c r="N37" s="34" t="s">
        <v>49</v>
      </c>
      <c r="O37" s="33" t="n">
        <f>32250</f>
        <v>32250.0</v>
      </c>
      <c r="P37" s="34" t="s">
        <v>69</v>
      </c>
      <c r="Q37" s="33" t="n">
        <f>32420</f>
        <v>32420.0</v>
      </c>
      <c r="R37" s="34" t="s">
        <v>50</v>
      </c>
      <c r="S37" s="35" t="n">
        <f>33096.5</f>
        <v>33096.5</v>
      </c>
      <c r="T37" s="32" t="n">
        <f>211076</f>
        <v>211076.0</v>
      </c>
      <c r="U37" s="32" t="n">
        <f>86077</f>
        <v>86077.0</v>
      </c>
      <c r="V37" s="32" t="n">
        <f>7006624679</f>
        <v>7.006624679E9</v>
      </c>
      <c r="W37" s="32" t="n">
        <f>2863097859</f>
        <v>2.863097859E9</v>
      </c>
      <c r="X37" s="36" t="n">
        <f>20</f>
        <v>20.0</v>
      </c>
    </row>
    <row r="38">
      <c r="A38" s="27" t="s">
        <v>42</v>
      </c>
      <c r="B38" s="27" t="s">
        <v>148</v>
      </c>
      <c r="C38" s="27" t="s">
        <v>149</v>
      </c>
      <c r="D38" s="27" t="s">
        <v>150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1944</f>
        <v>1944.0</v>
      </c>
      <c r="L38" s="34" t="s">
        <v>48</v>
      </c>
      <c r="M38" s="33" t="n">
        <f>1987</f>
        <v>1987.0</v>
      </c>
      <c r="N38" s="34" t="s">
        <v>60</v>
      </c>
      <c r="O38" s="33" t="n">
        <f>1880.5</f>
        <v>1880.5</v>
      </c>
      <c r="P38" s="34" t="s">
        <v>69</v>
      </c>
      <c r="Q38" s="33" t="n">
        <f>1901.5</f>
        <v>1901.5</v>
      </c>
      <c r="R38" s="34" t="s">
        <v>50</v>
      </c>
      <c r="S38" s="35" t="n">
        <f>1925.58</f>
        <v>1925.58</v>
      </c>
      <c r="T38" s="32" t="n">
        <f>1561300</f>
        <v>1561300.0</v>
      </c>
      <c r="U38" s="32" t="n">
        <f>562770</f>
        <v>562770.0</v>
      </c>
      <c r="V38" s="32" t="n">
        <f>3015410030</f>
        <v>3.01541003E9</v>
      </c>
      <c r="W38" s="32" t="n">
        <f>1092307920</f>
        <v>1.09230792E9</v>
      </c>
      <c r="X38" s="36" t="n">
        <f>20</f>
        <v>20.0</v>
      </c>
    </row>
    <row r="39">
      <c r="A39" s="27" t="s">
        <v>42</v>
      </c>
      <c r="B39" s="27" t="s">
        <v>151</v>
      </c>
      <c r="C39" s="27" t="s">
        <v>152</v>
      </c>
      <c r="D39" s="27" t="s">
        <v>153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10.0</v>
      </c>
      <c r="K39" s="33" t="n">
        <f>1927</f>
        <v>1927.0</v>
      </c>
      <c r="L39" s="34" t="s">
        <v>48</v>
      </c>
      <c r="M39" s="33" t="n">
        <f>2042</f>
        <v>2042.0</v>
      </c>
      <c r="N39" s="34" t="s">
        <v>67</v>
      </c>
      <c r="O39" s="33" t="n">
        <f>1927</f>
        <v>1927.0</v>
      </c>
      <c r="P39" s="34" t="s">
        <v>48</v>
      </c>
      <c r="Q39" s="33" t="n">
        <f>1975</f>
        <v>1975.0</v>
      </c>
      <c r="R39" s="34" t="s">
        <v>50</v>
      </c>
      <c r="S39" s="35" t="n">
        <f>1993.48</f>
        <v>1993.48</v>
      </c>
      <c r="T39" s="32" t="n">
        <f>22540</f>
        <v>22540.0</v>
      </c>
      <c r="U39" s="32" t="n">
        <f>40</f>
        <v>40.0</v>
      </c>
      <c r="V39" s="32" t="n">
        <f>45239610</f>
        <v>4.523961E7</v>
      </c>
      <c r="W39" s="32" t="n">
        <f>79635</f>
        <v>79635.0</v>
      </c>
      <c r="X39" s="36" t="n">
        <f>20</f>
        <v>20.0</v>
      </c>
    </row>
    <row r="40">
      <c r="A40" s="27" t="s">
        <v>42</v>
      </c>
      <c r="B40" s="27" t="s">
        <v>154</v>
      </c>
      <c r="C40" s="27" t="s">
        <v>155</v>
      </c>
      <c r="D40" s="27" t="s">
        <v>156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3350</f>
        <v>3350.0</v>
      </c>
      <c r="L40" s="34" t="s">
        <v>48</v>
      </c>
      <c r="M40" s="33" t="n">
        <f>3405</f>
        <v>3405.0</v>
      </c>
      <c r="N40" s="34" t="s">
        <v>69</v>
      </c>
      <c r="O40" s="33" t="n">
        <f>3230</f>
        <v>3230.0</v>
      </c>
      <c r="P40" s="34" t="s">
        <v>49</v>
      </c>
      <c r="Q40" s="33" t="n">
        <f>3385</f>
        <v>3385.0</v>
      </c>
      <c r="R40" s="34" t="s">
        <v>50</v>
      </c>
      <c r="S40" s="35" t="n">
        <f>3322</f>
        <v>3322.0</v>
      </c>
      <c r="T40" s="32" t="n">
        <f>1190121</f>
        <v>1190121.0</v>
      </c>
      <c r="U40" s="32" t="n">
        <f>464000</f>
        <v>464000.0</v>
      </c>
      <c r="V40" s="32" t="n">
        <f>3972965375</f>
        <v>3.972965375E9</v>
      </c>
      <c r="W40" s="32" t="n">
        <f>1543021800</f>
        <v>1.5430218E9</v>
      </c>
      <c r="X40" s="36" t="n">
        <f>20</f>
        <v>20.0</v>
      </c>
    </row>
    <row r="41">
      <c r="A41" s="27" t="s">
        <v>42</v>
      </c>
      <c r="B41" s="27" t="s">
        <v>157</v>
      </c>
      <c r="C41" s="27" t="s">
        <v>158</v>
      </c>
      <c r="D41" s="27" t="s">
        <v>159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3895</f>
        <v>3895.0</v>
      </c>
      <c r="L41" s="34" t="s">
        <v>48</v>
      </c>
      <c r="M41" s="33" t="n">
        <f>3895</f>
        <v>3895.0</v>
      </c>
      <c r="N41" s="34" t="s">
        <v>48</v>
      </c>
      <c r="O41" s="33" t="n">
        <f>3710</f>
        <v>3710.0</v>
      </c>
      <c r="P41" s="34" t="s">
        <v>49</v>
      </c>
      <c r="Q41" s="33" t="n">
        <f>3855</f>
        <v>3855.0</v>
      </c>
      <c r="R41" s="34" t="s">
        <v>50</v>
      </c>
      <c r="S41" s="35" t="n">
        <f>3800.25</f>
        <v>3800.25</v>
      </c>
      <c r="T41" s="32" t="n">
        <f>172037</f>
        <v>172037.0</v>
      </c>
      <c r="U41" s="32" t="n">
        <f>2695</f>
        <v>2695.0</v>
      </c>
      <c r="V41" s="32" t="n">
        <f>653003799</f>
        <v>6.53003799E8</v>
      </c>
      <c r="W41" s="32" t="n">
        <f>10346644</f>
        <v>1.0346644E7</v>
      </c>
      <c r="X41" s="36" t="n">
        <f>20</f>
        <v>20.0</v>
      </c>
    </row>
    <row r="42">
      <c r="A42" s="27" t="s">
        <v>42</v>
      </c>
      <c r="B42" s="27" t="s">
        <v>160</v>
      </c>
      <c r="C42" s="27" t="s">
        <v>161</v>
      </c>
      <c r="D42" s="27" t="s">
        <v>162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23310</f>
        <v>23310.0</v>
      </c>
      <c r="L42" s="34" t="s">
        <v>48</v>
      </c>
      <c r="M42" s="33" t="n">
        <f>24990</f>
        <v>24990.0</v>
      </c>
      <c r="N42" s="34" t="s">
        <v>49</v>
      </c>
      <c r="O42" s="33" t="n">
        <f>22405</f>
        <v>22405.0</v>
      </c>
      <c r="P42" s="34" t="s">
        <v>69</v>
      </c>
      <c r="Q42" s="33" t="n">
        <f>22690</f>
        <v>22690.0</v>
      </c>
      <c r="R42" s="34" t="s">
        <v>50</v>
      </c>
      <c r="S42" s="35" t="n">
        <f>23683.5</f>
        <v>23683.5</v>
      </c>
      <c r="T42" s="32" t="n">
        <f>6285121</f>
        <v>6285121.0</v>
      </c>
      <c r="U42" s="32" t="n">
        <f>17217</f>
        <v>17217.0</v>
      </c>
      <c r="V42" s="32" t="n">
        <f>148687374025</f>
        <v>1.48687374025E11</v>
      </c>
      <c r="W42" s="32" t="n">
        <f>398553400</f>
        <v>3.985534E8</v>
      </c>
      <c r="X42" s="36" t="n">
        <f>20</f>
        <v>20.0</v>
      </c>
    </row>
    <row r="43">
      <c r="A43" s="27" t="s">
        <v>42</v>
      </c>
      <c r="B43" s="27" t="s">
        <v>163</v>
      </c>
      <c r="C43" s="27" t="s">
        <v>164</v>
      </c>
      <c r="D43" s="27" t="s">
        <v>165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939</f>
        <v>939.0</v>
      </c>
      <c r="L43" s="34" t="s">
        <v>48</v>
      </c>
      <c r="M43" s="33" t="n">
        <f>970</f>
        <v>970.0</v>
      </c>
      <c r="N43" s="34" t="s">
        <v>69</v>
      </c>
      <c r="O43" s="33" t="n">
        <f>871</f>
        <v>871.0</v>
      </c>
      <c r="P43" s="34" t="s">
        <v>49</v>
      </c>
      <c r="Q43" s="33" t="n">
        <f>959</f>
        <v>959.0</v>
      </c>
      <c r="R43" s="34" t="s">
        <v>50</v>
      </c>
      <c r="S43" s="35" t="n">
        <f>921.35</f>
        <v>921.35</v>
      </c>
      <c r="T43" s="32" t="n">
        <f>184371237</f>
        <v>1.84371237E8</v>
      </c>
      <c r="U43" s="32" t="n">
        <f>4438400</f>
        <v>4438400.0</v>
      </c>
      <c r="V43" s="32" t="n">
        <f>170207136083</f>
        <v>1.70207136083E11</v>
      </c>
      <c r="W43" s="32" t="n">
        <f>4070997690</f>
        <v>4.07099769E9</v>
      </c>
      <c r="X43" s="36" t="n">
        <f>20</f>
        <v>20.0</v>
      </c>
    </row>
    <row r="44">
      <c r="A44" s="27" t="s">
        <v>42</v>
      </c>
      <c r="B44" s="27" t="s">
        <v>166</v>
      </c>
      <c r="C44" s="27" t="s">
        <v>167</v>
      </c>
      <c r="D44" s="27" t="s">
        <v>168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21900</f>
        <v>21900.0</v>
      </c>
      <c r="L44" s="34" t="s">
        <v>48</v>
      </c>
      <c r="M44" s="33" t="n">
        <f>23680</f>
        <v>23680.0</v>
      </c>
      <c r="N44" s="34" t="s">
        <v>49</v>
      </c>
      <c r="O44" s="33" t="n">
        <f>21615</f>
        <v>21615.0</v>
      </c>
      <c r="P44" s="34" t="s">
        <v>50</v>
      </c>
      <c r="Q44" s="33" t="n">
        <f>21615</f>
        <v>21615.0</v>
      </c>
      <c r="R44" s="34" t="s">
        <v>50</v>
      </c>
      <c r="S44" s="35" t="n">
        <f>22576</f>
        <v>22576.0</v>
      </c>
      <c r="T44" s="32" t="n">
        <f>3093</f>
        <v>3093.0</v>
      </c>
      <c r="U44" s="32" t="str">
        <f>"－"</f>
        <v>－</v>
      </c>
      <c r="V44" s="32" t="n">
        <f>69879270</f>
        <v>6.987927E7</v>
      </c>
      <c r="W44" s="32" t="str">
        <f>"－"</f>
        <v>－</v>
      </c>
      <c r="X44" s="36" t="n">
        <f>20</f>
        <v>20.0</v>
      </c>
    </row>
    <row r="45">
      <c r="A45" s="27" t="s">
        <v>42</v>
      </c>
      <c r="B45" s="27" t="s">
        <v>169</v>
      </c>
      <c r="C45" s="27" t="s">
        <v>170</v>
      </c>
      <c r="D45" s="27" t="s">
        <v>171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3735</f>
        <v>3735.0</v>
      </c>
      <c r="L45" s="34" t="s">
        <v>79</v>
      </c>
      <c r="M45" s="33" t="n">
        <f>3740</f>
        <v>3740.0</v>
      </c>
      <c r="N45" s="34" t="s">
        <v>79</v>
      </c>
      <c r="O45" s="33" t="n">
        <f>3635</f>
        <v>3635.0</v>
      </c>
      <c r="P45" s="34" t="s">
        <v>49</v>
      </c>
      <c r="Q45" s="33" t="n">
        <f>3680</f>
        <v>3680.0</v>
      </c>
      <c r="R45" s="34" t="s">
        <v>69</v>
      </c>
      <c r="S45" s="35" t="n">
        <f>3685</f>
        <v>3685.0</v>
      </c>
      <c r="T45" s="32" t="n">
        <f>434</f>
        <v>434.0</v>
      </c>
      <c r="U45" s="32" t="str">
        <f>"－"</f>
        <v>－</v>
      </c>
      <c r="V45" s="32" t="n">
        <f>1604030</f>
        <v>1604030.0</v>
      </c>
      <c r="W45" s="32" t="str">
        <f>"－"</f>
        <v>－</v>
      </c>
      <c r="X45" s="36" t="n">
        <f>12</f>
        <v>12.0</v>
      </c>
    </row>
    <row r="46">
      <c r="A46" s="27" t="s">
        <v>42</v>
      </c>
      <c r="B46" s="27" t="s">
        <v>172</v>
      </c>
      <c r="C46" s="27" t="s">
        <v>173</v>
      </c>
      <c r="D46" s="27" t="s">
        <v>174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1096</f>
        <v>1096.0</v>
      </c>
      <c r="L46" s="34" t="s">
        <v>48</v>
      </c>
      <c r="M46" s="33" t="n">
        <f>1102</f>
        <v>1102.0</v>
      </c>
      <c r="N46" s="34" t="s">
        <v>79</v>
      </c>
      <c r="O46" s="33" t="n">
        <f>1001</f>
        <v>1001.0</v>
      </c>
      <c r="P46" s="34" t="s">
        <v>49</v>
      </c>
      <c r="Q46" s="33" t="n">
        <f>1083</f>
        <v>1083.0</v>
      </c>
      <c r="R46" s="34" t="s">
        <v>50</v>
      </c>
      <c r="S46" s="35" t="n">
        <f>1049.95</f>
        <v>1049.95</v>
      </c>
      <c r="T46" s="32" t="n">
        <f>18707</f>
        <v>18707.0</v>
      </c>
      <c r="U46" s="32" t="str">
        <f>"－"</f>
        <v>－</v>
      </c>
      <c r="V46" s="32" t="n">
        <f>19692952</f>
        <v>1.9692952E7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175</v>
      </c>
      <c r="C47" s="27" t="s">
        <v>176</v>
      </c>
      <c r="D47" s="27" t="s">
        <v>177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10.0</v>
      </c>
      <c r="K47" s="33" t="n">
        <f>1077.5</f>
        <v>1077.5</v>
      </c>
      <c r="L47" s="34" t="s">
        <v>48</v>
      </c>
      <c r="M47" s="33" t="n">
        <f>1077.5</f>
        <v>1077.5</v>
      </c>
      <c r="N47" s="34" t="s">
        <v>48</v>
      </c>
      <c r="O47" s="33" t="n">
        <f>982</f>
        <v>982.0</v>
      </c>
      <c r="P47" s="34" t="s">
        <v>67</v>
      </c>
      <c r="Q47" s="33" t="n">
        <f>1049</f>
        <v>1049.0</v>
      </c>
      <c r="R47" s="34" t="s">
        <v>50</v>
      </c>
      <c r="S47" s="35" t="n">
        <f>1027.85</f>
        <v>1027.85</v>
      </c>
      <c r="T47" s="32" t="n">
        <f>101120</f>
        <v>101120.0</v>
      </c>
      <c r="U47" s="32" t="str">
        <f>"－"</f>
        <v>－</v>
      </c>
      <c r="V47" s="32" t="n">
        <f>104848818</f>
        <v>1.04848818E8</v>
      </c>
      <c r="W47" s="32" t="str">
        <f>"－"</f>
        <v>－</v>
      </c>
      <c r="X47" s="36" t="n">
        <f>20</f>
        <v>20.0</v>
      </c>
    </row>
    <row r="48">
      <c r="A48" s="27" t="s">
        <v>42</v>
      </c>
      <c r="B48" s="27" t="s">
        <v>178</v>
      </c>
      <c r="C48" s="27" t="s">
        <v>179</v>
      </c>
      <c r="D48" s="27" t="s">
        <v>180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436</f>
        <v>436.0</v>
      </c>
      <c r="L48" s="34" t="s">
        <v>48</v>
      </c>
      <c r="M48" s="33" t="n">
        <f>444</f>
        <v>444.0</v>
      </c>
      <c r="N48" s="34" t="s">
        <v>48</v>
      </c>
      <c r="O48" s="33" t="n">
        <f>397</f>
        <v>397.0</v>
      </c>
      <c r="P48" s="34" t="s">
        <v>67</v>
      </c>
      <c r="Q48" s="33" t="n">
        <f>428</f>
        <v>428.0</v>
      </c>
      <c r="R48" s="34" t="s">
        <v>50</v>
      </c>
      <c r="S48" s="35" t="n">
        <f>420.5</f>
        <v>420.5</v>
      </c>
      <c r="T48" s="32" t="n">
        <f>72684</f>
        <v>72684.0</v>
      </c>
      <c r="U48" s="32" t="str">
        <f>"－"</f>
        <v>－</v>
      </c>
      <c r="V48" s="32" t="n">
        <f>30660798</f>
        <v>3.0660798E7</v>
      </c>
      <c r="W48" s="32" t="str">
        <f>"－"</f>
        <v>－</v>
      </c>
      <c r="X48" s="36" t="n">
        <f>20</f>
        <v>20.0</v>
      </c>
    </row>
    <row r="49">
      <c r="A49" s="27" t="s">
        <v>42</v>
      </c>
      <c r="B49" s="27" t="s">
        <v>181</v>
      </c>
      <c r="C49" s="27" t="s">
        <v>182</v>
      </c>
      <c r="D49" s="27" t="s">
        <v>183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10.0</v>
      </c>
      <c r="K49" s="33" t="n">
        <f>2360.5</f>
        <v>2360.5</v>
      </c>
      <c r="L49" s="34" t="s">
        <v>48</v>
      </c>
      <c r="M49" s="33" t="n">
        <f>2470.5</f>
        <v>2470.5</v>
      </c>
      <c r="N49" s="34" t="s">
        <v>49</v>
      </c>
      <c r="O49" s="33" t="n">
        <f>2360.5</f>
        <v>2360.5</v>
      </c>
      <c r="P49" s="34" t="s">
        <v>48</v>
      </c>
      <c r="Q49" s="33" t="n">
        <f>2377.5</f>
        <v>2377.5</v>
      </c>
      <c r="R49" s="34" t="s">
        <v>50</v>
      </c>
      <c r="S49" s="35" t="n">
        <f>2414.73</f>
        <v>2414.73</v>
      </c>
      <c r="T49" s="32" t="n">
        <f>2048540</f>
        <v>2048540.0</v>
      </c>
      <c r="U49" s="32" t="n">
        <f>1510000</f>
        <v>1510000.0</v>
      </c>
      <c r="V49" s="32" t="n">
        <f>4915634750</f>
        <v>4.91563475E9</v>
      </c>
      <c r="W49" s="32" t="n">
        <f>3616368000</f>
        <v>3.616368E9</v>
      </c>
      <c r="X49" s="36" t="n">
        <f>20</f>
        <v>20.0</v>
      </c>
    </row>
    <row r="50">
      <c r="A50" s="27" t="s">
        <v>42</v>
      </c>
      <c r="B50" s="27" t="s">
        <v>184</v>
      </c>
      <c r="C50" s="27" t="s">
        <v>185</v>
      </c>
      <c r="D50" s="27" t="s">
        <v>186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21325</f>
        <v>21325.0</v>
      </c>
      <c r="L50" s="34" t="s">
        <v>48</v>
      </c>
      <c r="M50" s="33" t="n">
        <f>22100</f>
        <v>22100.0</v>
      </c>
      <c r="N50" s="34" t="s">
        <v>49</v>
      </c>
      <c r="O50" s="33" t="n">
        <f>21260</f>
        <v>21260.0</v>
      </c>
      <c r="P50" s="34" t="s">
        <v>50</v>
      </c>
      <c r="Q50" s="33" t="n">
        <f>21260</f>
        <v>21260.0</v>
      </c>
      <c r="R50" s="34" t="s">
        <v>50</v>
      </c>
      <c r="S50" s="35" t="n">
        <f>21658.75</f>
        <v>21658.75</v>
      </c>
      <c r="T50" s="32" t="n">
        <f>25871</f>
        <v>25871.0</v>
      </c>
      <c r="U50" s="32" t="n">
        <f>11900</f>
        <v>11900.0</v>
      </c>
      <c r="V50" s="32" t="n">
        <f>557436980</f>
        <v>5.5743698E8</v>
      </c>
      <c r="W50" s="32" t="n">
        <f>257075700</f>
        <v>2.570757E8</v>
      </c>
      <c r="X50" s="36" t="n">
        <f>20</f>
        <v>20.0</v>
      </c>
    </row>
    <row r="51">
      <c r="A51" s="27" t="s">
        <v>42</v>
      </c>
      <c r="B51" s="27" t="s">
        <v>187</v>
      </c>
      <c r="C51" s="27" t="s">
        <v>188</v>
      </c>
      <c r="D51" s="27" t="s">
        <v>189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2383</f>
        <v>2383.0</v>
      </c>
      <c r="L51" s="34" t="s">
        <v>48</v>
      </c>
      <c r="M51" s="33" t="n">
        <f>2495</f>
        <v>2495.0</v>
      </c>
      <c r="N51" s="34" t="s">
        <v>49</v>
      </c>
      <c r="O51" s="33" t="n">
        <f>2383</f>
        <v>2383.0</v>
      </c>
      <c r="P51" s="34" t="s">
        <v>48</v>
      </c>
      <c r="Q51" s="33" t="n">
        <f>2401</f>
        <v>2401.0</v>
      </c>
      <c r="R51" s="34" t="s">
        <v>50</v>
      </c>
      <c r="S51" s="35" t="n">
        <f>2438.05</f>
        <v>2438.05</v>
      </c>
      <c r="T51" s="32" t="n">
        <f>9942101</f>
        <v>9942101.0</v>
      </c>
      <c r="U51" s="32" t="n">
        <f>5879325</f>
        <v>5879325.0</v>
      </c>
      <c r="V51" s="32" t="n">
        <f>24219695917</f>
        <v>2.4219695917E10</v>
      </c>
      <c r="W51" s="32" t="n">
        <f>14328982356</f>
        <v>1.4328982356E10</v>
      </c>
      <c r="X51" s="36" t="n">
        <f>20</f>
        <v>20.0</v>
      </c>
    </row>
    <row r="52">
      <c r="A52" s="27" t="s">
        <v>42</v>
      </c>
      <c r="B52" s="27" t="s">
        <v>190</v>
      </c>
      <c r="C52" s="27" t="s">
        <v>191</v>
      </c>
      <c r="D52" s="27" t="s">
        <v>192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1950</f>
        <v>1950.0</v>
      </c>
      <c r="L52" s="34" t="s">
        <v>48</v>
      </c>
      <c r="M52" s="33" t="n">
        <f>1986</f>
        <v>1986.0</v>
      </c>
      <c r="N52" s="34" t="s">
        <v>60</v>
      </c>
      <c r="O52" s="33" t="n">
        <f>1902</f>
        <v>1902.0</v>
      </c>
      <c r="P52" s="34" t="s">
        <v>69</v>
      </c>
      <c r="Q52" s="33" t="n">
        <f>1922</f>
        <v>1922.0</v>
      </c>
      <c r="R52" s="34" t="s">
        <v>50</v>
      </c>
      <c r="S52" s="35" t="n">
        <f>1944.55</f>
        <v>1944.55</v>
      </c>
      <c r="T52" s="32" t="n">
        <f>5323450</f>
        <v>5323450.0</v>
      </c>
      <c r="U52" s="32" t="n">
        <f>2084009</f>
        <v>2084009.0</v>
      </c>
      <c r="V52" s="32" t="n">
        <f>10405502953</f>
        <v>1.0405502953E10</v>
      </c>
      <c r="W52" s="32" t="n">
        <f>4079627282</f>
        <v>4.079627282E9</v>
      </c>
      <c r="X52" s="36" t="n">
        <f>20</f>
        <v>20.0</v>
      </c>
    </row>
    <row r="53">
      <c r="A53" s="27" t="s">
        <v>42</v>
      </c>
      <c r="B53" s="27" t="s">
        <v>193</v>
      </c>
      <c r="C53" s="27" t="s">
        <v>194</v>
      </c>
      <c r="D53" s="27" t="s">
        <v>195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2232</f>
        <v>2232.0</v>
      </c>
      <c r="L53" s="34" t="s">
        <v>48</v>
      </c>
      <c r="M53" s="33" t="n">
        <f>2350</f>
        <v>2350.0</v>
      </c>
      <c r="N53" s="34" t="s">
        <v>67</v>
      </c>
      <c r="O53" s="33" t="n">
        <f>2232</f>
        <v>2232.0</v>
      </c>
      <c r="P53" s="34" t="s">
        <v>48</v>
      </c>
      <c r="Q53" s="33" t="n">
        <f>2261</f>
        <v>2261.0</v>
      </c>
      <c r="R53" s="34" t="s">
        <v>50</v>
      </c>
      <c r="S53" s="35" t="n">
        <f>2291.6</f>
        <v>2291.6</v>
      </c>
      <c r="T53" s="32" t="n">
        <f>51949</f>
        <v>51949.0</v>
      </c>
      <c r="U53" s="32" t="n">
        <f>34675</f>
        <v>34675.0</v>
      </c>
      <c r="V53" s="32" t="n">
        <f>117657644</f>
        <v>1.17657644E8</v>
      </c>
      <c r="W53" s="32" t="n">
        <f>78542235</f>
        <v>7.8542235E7</v>
      </c>
      <c r="X53" s="36" t="n">
        <f>20</f>
        <v>20.0</v>
      </c>
    </row>
    <row r="54">
      <c r="A54" s="27" t="s">
        <v>42</v>
      </c>
      <c r="B54" s="27" t="s">
        <v>196</v>
      </c>
      <c r="C54" s="27" t="s">
        <v>197</v>
      </c>
      <c r="D54" s="27" t="s">
        <v>198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2977</f>
        <v>2977.0</v>
      </c>
      <c r="L54" s="34" t="s">
        <v>48</v>
      </c>
      <c r="M54" s="33" t="n">
        <f>3215</f>
        <v>3215.0</v>
      </c>
      <c r="N54" s="34" t="s">
        <v>67</v>
      </c>
      <c r="O54" s="33" t="n">
        <f>2977</f>
        <v>2977.0</v>
      </c>
      <c r="P54" s="34" t="s">
        <v>48</v>
      </c>
      <c r="Q54" s="33" t="n">
        <f>3090</f>
        <v>3090.0</v>
      </c>
      <c r="R54" s="34" t="s">
        <v>50</v>
      </c>
      <c r="S54" s="35" t="n">
        <f>3112.5</f>
        <v>3112.5</v>
      </c>
      <c r="T54" s="32" t="n">
        <f>1270781</f>
        <v>1270781.0</v>
      </c>
      <c r="U54" s="32" t="n">
        <f>519203</f>
        <v>519203.0</v>
      </c>
      <c r="V54" s="32" t="n">
        <f>3951590530</f>
        <v>3.95159053E9</v>
      </c>
      <c r="W54" s="32" t="n">
        <f>1612907985</f>
        <v>1.612907985E9</v>
      </c>
      <c r="X54" s="36" t="n">
        <f>20</f>
        <v>20.0</v>
      </c>
    </row>
    <row r="55">
      <c r="A55" s="27" t="s">
        <v>42</v>
      </c>
      <c r="B55" s="27" t="s">
        <v>199</v>
      </c>
      <c r="C55" s="27" t="s">
        <v>200</v>
      </c>
      <c r="D55" s="27" t="s">
        <v>201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29120</f>
        <v>29120.0</v>
      </c>
      <c r="L55" s="34" t="s">
        <v>79</v>
      </c>
      <c r="M55" s="33" t="n">
        <f>29735</f>
        <v>29735.0</v>
      </c>
      <c r="N55" s="34" t="s">
        <v>49</v>
      </c>
      <c r="O55" s="33" t="n">
        <f>29120</f>
        <v>29120.0</v>
      </c>
      <c r="P55" s="34" t="s">
        <v>79</v>
      </c>
      <c r="Q55" s="33" t="n">
        <f>29390</f>
        <v>29390.0</v>
      </c>
      <c r="R55" s="34" t="s">
        <v>90</v>
      </c>
      <c r="S55" s="35" t="n">
        <f>29353.75</f>
        <v>29353.75</v>
      </c>
      <c r="T55" s="32" t="n">
        <f>21</f>
        <v>21.0</v>
      </c>
      <c r="U55" s="32" t="str">
        <f>"－"</f>
        <v>－</v>
      </c>
      <c r="V55" s="32" t="n">
        <f>616775</f>
        <v>616775.0</v>
      </c>
      <c r="W55" s="32" t="str">
        <f>"－"</f>
        <v>－</v>
      </c>
      <c r="X55" s="36" t="n">
        <f>4</f>
        <v>4.0</v>
      </c>
    </row>
    <row r="56">
      <c r="A56" s="27" t="s">
        <v>42</v>
      </c>
      <c r="B56" s="27" t="s">
        <v>202</v>
      </c>
      <c r="C56" s="27" t="s">
        <v>203</v>
      </c>
      <c r="D56" s="27" t="s">
        <v>204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23555</f>
        <v>23555.0</v>
      </c>
      <c r="L56" s="34" t="s">
        <v>79</v>
      </c>
      <c r="M56" s="33" t="n">
        <f>24005</f>
        <v>24005.0</v>
      </c>
      <c r="N56" s="34" t="s">
        <v>49</v>
      </c>
      <c r="O56" s="33" t="n">
        <f>23225</f>
        <v>23225.0</v>
      </c>
      <c r="P56" s="34" t="s">
        <v>50</v>
      </c>
      <c r="Q56" s="33" t="n">
        <f>23225</f>
        <v>23225.0</v>
      </c>
      <c r="R56" s="34" t="s">
        <v>50</v>
      </c>
      <c r="S56" s="35" t="n">
        <f>23553.75</f>
        <v>23553.75</v>
      </c>
      <c r="T56" s="32" t="n">
        <f>64</f>
        <v>64.0</v>
      </c>
      <c r="U56" s="32" t="str">
        <f>"－"</f>
        <v>－</v>
      </c>
      <c r="V56" s="32" t="n">
        <f>1512910</f>
        <v>1512910.0</v>
      </c>
      <c r="W56" s="32" t="str">
        <f>"－"</f>
        <v>－</v>
      </c>
      <c r="X56" s="36" t="n">
        <f>8</f>
        <v>8.0</v>
      </c>
    </row>
    <row r="57">
      <c r="A57" s="27" t="s">
        <v>42</v>
      </c>
      <c r="B57" s="27" t="s">
        <v>205</v>
      </c>
      <c r="C57" s="27" t="s">
        <v>206</v>
      </c>
      <c r="D57" s="27" t="s">
        <v>207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2386</f>
        <v>2386.0</v>
      </c>
      <c r="L57" s="34" t="s">
        <v>48</v>
      </c>
      <c r="M57" s="33" t="n">
        <f>2497</f>
        <v>2497.0</v>
      </c>
      <c r="N57" s="34" t="s">
        <v>67</v>
      </c>
      <c r="O57" s="33" t="n">
        <f>2385</f>
        <v>2385.0</v>
      </c>
      <c r="P57" s="34" t="s">
        <v>79</v>
      </c>
      <c r="Q57" s="33" t="n">
        <f>2416</f>
        <v>2416.0</v>
      </c>
      <c r="R57" s="34" t="s">
        <v>50</v>
      </c>
      <c r="S57" s="35" t="n">
        <f>2434.53</f>
        <v>2434.53</v>
      </c>
      <c r="T57" s="32" t="n">
        <f>1784</f>
        <v>1784.0</v>
      </c>
      <c r="U57" s="32" t="str">
        <f>"－"</f>
        <v>－</v>
      </c>
      <c r="V57" s="32" t="n">
        <f>4366062</f>
        <v>4366062.0</v>
      </c>
      <c r="W57" s="32" t="str">
        <f>"－"</f>
        <v>－</v>
      </c>
      <c r="X57" s="36" t="n">
        <f>19</f>
        <v>19.0</v>
      </c>
    </row>
    <row r="58">
      <c r="A58" s="27" t="s">
        <v>42</v>
      </c>
      <c r="B58" s="27" t="s">
        <v>208</v>
      </c>
      <c r="C58" s="27" t="s">
        <v>209</v>
      </c>
      <c r="D58" s="27" t="s">
        <v>210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1809</f>
        <v>1809.0</v>
      </c>
      <c r="L58" s="34" t="s">
        <v>48</v>
      </c>
      <c r="M58" s="33" t="n">
        <f>1809</f>
        <v>1809.0</v>
      </c>
      <c r="N58" s="34" t="s">
        <v>48</v>
      </c>
      <c r="O58" s="33" t="n">
        <f>1736</f>
        <v>1736.0</v>
      </c>
      <c r="P58" s="34" t="s">
        <v>69</v>
      </c>
      <c r="Q58" s="33" t="n">
        <f>1744</f>
        <v>1744.0</v>
      </c>
      <c r="R58" s="34" t="s">
        <v>50</v>
      </c>
      <c r="S58" s="35" t="n">
        <f>1774.6</f>
        <v>1774.6</v>
      </c>
      <c r="T58" s="32" t="n">
        <f>3382191</f>
        <v>3382191.0</v>
      </c>
      <c r="U58" s="32" t="n">
        <f>2033918</f>
        <v>2033918.0</v>
      </c>
      <c r="V58" s="32" t="n">
        <f>6000874854</f>
        <v>6.000874854E9</v>
      </c>
      <c r="W58" s="32" t="n">
        <f>3614907989</f>
        <v>3.614907989E9</v>
      </c>
      <c r="X58" s="36" t="n">
        <f>20</f>
        <v>20.0</v>
      </c>
    </row>
    <row r="59">
      <c r="A59" s="27" t="s">
        <v>42</v>
      </c>
      <c r="B59" s="27" t="s">
        <v>211</v>
      </c>
      <c r="C59" s="27" t="s">
        <v>212</v>
      </c>
      <c r="D59" s="27" t="s">
        <v>213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2398</f>
        <v>2398.0</v>
      </c>
      <c r="L59" s="34" t="s">
        <v>48</v>
      </c>
      <c r="M59" s="33" t="n">
        <f>2486</f>
        <v>2486.0</v>
      </c>
      <c r="N59" s="34" t="s">
        <v>69</v>
      </c>
      <c r="O59" s="33" t="n">
        <f>2380</f>
        <v>2380.0</v>
      </c>
      <c r="P59" s="34" t="s">
        <v>48</v>
      </c>
      <c r="Q59" s="33" t="n">
        <f>2413</f>
        <v>2413.0</v>
      </c>
      <c r="R59" s="34" t="s">
        <v>50</v>
      </c>
      <c r="S59" s="35" t="n">
        <f>2421.95</f>
        <v>2421.95</v>
      </c>
      <c r="T59" s="32" t="n">
        <f>758</f>
        <v>758.0</v>
      </c>
      <c r="U59" s="32" t="str">
        <f>"－"</f>
        <v>－</v>
      </c>
      <c r="V59" s="32" t="n">
        <f>1833266</f>
        <v>1833266.0</v>
      </c>
      <c r="W59" s="32" t="str">
        <f>"－"</f>
        <v>－</v>
      </c>
      <c r="X59" s="36" t="n">
        <f>19</f>
        <v>19.0</v>
      </c>
    </row>
    <row r="60">
      <c r="A60" s="27" t="s">
        <v>42</v>
      </c>
      <c r="B60" s="27" t="s">
        <v>214</v>
      </c>
      <c r="C60" s="27" t="s">
        <v>215</v>
      </c>
      <c r="D60" s="27" t="s">
        <v>216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2357</f>
        <v>2357.0</v>
      </c>
      <c r="L60" s="34" t="s">
        <v>48</v>
      </c>
      <c r="M60" s="33" t="n">
        <f>2456</f>
        <v>2456.0</v>
      </c>
      <c r="N60" s="34" t="s">
        <v>67</v>
      </c>
      <c r="O60" s="33" t="n">
        <f>2357</f>
        <v>2357.0</v>
      </c>
      <c r="P60" s="34" t="s">
        <v>48</v>
      </c>
      <c r="Q60" s="33" t="n">
        <f>2376.5</f>
        <v>2376.5</v>
      </c>
      <c r="R60" s="34" t="s">
        <v>50</v>
      </c>
      <c r="S60" s="35" t="n">
        <f>2400.88</f>
        <v>2400.88</v>
      </c>
      <c r="T60" s="32" t="n">
        <f>164700</f>
        <v>164700.0</v>
      </c>
      <c r="U60" s="32" t="str">
        <f>"－"</f>
        <v>－</v>
      </c>
      <c r="V60" s="32" t="n">
        <f>395117210</f>
        <v>3.9511721E8</v>
      </c>
      <c r="W60" s="32" t="str">
        <f>"－"</f>
        <v>－</v>
      </c>
      <c r="X60" s="36" t="n">
        <f>20</f>
        <v>20.0</v>
      </c>
    </row>
    <row r="61">
      <c r="A61" s="27" t="s">
        <v>42</v>
      </c>
      <c r="B61" s="27" t="s">
        <v>217</v>
      </c>
      <c r="C61" s="27" t="s">
        <v>218</v>
      </c>
      <c r="D61" s="27" t="s">
        <v>219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35620</f>
        <v>35620.0</v>
      </c>
      <c r="L61" s="34" t="s">
        <v>48</v>
      </c>
      <c r="M61" s="33" t="n">
        <f>36320</f>
        <v>36320.0</v>
      </c>
      <c r="N61" s="34" t="s">
        <v>220</v>
      </c>
      <c r="O61" s="33" t="n">
        <f>34050</f>
        <v>34050.0</v>
      </c>
      <c r="P61" s="34" t="s">
        <v>221</v>
      </c>
      <c r="Q61" s="33" t="n">
        <f>34890</f>
        <v>34890.0</v>
      </c>
      <c r="R61" s="34" t="s">
        <v>50</v>
      </c>
      <c r="S61" s="35" t="n">
        <f>35085</f>
        <v>35085.0</v>
      </c>
      <c r="T61" s="32" t="n">
        <f>45</f>
        <v>45.0</v>
      </c>
      <c r="U61" s="32" t="str">
        <f>"－"</f>
        <v>－</v>
      </c>
      <c r="V61" s="32" t="n">
        <f>1575080</f>
        <v>1575080.0</v>
      </c>
      <c r="W61" s="32" t="str">
        <f>"－"</f>
        <v>－</v>
      </c>
      <c r="X61" s="36" t="n">
        <f>6</f>
        <v>6.0</v>
      </c>
    </row>
    <row r="62">
      <c r="A62" s="27" t="s">
        <v>42</v>
      </c>
      <c r="B62" s="27" t="s">
        <v>222</v>
      </c>
      <c r="C62" s="27" t="s">
        <v>223</v>
      </c>
      <c r="D62" s="27" t="s">
        <v>224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22765</f>
        <v>22765.0</v>
      </c>
      <c r="L62" s="34" t="s">
        <v>48</v>
      </c>
      <c r="M62" s="33" t="n">
        <f>22825</f>
        <v>22825.0</v>
      </c>
      <c r="N62" s="34" t="s">
        <v>60</v>
      </c>
      <c r="O62" s="33" t="n">
        <f>22430</f>
        <v>22430.0</v>
      </c>
      <c r="P62" s="34" t="s">
        <v>221</v>
      </c>
      <c r="Q62" s="33" t="n">
        <f>22565</f>
        <v>22565.0</v>
      </c>
      <c r="R62" s="34" t="s">
        <v>50</v>
      </c>
      <c r="S62" s="35" t="n">
        <f>22681</f>
        <v>22681.0</v>
      </c>
      <c r="T62" s="32" t="n">
        <f>41321</f>
        <v>41321.0</v>
      </c>
      <c r="U62" s="32" t="str">
        <f>"－"</f>
        <v>－</v>
      </c>
      <c r="V62" s="32" t="n">
        <f>938120145</f>
        <v>9.38120145E8</v>
      </c>
      <c r="W62" s="32" t="str">
        <f>"－"</f>
        <v>－</v>
      </c>
      <c r="X62" s="36" t="n">
        <f>20</f>
        <v>20.0</v>
      </c>
    </row>
    <row r="63">
      <c r="A63" s="27" t="s">
        <v>42</v>
      </c>
      <c r="B63" s="27" t="s">
        <v>225</v>
      </c>
      <c r="C63" s="27" t="s">
        <v>226</v>
      </c>
      <c r="D63" s="27" t="s">
        <v>227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13870</f>
        <v>13870.0</v>
      </c>
      <c r="L63" s="34" t="s">
        <v>48</v>
      </c>
      <c r="M63" s="33" t="n">
        <f>13870</f>
        <v>13870.0</v>
      </c>
      <c r="N63" s="34" t="s">
        <v>48</v>
      </c>
      <c r="O63" s="33" t="n">
        <f>13310</f>
        <v>13310.0</v>
      </c>
      <c r="P63" s="34" t="s">
        <v>69</v>
      </c>
      <c r="Q63" s="33" t="n">
        <f>13365</f>
        <v>13365.0</v>
      </c>
      <c r="R63" s="34" t="s">
        <v>50</v>
      </c>
      <c r="S63" s="35" t="n">
        <f>13604.75</f>
        <v>13604.75</v>
      </c>
      <c r="T63" s="32" t="n">
        <f>1341862</f>
        <v>1341862.0</v>
      </c>
      <c r="U63" s="32" t="n">
        <f>1261751</f>
        <v>1261751.0</v>
      </c>
      <c r="V63" s="32" t="n">
        <f>18191757389</f>
        <v>1.8191757389E10</v>
      </c>
      <c r="W63" s="32" t="n">
        <f>17104125499</f>
        <v>1.7104125499E10</v>
      </c>
      <c r="X63" s="36" t="n">
        <f>20</f>
        <v>20.0</v>
      </c>
    </row>
    <row r="64">
      <c r="A64" s="27" t="s">
        <v>42</v>
      </c>
      <c r="B64" s="27" t="s">
        <v>228</v>
      </c>
      <c r="C64" s="27" t="s">
        <v>229</v>
      </c>
      <c r="D64" s="27" t="s">
        <v>230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1941.5</f>
        <v>1941.5</v>
      </c>
      <c r="L64" s="34" t="s">
        <v>48</v>
      </c>
      <c r="M64" s="33" t="n">
        <f>1974.5</f>
        <v>1974.5</v>
      </c>
      <c r="N64" s="34" t="s">
        <v>60</v>
      </c>
      <c r="O64" s="33" t="n">
        <f>1892</f>
        <v>1892.0</v>
      </c>
      <c r="P64" s="34" t="s">
        <v>69</v>
      </c>
      <c r="Q64" s="33" t="n">
        <f>1914</f>
        <v>1914.0</v>
      </c>
      <c r="R64" s="34" t="s">
        <v>50</v>
      </c>
      <c r="S64" s="35" t="n">
        <f>1933.6</f>
        <v>1933.6</v>
      </c>
      <c r="T64" s="32" t="n">
        <f>1380710</f>
        <v>1380710.0</v>
      </c>
      <c r="U64" s="32" t="n">
        <f>560030</f>
        <v>560030.0</v>
      </c>
      <c r="V64" s="32" t="n">
        <f>2670442460</f>
        <v>2.67044246E9</v>
      </c>
      <c r="W64" s="32" t="n">
        <f>1074024940</f>
        <v>1.07402494E9</v>
      </c>
      <c r="X64" s="36" t="n">
        <f>20</f>
        <v>20.0</v>
      </c>
    </row>
    <row r="65">
      <c r="A65" s="27" t="s">
        <v>42</v>
      </c>
      <c r="B65" s="27" t="s">
        <v>231</v>
      </c>
      <c r="C65" s="27" t="s">
        <v>232</v>
      </c>
      <c r="D65" s="27" t="s">
        <v>233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55670</f>
        <v>55670.0</v>
      </c>
      <c r="L65" s="34" t="s">
        <v>48</v>
      </c>
      <c r="M65" s="33" t="n">
        <f>61630</f>
        <v>61630.0</v>
      </c>
      <c r="N65" s="34" t="s">
        <v>67</v>
      </c>
      <c r="O65" s="33" t="n">
        <f>55660</f>
        <v>55660.0</v>
      </c>
      <c r="P65" s="34" t="s">
        <v>48</v>
      </c>
      <c r="Q65" s="33" t="n">
        <f>60150</f>
        <v>60150.0</v>
      </c>
      <c r="R65" s="34" t="s">
        <v>50</v>
      </c>
      <c r="S65" s="35" t="n">
        <f>59314.5</f>
        <v>59314.5</v>
      </c>
      <c r="T65" s="32" t="n">
        <f>1256418</f>
        <v>1256418.0</v>
      </c>
      <c r="U65" s="32" t="n">
        <f>422335</f>
        <v>422335.0</v>
      </c>
      <c r="V65" s="32" t="n">
        <f>74856314118</f>
        <v>7.4856314118E10</v>
      </c>
      <c r="W65" s="32" t="n">
        <f>25362559578</f>
        <v>2.5362559578E10</v>
      </c>
      <c r="X65" s="36" t="n">
        <f>20</f>
        <v>20.0</v>
      </c>
    </row>
    <row r="66">
      <c r="A66" s="27" t="s">
        <v>42</v>
      </c>
      <c r="B66" s="27" t="s">
        <v>234</v>
      </c>
      <c r="C66" s="27" t="s">
        <v>235</v>
      </c>
      <c r="D66" s="27" t="s">
        <v>236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10.0</v>
      </c>
      <c r="K66" s="33" t="n">
        <f>7867</f>
        <v>7867.0</v>
      </c>
      <c r="L66" s="34" t="s">
        <v>48</v>
      </c>
      <c r="M66" s="33" t="n">
        <f>8047</f>
        <v>8047.0</v>
      </c>
      <c r="N66" s="34" t="s">
        <v>50</v>
      </c>
      <c r="O66" s="33" t="n">
        <f>7771</f>
        <v>7771.0</v>
      </c>
      <c r="P66" s="34" t="s">
        <v>48</v>
      </c>
      <c r="Q66" s="33" t="n">
        <f>8016</f>
        <v>8016.0</v>
      </c>
      <c r="R66" s="34" t="s">
        <v>50</v>
      </c>
      <c r="S66" s="35" t="n">
        <f>7849.71</f>
        <v>7849.71</v>
      </c>
      <c r="T66" s="32" t="n">
        <f>860</f>
        <v>860.0</v>
      </c>
      <c r="U66" s="32" t="str">
        <f>"－"</f>
        <v>－</v>
      </c>
      <c r="V66" s="32" t="n">
        <f>6742680</f>
        <v>6742680.0</v>
      </c>
      <c r="W66" s="32" t="str">
        <f>"－"</f>
        <v>－</v>
      </c>
      <c r="X66" s="36" t="n">
        <f>7</f>
        <v>7.0</v>
      </c>
    </row>
    <row r="67">
      <c r="A67" s="27" t="s">
        <v>42</v>
      </c>
      <c r="B67" s="27" t="s">
        <v>237</v>
      </c>
      <c r="C67" s="27" t="s">
        <v>238</v>
      </c>
      <c r="D67" s="27" t="s">
        <v>239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17195</f>
        <v>17195.0</v>
      </c>
      <c r="L67" s="34" t="s">
        <v>48</v>
      </c>
      <c r="M67" s="33" t="n">
        <f>17500</f>
        <v>17500.0</v>
      </c>
      <c r="N67" s="34" t="s">
        <v>60</v>
      </c>
      <c r="O67" s="33" t="n">
        <f>16965</f>
        <v>16965.0</v>
      </c>
      <c r="P67" s="34" t="s">
        <v>48</v>
      </c>
      <c r="Q67" s="33" t="n">
        <f>17395</f>
        <v>17395.0</v>
      </c>
      <c r="R67" s="34" t="s">
        <v>50</v>
      </c>
      <c r="S67" s="35" t="n">
        <f>17370.25</f>
        <v>17370.25</v>
      </c>
      <c r="T67" s="32" t="n">
        <f>491</f>
        <v>491.0</v>
      </c>
      <c r="U67" s="32" t="str">
        <f>"－"</f>
        <v>－</v>
      </c>
      <c r="V67" s="32" t="n">
        <f>8509360</f>
        <v>8509360.0</v>
      </c>
      <c r="W67" s="32" t="str">
        <f>"－"</f>
        <v>－</v>
      </c>
      <c r="X67" s="36" t="n">
        <f>20</f>
        <v>20.0</v>
      </c>
    </row>
    <row r="68">
      <c r="A68" s="27" t="s">
        <v>42</v>
      </c>
      <c r="B68" s="27" t="s">
        <v>240</v>
      </c>
      <c r="C68" s="27" t="s">
        <v>241</v>
      </c>
      <c r="D68" s="27" t="s">
        <v>242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16855</f>
        <v>16855.0</v>
      </c>
      <c r="L68" s="34" t="s">
        <v>48</v>
      </c>
      <c r="M68" s="33" t="n">
        <f>17255</f>
        <v>17255.0</v>
      </c>
      <c r="N68" s="34" t="s">
        <v>60</v>
      </c>
      <c r="O68" s="33" t="n">
        <f>16615</f>
        <v>16615.0</v>
      </c>
      <c r="P68" s="34" t="s">
        <v>221</v>
      </c>
      <c r="Q68" s="33" t="n">
        <f>16730</f>
        <v>16730.0</v>
      </c>
      <c r="R68" s="34" t="s">
        <v>50</v>
      </c>
      <c r="S68" s="35" t="n">
        <f>16968</f>
        <v>16968.0</v>
      </c>
      <c r="T68" s="32" t="n">
        <f>4080</f>
        <v>4080.0</v>
      </c>
      <c r="U68" s="32" t="str">
        <f>"－"</f>
        <v>－</v>
      </c>
      <c r="V68" s="32" t="n">
        <f>69539330</f>
        <v>6.953933E7</v>
      </c>
      <c r="W68" s="32" t="str">
        <f>"－"</f>
        <v>－</v>
      </c>
      <c r="X68" s="36" t="n">
        <f>20</f>
        <v>20.0</v>
      </c>
    </row>
    <row r="69">
      <c r="A69" s="27" t="s">
        <v>42</v>
      </c>
      <c r="B69" s="27" t="s">
        <v>243</v>
      </c>
      <c r="C69" s="27" t="s">
        <v>244</v>
      </c>
      <c r="D69" s="27" t="s">
        <v>245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26280</f>
        <v>26280.0</v>
      </c>
      <c r="L69" s="34" t="s">
        <v>48</v>
      </c>
      <c r="M69" s="33" t="n">
        <f>28315</f>
        <v>28315.0</v>
      </c>
      <c r="N69" s="34" t="s">
        <v>246</v>
      </c>
      <c r="O69" s="33" t="n">
        <f>26280</f>
        <v>26280.0</v>
      </c>
      <c r="P69" s="34" t="s">
        <v>48</v>
      </c>
      <c r="Q69" s="33" t="n">
        <f>26995</f>
        <v>26995.0</v>
      </c>
      <c r="R69" s="34" t="s">
        <v>50</v>
      </c>
      <c r="S69" s="35" t="n">
        <f>27311</f>
        <v>27311.0</v>
      </c>
      <c r="T69" s="32" t="n">
        <f>209344</f>
        <v>209344.0</v>
      </c>
      <c r="U69" s="32" t="n">
        <f>190302</f>
        <v>190302.0</v>
      </c>
      <c r="V69" s="32" t="n">
        <f>5641648760</f>
        <v>5.64164876E9</v>
      </c>
      <c r="W69" s="32" t="n">
        <f>5122756590</f>
        <v>5.12275659E9</v>
      </c>
      <c r="X69" s="36" t="n">
        <f>20</f>
        <v>20.0</v>
      </c>
    </row>
    <row r="70">
      <c r="A70" s="27" t="s">
        <v>42</v>
      </c>
      <c r="B70" s="27" t="s">
        <v>247</v>
      </c>
      <c r="C70" s="27" t="s">
        <v>248</v>
      </c>
      <c r="D70" s="27" t="s">
        <v>249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10.0</v>
      </c>
      <c r="K70" s="33" t="n">
        <f>10420</f>
        <v>10420.0</v>
      </c>
      <c r="L70" s="34" t="s">
        <v>48</v>
      </c>
      <c r="M70" s="33" t="n">
        <f>10625</f>
        <v>10625.0</v>
      </c>
      <c r="N70" s="34" t="s">
        <v>250</v>
      </c>
      <c r="O70" s="33" t="n">
        <f>10200</f>
        <v>10200.0</v>
      </c>
      <c r="P70" s="34" t="s">
        <v>69</v>
      </c>
      <c r="Q70" s="33" t="n">
        <f>10355</f>
        <v>10355.0</v>
      </c>
      <c r="R70" s="34" t="s">
        <v>50</v>
      </c>
      <c r="S70" s="35" t="n">
        <f>10404</f>
        <v>10404.0</v>
      </c>
      <c r="T70" s="32" t="n">
        <f>11720</f>
        <v>11720.0</v>
      </c>
      <c r="U70" s="32" t="str">
        <f>"－"</f>
        <v>－</v>
      </c>
      <c r="V70" s="32" t="n">
        <f>121690500</f>
        <v>1.216905E8</v>
      </c>
      <c r="W70" s="32" t="str">
        <f>"－"</f>
        <v>－</v>
      </c>
      <c r="X70" s="36" t="n">
        <f>20</f>
        <v>20.0</v>
      </c>
    </row>
    <row r="71">
      <c r="A71" s="27" t="s">
        <v>42</v>
      </c>
      <c r="B71" s="27" t="s">
        <v>251</v>
      </c>
      <c r="C71" s="27" t="s">
        <v>252</v>
      </c>
      <c r="D71" s="27" t="s">
        <v>253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1902</f>
        <v>1902.0</v>
      </c>
      <c r="L71" s="34" t="s">
        <v>48</v>
      </c>
      <c r="M71" s="33" t="n">
        <f>1903</f>
        <v>1903.0</v>
      </c>
      <c r="N71" s="34" t="s">
        <v>48</v>
      </c>
      <c r="O71" s="33" t="n">
        <f>1822</f>
        <v>1822.0</v>
      </c>
      <c r="P71" s="34" t="s">
        <v>69</v>
      </c>
      <c r="Q71" s="33" t="n">
        <f>1828</f>
        <v>1828.0</v>
      </c>
      <c r="R71" s="34" t="s">
        <v>50</v>
      </c>
      <c r="S71" s="35" t="n">
        <f>1865.2</f>
        <v>1865.2</v>
      </c>
      <c r="T71" s="32" t="n">
        <f>1177736</f>
        <v>1177736.0</v>
      </c>
      <c r="U71" s="32" t="n">
        <f>717150</f>
        <v>717150.0</v>
      </c>
      <c r="V71" s="32" t="n">
        <f>2199580327</f>
        <v>2.199580327E9</v>
      </c>
      <c r="W71" s="32" t="n">
        <f>1340392461</f>
        <v>1.340392461E9</v>
      </c>
      <c r="X71" s="36" t="n">
        <f>20</f>
        <v>20.0</v>
      </c>
    </row>
    <row r="72">
      <c r="A72" s="27" t="s">
        <v>42</v>
      </c>
      <c r="B72" s="27" t="s">
        <v>254</v>
      </c>
      <c r="C72" s="27" t="s">
        <v>255</v>
      </c>
      <c r="D72" s="27" t="s">
        <v>256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1896</f>
        <v>1896.0</v>
      </c>
      <c r="L72" s="34" t="s">
        <v>48</v>
      </c>
      <c r="M72" s="33" t="n">
        <f>1900</f>
        <v>1900.0</v>
      </c>
      <c r="N72" s="34" t="s">
        <v>257</v>
      </c>
      <c r="O72" s="33" t="n">
        <f>1852</f>
        <v>1852.0</v>
      </c>
      <c r="P72" s="34" t="s">
        <v>69</v>
      </c>
      <c r="Q72" s="33" t="n">
        <f>1859</f>
        <v>1859.0</v>
      </c>
      <c r="R72" s="34" t="s">
        <v>50</v>
      </c>
      <c r="S72" s="35" t="n">
        <f>1881.2</f>
        <v>1881.2</v>
      </c>
      <c r="T72" s="32" t="n">
        <f>642036</f>
        <v>642036.0</v>
      </c>
      <c r="U72" s="32" t="n">
        <f>97</f>
        <v>97.0</v>
      </c>
      <c r="V72" s="32" t="n">
        <f>1205064941</f>
        <v>1.205064941E9</v>
      </c>
      <c r="W72" s="32" t="n">
        <f>182908</f>
        <v>182908.0</v>
      </c>
      <c r="X72" s="36" t="n">
        <f>20</f>
        <v>20.0</v>
      </c>
    </row>
    <row r="73">
      <c r="A73" s="27" t="s">
        <v>42</v>
      </c>
      <c r="B73" s="27" t="s">
        <v>258</v>
      </c>
      <c r="C73" s="27" t="s">
        <v>259</v>
      </c>
      <c r="D73" s="27" t="s">
        <v>260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18050</f>
        <v>18050.0</v>
      </c>
      <c r="L73" s="34" t="s">
        <v>48</v>
      </c>
      <c r="M73" s="33" t="n">
        <f>19080</f>
        <v>19080.0</v>
      </c>
      <c r="N73" s="34" t="s">
        <v>67</v>
      </c>
      <c r="O73" s="33" t="n">
        <f>18050</f>
        <v>18050.0</v>
      </c>
      <c r="P73" s="34" t="s">
        <v>48</v>
      </c>
      <c r="Q73" s="33" t="n">
        <f>18225</f>
        <v>18225.0</v>
      </c>
      <c r="R73" s="34" t="s">
        <v>50</v>
      </c>
      <c r="S73" s="35" t="n">
        <f>18551</f>
        <v>18551.0</v>
      </c>
      <c r="T73" s="32" t="n">
        <f>13325</f>
        <v>13325.0</v>
      </c>
      <c r="U73" s="32" t="n">
        <f>6502</f>
        <v>6502.0</v>
      </c>
      <c r="V73" s="32" t="n">
        <f>246203955</f>
        <v>2.46203955E8</v>
      </c>
      <c r="W73" s="32" t="n">
        <f>120174300</f>
        <v>1.201743E8</v>
      </c>
      <c r="X73" s="36" t="n">
        <f>20</f>
        <v>20.0</v>
      </c>
    </row>
    <row r="74">
      <c r="A74" s="27" t="s">
        <v>42</v>
      </c>
      <c r="B74" s="27" t="s">
        <v>261</v>
      </c>
      <c r="C74" s="27" t="s">
        <v>262</v>
      </c>
      <c r="D74" s="27" t="s">
        <v>263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9298</f>
        <v>9298.0</v>
      </c>
      <c r="L74" s="34" t="s">
        <v>48</v>
      </c>
      <c r="M74" s="33" t="n">
        <f>9461</f>
        <v>9461.0</v>
      </c>
      <c r="N74" s="34" t="s">
        <v>69</v>
      </c>
      <c r="O74" s="33" t="n">
        <f>9104</f>
        <v>9104.0</v>
      </c>
      <c r="P74" s="34" t="s">
        <v>264</v>
      </c>
      <c r="Q74" s="33" t="n">
        <f>9366</f>
        <v>9366.0</v>
      </c>
      <c r="R74" s="34" t="s">
        <v>50</v>
      </c>
      <c r="S74" s="35" t="n">
        <f>9281.6</f>
        <v>9281.6</v>
      </c>
      <c r="T74" s="32" t="n">
        <f>6729</f>
        <v>6729.0</v>
      </c>
      <c r="U74" s="32" t="n">
        <f>2</f>
        <v>2.0</v>
      </c>
      <c r="V74" s="32" t="n">
        <f>62197860</f>
        <v>6.219786E7</v>
      </c>
      <c r="W74" s="32" t="n">
        <f>18704</f>
        <v>18704.0</v>
      </c>
      <c r="X74" s="36" t="n">
        <f>20</f>
        <v>20.0</v>
      </c>
    </row>
    <row r="75">
      <c r="A75" s="27" t="s">
        <v>42</v>
      </c>
      <c r="B75" s="27" t="s">
        <v>265</v>
      </c>
      <c r="C75" s="27" t="s">
        <v>266</v>
      </c>
      <c r="D75" s="27" t="s">
        <v>267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8602</f>
        <v>8602.0</v>
      </c>
      <c r="L75" s="34" t="s">
        <v>48</v>
      </c>
      <c r="M75" s="33" t="n">
        <f>8712</f>
        <v>8712.0</v>
      </c>
      <c r="N75" s="34" t="s">
        <v>90</v>
      </c>
      <c r="O75" s="33" t="n">
        <f>8479</f>
        <v>8479.0</v>
      </c>
      <c r="P75" s="34" t="s">
        <v>50</v>
      </c>
      <c r="Q75" s="33" t="n">
        <f>8488</f>
        <v>8488.0</v>
      </c>
      <c r="R75" s="34" t="s">
        <v>50</v>
      </c>
      <c r="S75" s="35" t="n">
        <f>8621.55</f>
        <v>8621.55</v>
      </c>
      <c r="T75" s="32" t="n">
        <f>1593246</f>
        <v>1593246.0</v>
      </c>
      <c r="U75" s="32" t="n">
        <f>26424</f>
        <v>26424.0</v>
      </c>
      <c r="V75" s="32" t="n">
        <f>13710225078</f>
        <v>1.3710225078E10</v>
      </c>
      <c r="W75" s="32" t="n">
        <f>228011172</f>
        <v>2.28011172E8</v>
      </c>
      <c r="X75" s="36" t="n">
        <f>20</f>
        <v>20.0</v>
      </c>
    </row>
    <row r="76">
      <c r="A76" s="27" t="s">
        <v>42</v>
      </c>
      <c r="B76" s="27" t="s">
        <v>268</v>
      </c>
      <c r="C76" s="27" t="s">
        <v>269</v>
      </c>
      <c r="D76" s="27" t="s">
        <v>270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4140</f>
        <v>4140.0</v>
      </c>
      <c r="L76" s="34" t="s">
        <v>48</v>
      </c>
      <c r="M76" s="33" t="n">
        <f>4145</f>
        <v>4145.0</v>
      </c>
      <c r="N76" s="34" t="s">
        <v>48</v>
      </c>
      <c r="O76" s="33" t="n">
        <f>3930</f>
        <v>3930.0</v>
      </c>
      <c r="P76" s="34" t="s">
        <v>220</v>
      </c>
      <c r="Q76" s="33" t="n">
        <f>4070</f>
        <v>4070.0</v>
      </c>
      <c r="R76" s="34" t="s">
        <v>50</v>
      </c>
      <c r="S76" s="35" t="n">
        <f>4048.5</f>
        <v>4048.5</v>
      </c>
      <c r="T76" s="32" t="n">
        <f>476011</f>
        <v>476011.0</v>
      </c>
      <c r="U76" s="32" t="n">
        <f>23</f>
        <v>23.0</v>
      </c>
      <c r="V76" s="32" t="n">
        <f>1924745630</f>
        <v>1.92474563E9</v>
      </c>
      <c r="W76" s="32" t="n">
        <f>94620</f>
        <v>94620.0</v>
      </c>
      <c r="X76" s="36" t="n">
        <f>20</f>
        <v>20.0</v>
      </c>
    </row>
    <row r="77">
      <c r="A77" s="27" t="s">
        <v>42</v>
      </c>
      <c r="B77" s="27" t="s">
        <v>271</v>
      </c>
      <c r="C77" s="27" t="s">
        <v>272</v>
      </c>
      <c r="D77" s="27" t="s">
        <v>273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10150</f>
        <v>10150.0</v>
      </c>
      <c r="L77" s="34" t="s">
        <v>48</v>
      </c>
      <c r="M77" s="33" t="n">
        <f>10185</f>
        <v>10185.0</v>
      </c>
      <c r="N77" s="34" t="s">
        <v>48</v>
      </c>
      <c r="O77" s="33" t="n">
        <f>9651</f>
        <v>9651.0</v>
      </c>
      <c r="P77" s="34" t="s">
        <v>69</v>
      </c>
      <c r="Q77" s="33" t="n">
        <f>9855</f>
        <v>9855.0</v>
      </c>
      <c r="R77" s="34" t="s">
        <v>50</v>
      </c>
      <c r="S77" s="35" t="n">
        <f>9914.8</f>
        <v>9914.8</v>
      </c>
      <c r="T77" s="32" t="n">
        <f>113388</f>
        <v>113388.0</v>
      </c>
      <c r="U77" s="32" t="str">
        <f>"－"</f>
        <v>－</v>
      </c>
      <c r="V77" s="32" t="n">
        <f>1120318569</f>
        <v>1.120318569E9</v>
      </c>
      <c r="W77" s="32" t="str">
        <f>"－"</f>
        <v>－</v>
      </c>
      <c r="X77" s="36" t="n">
        <f>20</f>
        <v>20.0</v>
      </c>
    </row>
    <row r="78">
      <c r="A78" s="27" t="s">
        <v>42</v>
      </c>
      <c r="B78" s="27" t="s">
        <v>274</v>
      </c>
      <c r="C78" s="27" t="s">
        <v>275</v>
      </c>
      <c r="D78" s="27" t="s">
        <v>276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52860</f>
        <v>52860.0</v>
      </c>
      <c r="L78" s="34" t="s">
        <v>48</v>
      </c>
      <c r="M78" s="33" t="n">
        <f>55770</f>
        <v>55770.0</v>
      </c>
      <c r="N78" s="34" t="s">
        <v>50</v>
      </c>
      <c r="O78" s="33" t="n">
        <f>51860</f>
        <v>51860.0</v>
      </c>
      <c r="P78" s="34" t="s">
        <v>220</v>
      </c>
      <c r="Q78" s="33" t="n">
        <f>55500</f>
        <v>55500.0</v>
      </c>
      <c r="R78" s="34" t="s">
        <v>50</v>
      </c>
      <c r="S78" s="35" t="n">
        <f>53671.5</f>
        <v>53671.5</v>
      </c>
      <c r="T78" s="32" t="n">
        <f>5617</f>
        <v>5617.0</v>
      </c>
      <c r="U78" s="32" t="str">
        <f>"－"</f>
        <v>－</v>
      </c>
      <c r="V78" s="32" t="n">
        <f>303154410</f>
        <v>3.0315441E8</v>
      </c>
      <c r="W78" s="32" t="str">
        <f>"－"</f>
        <v>－</v>
      </c>
      <c r="X78" s="36" t="n">
        <f>20</f>
        <v>20.0</v>
      </c>
    </row>
    <row r="79">
      <c r="A79" s="27" t="s">
        <v>42</v>
      </c>
      <c r="B79" s="27" t="s">
        <v>277</v>
      </c>
      <c r="C79" s="27" t="s">
        <v>278</v>
      </c>
      <c r="D79" s="27" t="s">
        <v>279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22820</f>
        <v>22820.0</v>
      </c>
      <c r="L79" s="34" t="s">
        <v>48</v>
      </c>
      <c r="M79" s="33" t="n">
        <f>23185</f>
        <v>23185.0</v>
      </c>
      <c r="N79" s="34" t="s">
        <v>49</v>
      </c>
      <c r="O79" s="33" t="n">
        <f>21915</f>
        <v>21915.0</v>
      </c>
      <c r="P79" s="34" t="s">
        <v>221</v>
      </c>
      <c r="Q79" s="33" t="n">
        <f>22235</f>
        <v>22235.0</v>
      </c>
      <c r="R79" s="34" t="s">
        <v>50</v>
      </c>
      <c r="S79" s="35" t="n">
        <f>22627.75</f>
        <v>22627.75</v>
      </c>
      <c r="T79" s="32" t="n">
        <f>970083</f>
        <v>970083.0</v>
      </c>
      <c r="U79" s="32" t="n">
        <f>8224</f>
        <v>8224.0</v>
      </c>
      <c r="V79" s="32" t="n">
        <f>21901325537</f>
        <v>2.1901325537E10</v>
      </c>
      <c r="W79" s="32" t="n">
        <f>180398507</f>
        <v>1.80398507E8</v>
      </c>
      <c r="X79" s="36" t="n">
        <f>20</f>
        <v>20.0</v>
      </c>
    </row>
    <row r="80">
      <c r="A80" s="27" t="s">
        <v>42</v>
      </c>
      <c r="B80" s="27" t="s">
        <v>280</v>
      </c>
      <c r="C80" s="27" t="s">
        <v>281</v>
      </c>
      <c r="D80" s="27" t="s">
        <v>282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49240</f>
        <v>49240.0</v>
      </c>
      <c r="L80" s="34" t="s">
        <v>48</v>
      </c>
      <c r="M80" s="33" t="n">
        <f>50200</f>
        <v>50200.0</v>
      </c>
      <c r="N80" s="34" t="s">
        <v>49</v>
      </c>
      <c r="O80" s="33" t="n">
        <f>48630</f>
        <v>48630.0</v>
      </c>
      <c r="P80" s="34" t="s">
        <v>69</v>
      </c>
      <c r="Q80" s="33" t="n">
        <f>48820</f>
        <v>48820.0</v>
      </c>
      <c r="R80" s="34" t="s">
        <v>50</v>
      </c>
      <c r="S80" s="35" t="n">
        <f>49331.5</f>
        <v>49331.5</v>
      </c>
      <c r="T80" s="32" t="n">
        <f>87590</f>
        <v>87590.0</v>
      </c>
      <c r="U80" s="32" t="n">
        <f>19600</f>
        <v>19600.0</v>
      </c>
      <c r="V80" s="32" t="n">
        <f>4327928600</f>
        <v>4.3279286E9</v>
      </c>
      <c r="W80" s="32" t="n">
        <f>972163920</f>
        <v>9.7216392E8</v>
      </c>
      <c r="X80" s="36" t="n">
        <f>20</f>
        <v>20.0</v>
      </c>
    </row>
    <row r="81">
      <c r="A81" s="27" t="s">
        <v>42</v>
      </c>
      <c r="B81" s="27" t="s">
        <v>283</v>
      </c>
      <c r="C81" s="27" t="s">
        <v>284</v>
      </c>
      <c r="D81" s="27" t="s">
        <v>285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7171</f>
        <v>7171.0</v>
      </c>
      <c r="L81" s="34" t="s">
        <v>48</v>
      </c>
      <c r="M81" s="33" t="n">
        <f>7289</f>
        <v>7289.0</v>
      </c>
      <c r="N81" s="34" t="s">
        <v>49</v>
      </c>
      <c r="O81" s="33" t="n">
        <f>6968</f>
        <v>6968.0</v>
      </c>
      <c r="P81" s="34" t="s">
        <v>250</v>
      </c>
      <c r="Q81" s="33" t="n">
        <f>7018</f>
        <v>7018.0</v>
      </c>
      <c r="R81" s="34" t="s">
        <v>50</v>
      </c>
      <c r="S81" s="35" t="n">
        <f>7138.7</f>
        <v>7138.7</v>
      </c>
      <c r="T81" s="32" t="n">
        <f>929380</f>
        <v>929380.0</v>
      </c>
      <c r="U81" s="32" t="n">
        <f>69600</f>
        <v>69600.0</v>
      </c>
      <c r="V81" s="32" t="n">
        <f>6634681950</f>
        <v>6.63468195E9</v>
      </c>
      <c r="W81" s="32" t="n">
        <f>496070500</f>
        <v>4.960705E8</v>
      </c>
      <c r="X81" s="36" t="n">
        <f>20</f>
        <v>20.0</v>
      </c>
    </row>
    <row r="82">
      <c r="A82" s="27" t="s">
        <v>42</v>
      </c>
      <c r="B82" s="27" t="s">
        <v>286</v>
      </c>
      <c r="C82" s="27" t="s">
        <v>287</v>
      </c>
      <c r="D82" s="27" t="s">
        <v>288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4503</f>
        <v>4503.0</v>
      </c>
      <c r="L82" s="34" t="s">
        <v>48</v>
      </c>
      <c r="M82" s="33" t="n">
        <f>4575</f>
        <v>4575.0</v>
      </c>
      <c r="N82" s="34" t="s">
        <v>49</v>
      </c>
      <c r="O82" s="33" t="n">
        <f>4400</f>
        <v>4400.0</v>
      </c>
      <c r="P82" s="34" t="s">
        <v>69</v>
      </c>
      <c r="Q82" s="33" t="n">
        <f>4433</f>
        <v>4433.0</v>
      </c>
      <c r="R82" s="34" t="s">
        <v>50</v>
      </c>
      <c r="S82" s="35" t="n">
        <f>4496.55</f>
        <v>4496.55</v>
      </c>
      <c r="T82" s="32" t="n">
        <f>93470</f>
        <v>93470.0</v>
      </c>
      <c r="U82" s="32" t="str">
        <f>"－"</f>
        <v>－</v>
      </c>
      <c r="V82" s="32" t="n">
        <f>418965690</f>
        <v>4.1896569E8</v>
      </c>
      <c r="W82" s="32" t="str">
        <f>"－"</f>
        <v>－</v>
      </c>
      <c r="X82" s="36" t="n">
        <f>20</f>
        <v>20.0</v>
      </c>
    </row>
    <row r="83">
      <c r="A83" s="27" t="s">
        <v>42</v>
      </c>
      <c r="B83" s="27" t="s">
        <v>289</v>
      </c>
      <c r="C83" s="27" t="s">
        <v>290</v>
      </c>
      <c r="D83" s="27" t="s">
        <v>291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10.0</v>
      </c>
      <c r="K83" s="33" t="n">
        <f>4588</f>
        <v>4588.0</v>
      </c>
      <c r="L83" s="34" t="s">
        <v>48</v>
      </c>
      <c r="M83" s="33" t="n">
        <f>4633</f>
        <v>4633.0</v>
      </c>
      <c r="N83" s="34" t="s">
        <v>79</v>
      </c>
      <c r="O83" s="33" t="n">
        <f>4437</f>
        <v>4437.0</v>
      </c>
      <c r="P83" s="34" t="s">
        <v>221</v>
      </c>
      <c r="Q83" s="33" t="n">
        <f>4500</f>
        <v>4500.0</v>
      </c>
      <c r="R83" s="34" t="s">
        <v>69</v>
      </c>
      <c r="S83" s="35" t="n">
        <f>4565.2</f>
        <v>4565.2</v>
      </c>
      <c r="T83" s="32" t="n">
        <f>1600</f>
        <v>1600.0</v>
      </c>
      <c r="U83" s="32" t="str">
        <f>"－"</f>
        <v>－</v>
      </c>
      <c r="V83" s="32" t="n">
        <f>7285160</f>
        <v>7285160.0</v>
      </c>
      <c r="W83" s="32" t="str">
        <f>"－"</f>
        <v>－</v>
      </c>
      <c r="X83" s="36" t="n">
        <f>15</f>
        <v>15.0</v>
      </c>
    </row>
    <row r="84">
      <c r="A84" s="27" t="s">
        <v>42</v>
      </c>
      <c r="B84" s="27" t="s">
        <v>292</v>
      </c>
      <c r="C84" s="27" t="s">
        <v>293</v>
      </c>
      <c r="D84" s="27" t="s">
        <v>294</v>
      </c>
      <c r="E84" s="28" t="s">
        <v>46</v>
      </c>
      <c r="F84" s="29" t="s">
        <v>46</v>
      </c>
      <c r="G84" s="30" t="s">
        <v>46</v>
      </c>
      <c r="H84" s="31" t="s">
        <v>295</v>
      </c>
      <c r="I84" s="31" t="s">
        <v>47</v>
      </c>
      <c r="J84" s="32" t="n">
        <v>1.0</v>
      </c>
      <c r="K84" s="33" t="n">
        <f>619</f>
        <v>619.0</v>
      </c>
      <c r="L84" s="34" t="s">
        <v>48</v>
      </c>
      <c r="M84" s="33" t="n">
        <f>726</f>
        <v>726.0</v>
      </c>
      <c r="N84" s="34" t="s">
        <v>250</v>
      </c>
      <c r="O84" s="33" t="n">
        <f>577</f>
        <v>577.0</v>
      </c>
      <c r="P84" s="34" t="s">
        <v>49</v>
      </c>
      <c r="Q84" s="33" t="n">
        <f>669</f>
        <v>669.0</v>
      </c>
      <c r="R84" s="34" t="s">
        <v>50</v>
      </c>
      <c r="S84" s="35" t="n">
        <f>633.75</f>
        <v>633.75</v>
      </c>
      <c r="T84" s="32" t="n">
        <f>39259807</f>
        <v>3.9259807E7</v>
      </c>
      <c r="U84" s="32" t="n">
        <f>127202</f>
        <v>127202.0</v>
      </c>
      <c r="V84" s="32" t="n">
        <f>25283822027</f>
        <v>2.5283822027E10</v>
      </c>
      <c r="W84" s="32" t="n">
        <f>84719179</f>
        <v>8.4719179E7</v>
      </c>
      <c r="X84" s="36" t="n">
        <f>20</f>
        <v>20.0</v>
      </c>
    </row>
    <row r="85">
      <c r="A85" s="27" t="s">
        <v>42</v>
      </c>
      <c r="B85" s="27" t="s">
        <v>296</v>
      </c>
      <c r="C85" s="27" t="s">
        <v>297</v>
      </c>
      <c r="D85" s="27" t="s">
        <v>298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10.0</v>
      </c>
      <c r="K85" s="33" t="n">
        <f>3768</f>
        <v>3768.0</v>
      </c>
      <c r="L85" s="34" t="s">
        <v>48</v>
      </c>
      <c r="M85" s="33" t="n">
        <f>3822</f>
        <v>3822.0</v>
      </c>
      <c r="N85" s="34" t="s">
        <v>49</v>
      </c>
      <c r="O85" s="33" t="n">
        <f>3671</f>
        <v>3671.0</v>
      </c>
      <c r="P85" s="34" t="s">
        <v>250</v>
      </c>
      <c r="Q85" s="33" t="n">
        <f>3706</f>
        <v>3706.0</v>
      </c>
      <c r="R85" s="34" t="s">
        <v>50</v>
      </c>
      <c r="S85" s="35" t="n">
        <f>3756.15</f>
        <v>3756.15</v>
      </c>
      <c r="T85" s="32" t="n">
        <f>113130</f>
        <v>113130.0</v>
      </c>
      <c r="U85" s="32" t="str">
        <f>"－"</f>
        <v>－</v>
      </c>
      <c r="V85" s="32" t="n">
        <f>425403290</f>
        <v>4.2540329E8</v>
      </c>
      <c r="W85" s="32" t="str">
        <f>"－"</f>
        <v>－</v>
      </c>
      <c r="X85" s="36" t="n">
        <f>20</f>
        <v>20.0</v>
      </c>
    </row>
    <row r="86">
      <c r="A86" s="27" t="s">
        <v>42</v>
      </c>
      <c r="B86" s="27" t="s">
        <v>299</v>
      </c>
      <c r="C86" s="27" t="s">
        <v>300</v>
      </c>
      <c r="D86" s="27" t="s">
        <v>301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1787</f>
        <v>1787.0</v>
      </c>
      <c r="L86" s="34" t="s">
        <v>48</v>
      </c>
      <c r="M86" s="33" t="n">
        <f>1790.5</f>
        <v>1790.5</v>
      </c>
      <c r="N86" s="34" t="s">
        <v>79</v>
      </c>
      <c r="O86" s="33" t="n">
        <f>1658.5</f>
        <v>1658.5</v>
      </c>
      <c r="P86" s="34" t="s">
        <v>250</v>
      </c>
      <c r="Q86" s="33" t="n">
        <f>1688.5</f>
        <v>1688.5</v>
      </c>
      <c r="R86" s="34" t="s">
        <v>50</v>
      </c>
      <c r="S86" s="35" t="n">
        <f>1730.6</f>
        <v>1730.6</v>
      </c>
      <c r="T86" s="32" t="n">
        <f>103950</f>
        <v>103950.0</v>
      </c>
      <c r="U86" s="32" t="str">
        <f>"－"</f>
        <v>－</v>
      </c>
      <c r="V86" s="32" t="n">
        <f>177091595</f>
        <v>1.77091595E8</v>
      </c>
      <c r="W86" s="32" t="str">
        <f>"－"</f>
        <v>－</v>
      </c>
      <c r="X86" s="36" t="n">
        <f>20</f>
        <v>20.0</v>
      </c>
    </row>
    <row r="87">
      <c r="A87" s="27" t="s">
        <v>42</v>
      </c>
      <c r="B87" s="27" t="s">
        <v>302</v>
      </c>
      <c r="C87" s="27" t="s">
        <v>303</v>
      </c>
      <c r="D87" s="27" t="s">
        <v>304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65660</f>
        <v>65660.0</v>
      </c>
      <c r="L87" s="34" t="s">
        <v>48</v>
      </c>
      <c r="M87" s="33" t="n">
        <f>66410</f>
        <v>66410.0</v>
      </c>
      <c r="N87" s="34" t="s">
        <v>60</v>
      </c>
      <c r="O87" s="33" t="n">
        <f>63520</f>
        <v>63520.0</v>
      </c>
      <c r="P87" s="34" t="s">
        <v>250</v>
      </c>
      <c r="Q87" s="33" t="n">
        <f>63950</f>
        <v>63950.0</v>
      </c>
      <c r="R87" s="34" t="s">
        <v>50</v>
      </c>
      <c r="S87" s="35" t="n">
        <f>65189.5</f>
        <v>65189.5</v>
      </c>
      <c r="T87" s="32" t="n">
        <f>110550</f>
        <v>110550.0</v>
      </c>
      <c r="U87" s="32" t="str">
        <f>"－"</f>
        <v>－</v>
      </c>
      <c r="V87" s="32" t="n">
        <f>7223572630</f>
        <v>7.22357263E9</v>
      </c>
      <c r="W87" s="32" t="str">
        <f>"－"</f>
        <v>－</v>
      </c>
      <c r="X87" s="36" t="n">
        <f>20</f>
        <v>20.0</v>
      </c>
    </row>
    <row r="88">
      <c r="A88" s="27" t="s">
        <v>42</v>
      </c>
      <c r="B88" s="27" t="s">
        <v>305</v>
      </c>
      <c r="C88" s="27" t="s">
        <v>306</v>
      </c>
      <c r="D88" s="27" t="s">
        <v>307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3440</f>
        <v>3440.0</v>
      </c>
      <c r="L88" s="34" t="s">
        <v>48</v>
      </c>
      <c r="M88" s="33" t="n">
        <f>3550</f>
        <v>3550.0</v>
      </c>
      <c r="N88" s="34" t="s">
        <v>90</v>
      </c>
      <c r="O88" s="33" t="n">
        <f>3385</f>
        <v>3385.0</v>
      </c>
      <c r="P88" s="34" t="s">
        <v>250</v>
      </c>
      <c r="Q88" s="33" t="n">
        <f>3395</f>
        <v>3395.0</v>
      </c>
      <c r="R88" s="34" t="s">
        <v>50</v>
      </c>
      <c r="S88" s="35" t="n">
        <f>3438.5</f>
        <v>3438.5</v>
      </c>
      <c r="T88" s="32" t="n">
        <f>10748</f>
        <v>10748.0</v>
      </c>
      <c r="U88" s="32" t="str">
        <f>"－"</f>
        <v>－</v>
      </c>
      <c r="V88" s="32" t="n">
        <f>37005220</f>
        <v>3.700522E7</v>
      </c>
      <c r="W88" s="32" t="str">
        <f>"－"</f>
        <v>－</v>
      </c>
      <c r="X88" s="36" t="n">
        <f>20</f>
        <v>20.0</v>
      </c>
    </row>
    <row r="89">
      <c r="A89" s="27" t="s">
        <v>42</v>
      </c>
      <c r="B89" s="27" t="s">
        <v>308</v>
      </c>
      <c r="C89" s="27" t="s">
        <v>309</v>
      </c>
      <c r="D89" s="27" t="s">
        <v>310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4400</f>
        <v>4400.0</v>
      </c>
      <c r="L89" s="34" t="s">
        <v>48</v>
      </c>
      <c r="M89" s="33" t="n">
        <f>4495</f>
        <v>4495.0</v>
      </c>
      <c r="N89" s="34" t="s">
        <v>69</v>
      </c>
      <c r="O89" s="33" t="n">
        <f>4350</f>
        <v>4350.0</v>
      </c>
      <c r="P89" s="34" t="s">
        <v>220</v>
      </c>
      <c r="Q89" s="33" t="n">
        <f>4395</f>
        <v>4395.0</v>
      </c>
      <c r="R89" s="34" t="s">
        <v>50</v>
      </c>
      <c r="S89" s="35" t="n">
        <f>4409.75</f>
        <v>4409.75</v>
      </c>
      <c r="T89" s="32" t="n">
        <f>4723</f>
        <v>4723.0</v>
      </c>
      <c r="U89" s="32" t="str">
        <f>"－"</f>
        <v>－</v>
      </c>
      <c r="V89" s="32" t="n">
        <f>20800290</f>
        <v>2.080029E7</v>
      </c>
      <c r="W89" s="32" t="str">
        <f>"－"</f>
        <v>－</v>
      </c>
      <c r="X89" s="36" t="n">
        <f>20</f>
        <v>20.0</v>
      </c>
    </row>
    <row r="90">
      <c r="A90" s="27" t="s">
        <v>42</v>
      </c>
      <c r="B90" s="27" t="s">
        <v>311</v>
      </c>
      <c r="C90" s="27" t="s">
        <v>312</v>
      </c>
      <c r="D90" s="27" t="s">
        <v>313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2694</f>
        <v>2694.0</v>
      </c>
      <c r="L90" s="34" t="s">
        <v>48</v>
      </c>
      <c r="M90" s="33" t="n">
        <f>2759</f>
        <v>2759.0</v>
      </c>
      <c r="N90" s="34" t="s">
        <v>257</v>
      </c>
      <c r="O90" s="33" t="n">
        <f>2455</f>
        <v>2455.0</v>
      </c>
      <c r="P90" s="34" t="s">
        <v>221</v>
      </c>
      <c r="Q90" s="33" t="n">
        <f>2543</f>
        <v>2543.0</v>
      </c>
      <c r="R90" s="34" t="s">
        <v>50</v>
      </c>
      <c r="S90" s="35" t="n">
        <f>2609.3</f>
        <v>2609.3</v>
      </c>
      <c r="T90" s="32" t="n">
        <f>924478</f>
        <v>924478.0</v>
      </c>
      <c r="U90" s="32" t="n">
        <f>72000</f>
        <v>72000.0</v>
      </c>
      <c r="V90" s="32" t="n">
        <f>2402223471</f>
        <v>2.402223471E9</v>
      </c>
      <c r="W90" s="32" t="n">
        <f>190288150</f>
        <v>1.9028815E8</v>
      </c>
      <c r="X90" s="36" t="n">
        <f>20</f>
        <v>20.0</v>
      </c>
    </row>
    <row r="91">
      <c r="A91" s="27" t="s">
        <v>42</v>
      </c>
      <c r="B91" s="27" t="s">
        <v>314</v>
      </c>
      <c r="C91" s="27" t="s">
        <v>315</v>
      </c>
      <c r="D91" s="27" t="s">
        <v>316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47620</f>
        <v>47620.0</v>
      </c>
      <c r="L91" s="34" t="s">
        <v>48</v>
      </c>
      <c r="M91" s="33" t="n">
        <f>47760</f>
        <v>47760.0</v>
      </c>
      <c r="N91" s="34" t="s">
        <v>79</v>
      </c>
      <c r="O91" s="33" t="n">
        <f>46620</f>
        <v>46620.0</v>
      </c>
      <c r="P91" s="34" t="s">
        <v>86</v>
      </c>
      <c r="Q91" s="33" t="n">
        <f>46930</f>
        <v>46930.0</v>
      </c>
      <c r="R91" s="34" t="s">
        <v>50</v>
      </c>
      <c r="S91" s="35" t="n">
        <f>47175</f>
        <v>47175.0</v>
      </c>
      <c r="T91" s="32" t="n">
        <f>10912</f>
        <v>10912.0</v>
      </c>
      <c r="U91" s="32" t="n">
        <f>630</f>
        <v>630.0</v>
      </c>
      <c r="V91" s="32" t="n">
        <f>515210413</f>
        <v>5.15210413E8</v>
      </c>
      <c r="W91" s="32" t="n">
        <f>29935193</f>
        <v>2.9935193E7</v>
      </c>
      <c r="X91" s="36" t="n">
        <f>20</f>
        <v>20.0</v>
      </c>
    </row>
    <row r="92">
      <c r="A92" s="27" t="s">
        <v>42</v>
      </c>
      <c r="B92" s="27" t="s">
        <v>317</v>
      </c>
      <c r="C92" s="27" t="s">
        <v>318</v>
      </c>
      <c r="D92" s="27" t="s">
        <v>319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10.0</v>
      </c>
      <c r="K92" s="33" t="n">
        <f>34950</f>
        <v>34950.0</v>
      </c>
      <c r="L92" s="34" t="s">
        <v>48</v>
      </c>
      <c r="M92" s="33" t="n">
        <f>38370</f>
        <v>38370.0</v>
      </c>
      <c r="N92" s="34" t="s">
        <v>49</v>
      </c>
      <c r="O92" s="33" t="n">
        <f>34950</f>
        <v>34950.0</v>
      </c>
      <c r="P92" s="34" t="s">
        <v>48</v>
      </c>
      <c r="Q92" s="33" t="n">
        <f>35480</f>
        <v>35480.0</v>
      </c>
      <c r="R92" s="34" t="s">
        <v>50</v>
      </c>
      <c r="S92" s="35" t="n">
        <f>36600.5</f>
        <v>36600.5</v>
      </c>
      <c r="T92" s="32" t="n">
        <f>1913090</f>
        <v>1913090.0</v>
      </c>
      <c r="U92" s="32" t="n">
        <f>10330</f>
        <v>10330.0</v>
      </c>
      <c r="V92" s="32" t="n">
        <f>70214417650</f>
        <v>7.021441765E10</v>
      </c>
      <c r="W92" s="32" t="n">
        <f>367523550</f>
        <v>3.6752355E8</v>
      </c>
      <c r="X92" s="36" t="n">
        <f>20</f>
        <v>20.0</v>
      </c>
    </row>
    <row r="93">
      <c r="A93" s="27" t="s">
        <v>42</v>
      </c>
      <c r="B93" s="27" t="s">
        <v>320</v>
      </c>
      <c r="C93" s="27" t="s">
        <v>321</v>
      </c>
      <c r="D93" s="27" t="s">
        <v>322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1628.5</f>
        <v>1628.5</v>
      </c>
      <c r="L93" s="34" t="s">
        <v>48</v>
      </c>
      <c r="M93" s="33" t="n">
        <f>1628.5</f>
        <v>1628.5</v>
      </c>
      <c r="N93" s="34" t="s">
        <v>48</v>
      </c>
      <c r="O93" s="33" t="n">
        <f>1552</f>
        <v>1552.0</v>
      </c>
      <c r="P93" s="34" t="s">
        <v>49</v>
      </c>
      <c r="Q93" s="33" t="n">
        <f>1613.5</f>
        <v>1613.5</v>
      </c>
      <c r="R93" s="34" t="s">
        <v>50</v>
      </c>
      <c r="S93" s="35" t="n">
        <f>1590.03</f>
        <v>1590.03</v>
      </c>
      <c r="T93" s="32" t="n">
        <f>625300</f>
        <v>625300.0</v>
      </c>
      <c r="U93" s="32" t="n">
        <f>22900</f>
        <v>22900.0</v>
      </c>
      <c r="V93" s="32" t="n">
        <f>997128450</f>
        <v>9.9712845E8</v>
      </c>
      <c r="W93" s="32" t="n">
        <f>36701830</f>
        <v>3.670183E7</v>
      </c>
      <c r="X93" s="36" t="n">
        <f>20</f>
        <v>20.0</v>
      </c>
    </row>
    <row r="94">
      <c r="A94" s="27" t="s">
        <v>42</v>
      </c>
      <c r="B94" s="27" t="s">
        <v>323</v>
      </c>
      <c r="C94" s="27" t="s">
        <v>324</v>
      </c>
      <c r="D94" s="27" t="s">
        <v>325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19810</f>
        <v>19810.0</v>
      </c>
      <c r="L94" s="34" t="s">
        <v>48</v>
      </c>
      <c r="M94" s="33" t="n">
        <f>21250</f>
        <v>21250.0</v>
      </c>
      <c r="N94" s="34" t="s">
        <v>49</v>
      </c>
      <c r="O94" s="33" t="n">
        <f>19055</f>
        <v>19055.0</v>
      </c>
      <c r="P94" s="34" t="s">
        <v>69</v>
      </c>
      <c r="Q94" s="33" t="n">
        <f>19300</f>
        <v>19300.0</v>
      </c>
      <c r="R94" s="34" t="s">
        <v>50</v>
      </c>
      <c r="S94" s="35" t="n">
        <f>20136.5</f>
        <v>20136.5</v>
      </c>
      <c r="T94" s="32" t="n">
        <f>94225442</f>
        <v>9.4225442E7</v>
      </c>
      <c r="U94" s="32" t="n">
        <f>340129</f>
        <v>340129.0</v>
      </c>
      <c r="V94" s="32" t="n">
        <f>1896082891052</f>
        <v>1.896082891052E12</v>
      </c>
      <c r="W94" s="32" t="n">
        <f>7022617257</f>
        <v>7.022617257E9</v>
      </c>
      <c r="X94" s="36" t="n">
        <f>20</f>
        <v>20.0</v>
      </c>
    </row>
    <row r="95">
      <c r="A95" s="27" t="s">
        <v>42</v>
      </c>
      <c r="B95" s="27" t="s">
        <v>326</v>
      </c>
      <c r="C95" s="27" t="s">
        <v>327</v>
      </c>
      <c r="D95" s="27" t="s">
        <v>328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782</f>
        <v>782.0</v>
      </c>
      <c r="L95" s="34" t="s">
        <v>48</v>
      </c>
      <c r="M95" s="33" t="n">
        <f>795</f>
        <v>795.0</v>
      </c>
      <c r="N95" s="34" t="s">
        <v>69</v>
      </c>
      <c r="O95" s="33" t="n">
        <f>754</f>
        <v>754.0</v>
      </c>
      <c r="P95" s="34" t="s">
        <v>49</v>
      </c>
      <c r="Q95" s="33" t="n">
        <f>790</f>
        <v>790.0</v>
      </c>
      <c r="R95" s="34" t="s">
        <v>50</v>
      </c>
      <c r="S95" s="35" t="n">
        <f>774.75</f>
        <v>774.75</v>
      </c>
      <c r="T95" s="32" t="n">
        <f>33939838</f>
        <v>3.3939838E7</v>
      </c>
      <c r="U95" s="32" t="n">
        <f>25009</f>
        <v>25009.0</v>
      </c>
      <c r="V95" s="32" t="n">
        <f>26235900926</f>
        <v>2.6235900926E10</v>
      </c>
      <c r="W95" s="32" t="n">
        <f>19302894</f>
        <v>1.9302894E7</v>
      </c>
      <c r="X95" s="36" t="n">
        <f>20</f>
        <v>20.0</v>
      </c>
    </row>
    <row r="96">
      <c r="A96" s="27" t="s">
        <v>42</v>
      </c>
      <c r="B96" s="27" t="s">
        <v>329</v>
      </c>
      <c r="C96" s="27" t="s">
        <v>330</v>
      </c>
      <c r="D96" s="27" t="s">
        <v>331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4345</f>
        <v>4345.0</v>
      </c>
      <c r="L96" s="34" t="s">
        <v>48</v>
      </c>
      <c r="M96" s="33" t="n">
        <f>4732</f>
        <v>4732.0</v>
      </c>
      <c r="N96" s="34" t="s">
        <v>79</v>
      </c>
      <c r="O96" s="33" t="n">
        <f>4072</f>
        <v>4072.0</v>
      </c>
      <c r="P96" s="34" t="s">
        <v>69</v>
      </c>
      <c r="Q96" s="33" t="n">
        <f>4257</f>
        <v>4257.0</v>
      </c>
      <c r="R96" s="34" t="s">
        <v>50</v>
      </c>
      <c r="S96" s="35" t="n">
        <f>4364.55</f>
        <v>4364.55</v>
      </c>
      <c r="T96" s="32" t="n">
        <f>191810</f>
        <v>191810.0</v>
      </c>
      <c r="U96" s="32" t="n">
        <f>60</f>
        <v>60.0</v>
      </c>
      <c r="V96" s="32" t="n">
        <f>840167940</f>
        <v>8.4016794E8</v>
      </c>
      <c r="W96" s="32" t="n">
        <f>258000</f>
        <v>258000.0</v>
      </c>
      <c r="X96" s="36" t="n">
        <f>20</f>
        <v>20.0</v>
      </c>
    </row>
    <row r="97">
      <c r="A97" s="27" t="s">
        <v>42</v>
      </c>
      <c r="B97" s="27" t="s">
        <v>332</v>
      </c>
      <c r="C97" s="27" t="s">
        <v>333</v>
      </c>
      <c r="D97" s="27" t="s">
        <v>334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11675</f>
        <v>11675.0</v>
      </c>
      <c r="L97" s="34" t="s">
        <v>48</v>
      </c>
      <c r="M97" s="33" t="n">
        <f>12430</f>
        <v>12430.0</v>
      </c>
      <c r="N97" s="34" t="s">
        <v>69</v>
      </c>
      <c r="O97" s="33" t="n">
        <f>11185</f>
        <v>11185.0</v>
      </c>
      <c r="P97" s="34" t="s">
        <v>79</v>
      </c>
      <c r="Q97" s="33" t="n">
        <f>12150</f>
        <v>12150.0</v>
      </c>
      <c r="R97" s="34" t="s">
        <v>50</v>
      </c>
      <c r="S97" s="35" t="n">
        <f>11894.5</f>
        <v>11894.5</v>
      </c>
      <c r="T97" s="32" t="n">
        <f>47020</f>
        <v>47020.0</v>
      </c>
      <c r="U97" s="32" t="str">
        <f>"－"</f>
        <v>－</v>
      </c>
      <c r="V97" s="32" t="n">
        <f>557334550</f>
        <v>5.5733455E8</v>
      </c>
      <c r="W97" s="32" t="str">
        <f>"－"</f>
        <v>－</v>
      </c>
      <c r="X97" s="36" t="n">
        <f>20</f>
        <v>20.0</v>
      </c>
    </row>
    <row r="98">
      <c r="A98" s="27" t="s">
        <v>42</v>
      </c>
      <c r="B98" s="27" t="s">
        <v>335</v>
      </c>
      <c r="C98" s="27" t="s">
        <v>336</v>
      </c>
      <c r="D98" s="27" t="s">
        <v>337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30970</f>
        <v>30970.0</v>
      </c>
      <c r="L98" s="34" t="s">
        <v>48</v>
      </c>
      <c r="M98" s="33" t="n">
        <f>33700</f>
        <v>33700.0</v>
      </c>
      <c r="N98" s="34" t="s">
        <v>67</v>
      </c>
      <c r="O98" s="33" t="n">
        <f>30970</f>
        <v>30970.0</v>
      </c>
      <c r="P98" s="34" t="s">
        <v>48</v>
      </c>
      <c r="Q98" s="33" t="n">
        <f>32450</f>
        <v>32450.0</v>
      </c>
      <c r="R98" s="34" t="s">
        <v>50</v>
      </c>
      <c r="S98" s="35" t="n">
        <f>32596</f>
        <v>32596.0</v>
      </c>
      <c r="T98" s="32" t="n">
        <f>162059</f>
        <v>162059.0</v>
      </c>
      <c r="U98" s="32" t="n">
        <f>42880</f>
        <v>42880.0</v>
      </c>
      <c r="V98" s="32" t="n">
        <f>5306952053</f>
        <v>5.306952053E9</v>
      </c>
      <c r="W98" s="32" t="n">
        <f>1408347213</f>
        <v>1.408347213E9</v>
      </c>
      <c r="X98" s="36" t="n">
        <f>20</f>
        <v>20.0</v>
      </c>
    </row>
    <row r="99">
      <c r="A99" s="27" t="s">
        <v>42</v>
      </c>
      <c r="B99" s="27" t="s">
        <v>338</v>
      </c>
      <c r="C99" s="27" t="s">
        <v>339</v>
      </c>
      <c r="D99" s="27" t="s">
        <v>340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2590</f>
        <v>2590.0</v>
      </c>
      <c r="L99" s="34" t="s">
        <v>48</v>
      </c>
      <c r="M99" s="33" t="n">
        <f>2678</f>
        <v>2678.0</v>
      </c>
      <c r="N99" s="34" t="s">
        <v>49</v>
      </c>
      <c r="O99" s="33" t="n">
        <f>2540</f>
        <v>2540.0</v>
      </c>
      <c r="P99" s="34" t="s">
        <v>69</v>
      </c>
      <c r="Q99" s="33" t="n">
        <f>2554</f>
        <v>2554.0</v>
      </c>
      <c r="R99" s="34" t="s">
        <v>50</v>
      </c>
      <c r="S99" s="35" t="n">
        <f>2608.7</f>
        <v>2608.7</v>
      </c>
      <c r="T99" s="32" t="n">
        <f>675815</f>
        <v>675815.0</v>
      </c>
      <c r="U99" s="32" t="n">
        <f>570001</f>
        <v>570001.0</v>
      </c>
      <c r="V99" s="32" t="n">
        <f>1770876841</f>
        <v>1.770876841E9</v>
      </c>
      <c r="W99" s="32" t="n">
        <f>1496423630</f>
        <v>1.49642363E9</v>
      </c>
      <c r="X99" s="36" t="n">
        <f>20</f>
        <v>20.0</v>
      </c>
    </row>
    <row r="100">
      <c r="A100" s="27" t="s">
        <v>42</v>
      </c>
      <c r="B100" s="27" t="s">
        <v>341</v>
      </c>
      <c r="C100" s="27" t="s">
        <v>342</v>
      </c>
      <c r="D100" s="27" t="s">
        <v>343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21185</f>
        <v>21185.0</v>
      </c>
      <c r="L100" s="34" t="s">
        <v>48</v>
      </c>
      <c r="M100" s="33" t="n">
        <f>22715</f>
        <v>22715.0</v>
      </c>
      <c r="N100" s="34" t="s">
        <v>49</v>
      </c>
      <c r="O100" s="33" t="n">
        <f>20360</f>
        <v>20360.0</v>
      </c>
      <c r="P100" s="34" t="s">
        <v>69</v>
      </c>
      <c r="Q100" s="33" t="n">
        <f>20620</f>
        <v>20620.0</v>
      </c>
      <c r="R100" s="34" t="s">
        <v>50</v>
      </c>
      <c r="S100" s="35" t="n">
        <f>21516.75</f>
        <v>21516.75</v>
      </c>
      <c r="T100" s="32" t="n">
        <f>7256140</f>
        <v>7256140.0</v>
      </c>
      <c r="U100" s="32" t="n">
        <f>100</f>
        <v>100.0</v>
      </c>
      <c r="V100" s="32" t="n">
        <f>155966493600</f>
        <v>1.559664936E11</v>
      </c>
      <c r="W100" s="32" t="n">
        <f>2166450</f>
        <v>2166450.0</v>
      </c>
      <c r="X100" s="36" t="n">
        <f>20</f>
        <v>20.0</v>
      </c>
    </row>
    <row r="101">
      <c r="A101" s="27" t="s">
        <v>42</v>
      </c>
      <c r="B101" s="27" t="s">
        <v>344</v>
      </c>
      <c r="C101" s="27" t="s">
        <v>345</v>
      </c>
      <c r="D101" s="27" t="s">
        <v>346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2076</f>
        <v>2076.0</v>
      </c>
      <c r="L101" s="34" t="s">
        <v>48</v>
      </c>
      <c r="M101" s="33" t="n">
        <f>2109.5</f>
        <v>2109.5</v>
      </c>
      <c r="N101" s="34" t="s">
        <v>69</v>
      </c>
      <c r="O101" s="33" t="n">
        <f>2001</f>
        <v>2001.0</v>
      </c>
      <c r="P101" s="34" t="s">
        <v>49</v>
      </c>
      <c r="Q101" s="33" t="n">
        <f>2096.5</f>
        <v>2096.5</v>
      </c>
      <c r="R101" s="34" t="s">
        <v>50</v>
      </c>
      <c r="S101" s="35" t="n">
        <f>2056.63</f>
        <v>2056.63</v>
      </c>
      <c r="T101" s="32" t="n">
        <f>2830840</f>
        <v>2830840.0</v>
      </c>
      <c r="U101" s="32" t="n">
        <f>40000</f>
        <v>40000.0</v>
      </c>
      <c r="V101" s="32" t="n">
        <f>5857927030</f>
        <v>5.85792703E9</v>
      </c>
      <c r="W101" s="32" t="n">
        <f>82888000</f>
        <v>8.2888E7</v>
      </c>
      <c r="X101" s="36" t="n">
        <f>20</f>
        <v>20.0</v>
      </c>
    </row>
    <row r="102">
      <c r="A102" s="27" t="s">
        <v>42</v>
      </c>
      <c r="B102" s="27" t="s">
        <v>347</v>
      </c>
      <c r="C102" s="27" t="s">
        <v>348</v>
      </c>
      <c r="D102" s="27" t="s">
        <v>349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1640.5</f>
        <v>1640.5</v>
      </c>
      <c r="L102" s="34" t="s">
        <v>48</v>
      </c>
      <c r="M102" s="33" t="n">
        <f>1750</f>
        <v>1750.0</v>
      </c>
      <c r="N102" s="34" t="s">
        <v>69</v>
      </c>
      <c r="O102" s="33" t="n">
        <f>1634.5</f>
        <v>1634.5</v>
      </c>
      <c r="P102" s="34" t="s">
        <v>50</v>
      </c>
      <c r="Q102" s="33" t="n">
        <f>1639</f>
        <v>1639.0</v>
      </c>
      <c r="R102" s="34" t="s">
        <v>50</v>
      </c>
      <c r="S102" s="35" t="n">
        <f>1666.63</f>
        <v>1666.63</v>
      </c>
      <c r="T102" s="32" t="n">
        <f>29680</f>
        <v>29680.0</v>
      </c>
      <c r="U102" s="32" t="str">
        <f>"－"</f>
        <v>－</v>
      </c>
      <c r="V102" s="32" t="n">
        <f>49408785</f>
        <v>4.9408785E7</v>
      </c>
      <c r="W102" s="32" t="str">
        <f>"－"</f>
        <v>－</v>
      </c>
      <c r="X102" s="36" t="n">
        <f>20</f>
        <v>20.0</v>
      </c>
    </row>
    <row r="103">
      <c r="A103" s="27" t="s">
        <v>42</v>
      </c>
      <c r="B103" s="27" t="s">
        <v>350</v>
      </c>
      <c r="C103" s="27" t="s">
        <v>351</v>
      </c>
      <c r="D103" s="27" t="s">
        <v>352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1910</f>
        <v>1910.0</v>
      </c>
      <c r="L103" s="34" t="s">
        <v>48</v>
      </c>
      <c r="M103" s="33" t="n">
        <f>1965</f>
        <v>1965.0</v>
      </c>
      <c r="N103" s="34" t="s">
        <v>67</v>
      </c>
      <c r="O103" s="33" t="n">
        <f>1890</f>
        <v>1890.0</v>
      </c>
      <c r="P103" s="34" t="s">
        <v>79</v>
      </c>
      <c r="Q103" s="33" t="n">
        <f>1895</f>
        <v>1895.0</v>
      </c>
      <c r="R103" s="34" t="s">
        <v>50</v>
      </c>
      <c r="S103" s="35" t="n">
        <f>1927.6</f>
        <v>1927.6</v>
      </c>
      <c r="T103" s="32" t="n">
        <f>103779</f>
        <v>103779.0</v>
      </c>
      <c r="U103" s="32" t="n">
        <f>100003</f>
        <v>100003.0</v>
      </c>
      <c r="V103" s="32" t="n">
        <f>199553395</f>
        <v>1.99553395E8</v>
      </c>
      <c r="W103" s="32" t="n">
        <f>192265774</f>
        <v>1.92265774E8</v>
      </c>
      <c r="X103" s="36" t="n">
        <f>20</f>
        <v>20.0</v>
      </c>
    </row>
    <row r="104">
      <c r="A104" s="27" t="s">
        <v>42</v>
      </c>
      <c r="B104" s="27" t="s">
        <v>353</v>
      </c>
      <c r="C104" s="27" t="s">
        <v>354</v>
      </c>
      <c r="D104" s="27" t="s">
        <v>355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21150</f>
        <v>21150.0</v>
      </c>
      <c r="L104" s="34" t="s">
        <v>48</v>
      </c>
      <c r="M104" s="33" t="n">
        <f>22085</f>
        <v>22085.0</v>
      </c>
      <c r="N104" s="34" t="s">
        <v>49</v>
      </c>
      <c r="O104" s="33" t="n">
        <f>21125</f>
        <v>21125.0</v>
      </c>
      <c r="P104" s="34" t="s">
        <v>50</v>
      </c>
      <c r="Q104" s="33" t="n">
        <f>21200</f>
        <v>21200.0</v>
      </c>
      <c r="R104" s="34" t="s">
        <v>50</v>
      </c>
      <c r="S104" s="35" t="n">
        <f>21587</f>
        <v>21587.0</v>
      </c>
      <c r="T104" s="32" t="n">
        <f>120677</f>
        <v>120677.0</v>
      </c>
      <c r="U104" s="32" t="n">
        <f>63131</f>
        <v>63131.0</v>
      </c>
      <c r="V104" s="32" t="n">
        <f>2604186806</f>
        <v>2.604186806E9</v>
      </c>
      <c r="W104" s="32" t="n">
        <f>1363550376</f>
        <v>1.363550376E9</v>
      </c>
      <c r="X104" s="36" t="n">
        <f>20</f>
        <v>20.0</v>
      </c>
    </row>
    <row r="105">
      <c r="A105" s="27" t="s">
        <v>42</v>
      </c>
      <c r="B105" s="27" t="s">
        <v>356</v>
      </c>
      <c r="C105" s="27" t="s">
        <v>357</v>
      </c>
      <c r="D105" s="27" t="s">
        <v>358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1931</f>
        <v>1931.0</v>
      </c>
      <c r="L105" s="34" t="s">
        <v>48</v>
      </c>
      <c r="M105" s="33" t="n">
        <f>2015</f>
        <v>2015.0</v>
      </c>
      <c r="N105" s="34" t="s">
        <v>49</v>
      </c>
      <c r="O105" s="33" t="n">
        <f>1927</f>
        <v>1927.0</v>
      </c>
      <c r="P105" s="34" t="s">
        <v>50</v>
      </c>
      <c r="Q105" s="33" t="n">
        <f>1935</f>
        <v>1935.0</v>
      </c>
      <c r="R105" s="34" t="s">
        <v>50</v>
      </c>
      <c r="S105" s="35" t="n">
        <f>1969.45</f>
        <v>1969.45</v>
      </c>
      <c r="T105" s="32" t="n">
        <f>547909</f>
        <v>547909.0</v>
      </c>
      <c r="U105" s="32" t="n">
        <f>507229</f>
        <v>507229.0</v>
      </c>
      <c r="V105" s="32" t="n">
        <f>1083707540</f>
        <v>1.08370754E9</v>
      </c>
      <c r="W105" s="32" t="n">
        <f>1003573692</f>
        <v>1.003573692E9</v>
      </c>
      <c r="X105" s="36" t="n">
        <f>20</f>
        <v>20.0</v>
      </c>
    </row>
    <row r="106">
      <c r="A106" s="27" t="s">
        <v>42</v>
      </c>
      <c r="B106" s="27" t="s">
        <v>359</v>
      </c>
      <c r="C106" s="27" t="s">
        <v>360</v>
      </c>
      <c r="D106" s="27" t="s">
        <v>361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21515</f>
        <v>21515.0</v>
      </c>
      <c r="L106" s="34" t="s">
        <v>48</v>
      </c>
      <c r="M106" s="33" t="n">
        <f>22525</f>
        <v>22525.0</v>
      </c>
      <c r="N106" s="34" t="s">
        <v>49</v>
      </c>
      <c r="O106" s="33" t="n">
        <f>21515</f>
        <v>21515.0</v>
      </c>
      <c r="P106" s="34" t="s">
        <v>48</v>
      </c>
      <c r="Q106" s="33" t="n">
        <f>21650</f>
        <v>21650.0</v>
      </c>
      <c r="R106" s="34" t="s">
        <v>50</v>
      </c>
      <c r="S106" s="35" t="n">
        <f>22013.5</f>
        <v>22013.5</v>
      </c>
      <c r="T106" s="32" t="n">
        <f>37240</f>
        <v>37240.0</v>
      </c>
      <c r="U106" s="32" t="n">
        <f>21000</f>
        <v>21000.0</v>
      </c>
      <c r="V106" s="32" t="n">
        <f>822231000</f>
        <v>8.22231E8</v>
      </c>
      <c r="W106" s="32" t="n">
        <f>465189000</f>
        <v>4.65189E8</v>
      </c>
      <c r="X106" s="36" t="n">
        <f>20</f>
        <v>20.0</v>
      </c>
    </row>
    <row r="107">
      <c r="A107" s="27" t="s">
        <v>42</v>
      </c>
      <c r="B107" s="27" t="s">
        <v>362</v>
      </c>
      <c r="C107" s="27" t="s">
        <v>363</v>
      </c>
      <c r="D107" s="27" t="s">
        <v>364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1934.5</f>
        <v>1934.5</v>
      </c>
      <c r="L107" s="34" t="s">
        <v>48</v>
      </c>
      <c r="M107" s="33" t="n">
        <f>1969</f>
        <v>1969.0</v>
      </c>
      <c r="N107" s="34" t="s">
        <v>60</v>
      </c>
      <c r="O107" s="33" t="n">
        <f>1890</f>
        <v>1890.0</v>
      </c>
      <c r="P107" s="34" t="s">
        <v>69</v>
      </c>
      <c r="Q107" s="33" t="n">
        <f>1910</f>
        <v>1910.0</v>
      </c>
      <c r="R107" s="34" t="s">
        <v>50</v>
      </c>
      <c r="S107" s="35" t="n">
        <f>1929.33</f>
        <v>1929.33</v>
      </c>
      <c r="T107" s="32" t="n">
        <f>2915060</f>
        <v>2915060.0</v>
      </c>
      <c r="U107" s="32" t="n">
        <f>901000</f>
        <v>901000.0</v>
      </c>
      <c r="V107" s="32" t="n">
        <f>5625133495</f>
        <v>5.625133495E9</v>
      </c>
      <c r="W107" s="32" t="n">
        <f>1731082130</f>
        <v>1.73108213E9</v>
      </c>
      <c r="X107" s="36" t="n">
        <f>20</f>
        <v>20.0</v>
      </c>
    </row>
    <row r="108">
      <c r="A108" s="27" t="s">
        <v>42</v>
      </c>
      <c r="B108" s="27" t="s">
        <v>365</v>
      </c>
      <c r="C108" s="27" t="s">
        <v>366</v>
      </c>
      <c r="D108" s="27" t="s">
        <v>367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str">
        <f>"－"</f>
        <v>－</v>
      </c>
      <c r="L108" s="34"/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5" t="str">
        <f>"－"</f>
        <v>－</v>
      </c>
      <c r="T108" s="32" t="str">
        <f>"－"</f>
        <v>－</v>
      </c>
      <c r="U108" s="32" t="str">
        <f>"－"</f>
        <v>－</v>
      </c>
      <c r="V108" s="32" t="str">
        <f>"－"</f>
        <v>－</v>
      </c>
      <c r="W108" s="32" t="str">
        <f>"－"</f>
        <v>－</v>
      </c>
      <c r="X108" s="36" t="str">
        <f>"－"</f>
        <v>－</v>
      </c>
    </row>
    <row r="109">
      <c r="A109" s="27" t="s">
        <v>42</v>
      </c>
      <c r="B109" s="27" t="s">
        <v>368</v>
      </c>
      <c r="C109" s="27" t="s">
        <v>369</v>
      </c>
      <c r="D109" s="27" t="s">
        <v>370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1956.5</f>
        <v>1956.5</v>
      </c>
      <c r="L109" s="34" t="s">
        <v>48</v>
      </c>
      <c r="M109" s="33" t="n">
        <f>1989</f>
        <v>1989.0</v>
      </c>
      <c r="N109" s="34" t="s">
        <v>60</v>
      </c>
      <c r="O109" s="33" t="n">
        <f>1882.5</f>
        <v>1882.5</v>
      </c>
      <c r="P109" s="34" t="s">
        <v>69</v>
      </c>
      <c r="Q109" s="33" t="n">
        <f>1902</f>
        <v>1902.0</v>
      </c>
      <c r="R109" s="34" t="s">
        <v>50</v>
      </c>
      <c r="S109" s="35" t="n">
        <f>1928.53</f>
        <v>1928.53</v>
      </c>
      <c r="T109" s="32" t="n">
        <f>1619970</f>
        <v>1619970.0</v>
      </c>
      <c r="U109" s="32" t="n">
        <f>274670</f>
        <v>274670.0</v>
      </c>
      <c r="V109" s="32" t="n">
        <f>3156409794</f>
        <v>3.156409794E9</v>
      </c>
      <c r="W109" s="32" t="n">
        <f>537947454</f>
        <v>5.37947454E8</v>
      </c>
      <c r="X109" s="36" t="n">
        <f>20</f>
        <v>20.0</v>
      </c>
    </row>
    <row r="110">
      <c r="A110" s="27" t="s">
        <v>42</v>
      </c>
      <c r="B110" s="27" t="s">
        <v>371</v>
      </c>
      <c r="C110" s="27" t="s">
        <v>372</v>
      </c>
      <c r="D110" s="27" t="s">
        <v>373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21620</f>
        <v>21620.0</v>
      </c>
      <c r="L110" s="34" t="s">
        <v>79</v>
      </c>
      <c r="M110" s="33" t="n">
        <f>22115</f>
        <v>22115.0</v>
      </c>
      <c r="N110" s="34" t="s">
        <v>67</v>
      </c>
      <c r="O110" s="33" t="n">
        <f>21455</f>
        <v>21455.0</v>
      </c>
      <c r="P110" s="34" t="s">
        <v>250</v>
      </c>
      <c r="Q110" s="33" t="n">
        <f>21510</f>
        <v>21510.0</v>
      </c>
      <c r="R110" s="34" t="s">
        <v>50</v>
      </c>
      <c r="S110" s="35" t="n">
        <f>21729</f>
        <v>21729.0</v>
      </c>
      <c r="T110" s="32" t="n">
        <f>261</f>
        <v>261.0</v>
      </c>
      <c r="U110" s="32" t="str">
        <f>"－"</f>
        <v>－</v>
      </c>
      <c r="V110" s="32" t="n">
        <f>5688000</f>
        <v>5688000.0</v>
      </c>
      <c r="W110" s="32" t="str">
        <f>"－"</f>
        <v>－</v>
      </c>
      <c r="X110" s="36" t="n">
        <f>15</f>
        <v>15.0</v>
      </c>
    </row>
    <row r="111">
      <c r="A111" s="27" t="s">
        <v>42</v>
      </c>
      <c r="B111" s="27" t="s">
        <v>374</v>
      </c>
      <c r="C111" s="27" t="s">
        <v>375</v>
      </c>
      <c r="D111" s="27" t="s">
        <v>376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100.0</v>
      </c>
      <c r="K111" s="33" t="n">
        <f>249.5</f>
        <v>249.5</v>
      </c>
      <c r="L111" s="34" t="s">
        <v>48</v>
      </c>
      <c r="M111" s="33" t="n">
        <f>285.9</f>
        <v>285.9</v>
      </c>
      <c r="N111" s="34" t="s">
        <v>90</v>
      </c>
      <c r="O111" s="33" t="n">
        <f>249.5</f>
        <v>249.5</v>
      </c>
      <c r="P111" s="34" t="s">
        <v>48</v>
      </c>
      <c r="Q111" s="33" t="n">
        <f>273.6</f>
        <v>273.6</v>
      </c>
      <c r="R111" s="34" t="s">
        <v>50</v>
      </c>
      <c r="S111" s="35" t="n">
        <f>272.6</f>
        <v>272.6</v>
      </c>
      <c r="T111" s="32" t="n">
        <f>197461400</f>
        <v>1.974614E8</v>
      </c>
      <c r="U111" s="32" t="n">
        <f>102334900</f>
        <v>1.023349E8</v>
      </c>
      <c r="V111" s="32" t="n">
        <f>54107954325</f>
        <v>5.4107954325E10</v>
      </c>
      <c r="W111" s="32" t="n">
        <f>27991428475</f>
        <v>2.7991428475E10</v>
      </c>
      <c r="X111" s="36" t="n">
        <f>20</f>
        <v>20.0</v>
      </c>
    </row>
    <row r="112">
      <c r="A112" s="27" t="s">
        <v>42</v>
      </c>
      <c r="B112" s="27" t="s">
        <v>377</v>
      </c>
      <c r="C112" s="27" t="s">
        <v>378</v>
      </c>
      <c r="D112" s="27" t="s">
        <v>379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34900</f>
        <v>34900.0</v>
      </c>
      <c r="L112" s="34" t="s">
        <v>48</v>
      </c>
      <c r="M112" s="33" t="n">
        <f>35700</f>
        <v>35700.0</v>
      </c>
      <c r="N112" s="34" t="s">
        <v>49</v>
      </c>
      <c r="O112" s="33" t="n">
        <f>34720</f>
        <v>34720.0</v>
      </c>
      <c r="P112" s="34" t="s">
        <v>221</v>
      </c>
      <c r="Q112" s="33" t="n">
        <f>34800</f>
        <v>34800.0</v>
      </c>
      <c r="R112" s="34" t="s">
        <v>50</v>
      </c>
      <c r="S112" s="35" t="n">
        <f>35191</f>
        <v>35191.0</v>
      </c>
      <c r="T112" s="32" t="n">
        <f>1481</f>
        <v>1481.0</v>
      </c>
      <c r="U112" s="32" t="str">
        <f>"－"</f>
        <v>－</v>
      </c>
      <c r="V112" s="32" t="n">
        <f>52172200</f>
        <v>5.21722E7</v>
      </c>
      <c r="W112" s="32" t="str">
        <f>"－"</f>
        <v>－</v>
      </c>
      <c r="X112" s="36" t="n">
        <f>20</f>
        <v>20.0</v>
      </c>
    </row>
    <row r="113">
      <c r="A113" s="27" t="s">
        <v>42</v>
      </c>
      <c r="B113" s="27" t="s">
        <v>380</v>
      </c>
      <c r="C113" s="27" t="s">
        <v>381</v>
      </c>
      <c r="D113" s="27" t="s">
        <v>382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16565</f>
        <v>16565.0</v>
      </c>
      <c r="L113" s="34" t="s">
        <v>48</v>
      </c>
      <c r="M113" s="33" t="n">
        <f>19195</f>
        <v>19195.0</v>
      </c>
      <c r="N113" s="34" t="s">
        <v>67</v>
      </c>
      <c r="O113" s="33" t="n">
        <f>16565</f>
        <v>16565.0</v>
      </c>
      <c r="P113" s="34" t="s">
        <v>48</v>
      </c>
      <c r="Q113" s="33" t="n">
        <f>18140</f>
        <v>18140.0</v>
      </c>
      <c r="R113" s="34" t="s">
        <v>50</v>
      </c>
      <c r="S113" s="35" t="n">
        <f>18105</f>
        <v>18105.0</v>
      </c>
      <c r="T113" s="32" t="n">
        <f>24810</f>
        <v>24810.0</v>
      </c>
      <c r="U113" s="32" t="str">
        <f>"－"</f>
        <v>－</v>
      </c>
      <c r="V113" s="32" t="n">
        <f>452536935</f>
        <v>4.52536935E8</v>
      </c>
      <c r="W113" s="32" t="str">
        <f>"－"</f>
        <v>－</v>
      </c>
      <c r="X113" s="36" t="n">
        <f>20</f>
        <v>20.0</v>
      </c>
    </row>
    <row r="114">
      <c r="A114" s="27" t="s">
        <v>42</v>
      </c>
      <c r="B114" s="27" t="s">
        <v>383</v>
      </c>
      <c r="C114" s="27" t="s">
        <v>384</v>
      </c>
      <c r="D114" s="27" t="s">
        <v>385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25835</f>
        <v>25835.0</v>
      </c>
      <c r="L114" s="34" t="s">
        <v>48</v>
      </c>
      <c r="M114" s="33" t="n">
        <f>27170</f>
        <v>27170.0</v>
      </c>
      <c r="N114" s="34" t="s">
        <v>49</v>
      </c>
      <c r="O114" s="33" t="n">
        <f>25835</f>
        <v>25835.0</v>
      </c>
      <c r="P114" s="34" t="s">
        <v>48</v>
      </c>
      <c r="Q114" s="33" t="n">
        <f>26200</f>
        <v>26200.0</v>
      </c>
      <c r="R114" s="34" t="s">
        <v>50</v>
      </c>
      <c r="S114" s="35" t="n">
        <f>26504.5</f>
        <v>26504.5</v>
      </c>
      <c r="T114" s="32" t="n">
        <f>2844</f>
        <v>2844.0</v>
      </c>
      <c r="U114" s="32" t="str">
        <f>"－"</f>
        <v>－</v>
      </c>
      <c r="V114" s="32" t="n">
        <f>75370270</f>
        <v>7.537027E7</v>
      </c>
      <c r="W114" s="32" t="str">
        <f>"－"</f>
        <v>－</v>
      </c>
      <c r="X114" s="36" t="n">
        <f>20</f>
        <v>20.0</v>
      </c>
    </row>
    <row r="115">
      <c r="A115" s="27" t="s">
        <v>42</v>
      </c>
      <c r="B115" s="27" t="s">
        <v>386</v>
      </c>
      <c r="C115" s="27" t="s">
        <v>387</v>
      </c>
      <c r="D115" s="27" t="s">
        <v>388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27870</f>
        <v>27870.0</v>
      </c>
      <c r="L115" s="34" t="s">
        <v>48</v>
      </c>
      <c r="M115" s="33" t="n">
        <f>28565</f>
        <v>28565.0</v>
      </c>
      <c r="N115" s="34" t="s">
        <v>49</v>
      </c>
      <c r="O115" s="33" t="n">
        <f>27215</f>
        <v>27215.0</v>
      </c>
      <c r="P115" s="34" t="s">
        <v>50</v>
      </c>
      <c r="Q115" s="33" t="n">
        <f>27295</f>
        <v>27295.0</v>
      </c>
      <c r="R115" s="34" t="s">
        <v>50</v>
      </c>
      <c r="S115" s="35" t="n">
        <f>27999.75</f>
        <v>27999.75</v>
      </c>
      <c r="T115" s="32" t="n">
        <f>1626</f>
        <v>1626.0</v>
      </c>
      <c r="U115" s="32" t="str">
        <f>"－"</f>
        <v>－</v>
      </c>
      <c r="V115" s="32" t="n">
        <f>45477545</f>
        <v>4.5477545E7</v>
      </c>
      <c r="W115" s="32" t="str">
        <f>"－"</f>
        <v>－</v>
      </c>
      <c r="X115" s="36" t="n">
        <f>20</f>
        <v>20.0</v>
      </c>
    </row>
    <row r="116">
      <c r="A116" s="27" t="s">
        <v>42</v>
      </c>
      <c r="B116" s="27" t="s">
        <v>389</v>
      </c>
      <c r="C116" s="27" t="s">
        <v>390</v>
      </c>
      <c r="D116" s="27" t="s">
        <v>391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27405</f>
        <v>27405.0</v>
      </c>
      <c r="L116" s="34" t="s">
        <v>48</v>
      </c>
      <c r="M116" s="33" t="n">
        <f>28110</f>
        <v>28110.0</v>
      </c>
      <c r="N116" s="34" t="s">
        <v>49</v>
      </c>
      <c r="O116" s="33" t="n">
        <f>26750</f>
        <v>26750.0</v>
      </c>
      <c r="P116" s="34" t="s">
        <v>221</v>
      </c>
      <c r="Q116" s="33" t="n">
        <f>27500</f>
        <v>27500.0</v>
      </c>
      <c r="R116" s="34" t="s">
        <v>50</v>
      </c>
      <c r="S116" s="35" t="n">
        <f>27470.5</f>
        <v>27470.5</v>
      </c>
      <c r="T116" s="32" t="n">
        <f>2828</f>
        <v>2828.0</v>
      </c>
      <c r="U116" s="32" t="n">
        <f>1</f>
        <v>1.0</v>
      </c>
      <c r="V116" s="32" t="n">
        <f>77632020</f>
        <v>7.763202E7</v>
      </c>
      <c r="W116" s="32" t="n">
        <f>27790</f>
        <v>27790.0</v>
      </c>
      <c r="X116" s="36" t="n">
        <f>20</f>
        <v>20.0</v>
      </c>
    </row>
    <row r="117">
      <c r="A117" s="27" t="s">
        <v>42</v>
      </c>
      <c r="B117" s="27" t="s">
        <v>392</v>
      </c>
      <c r="C117" s="27" t="s">
        <v>393</v>
      </c>
      <c r="D117" s="27" t="s">
        <v>394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28220</f>
        <v>28220.0</v>
      </c>
      <c r="L117" s="34" t="s">
        <v>48</v>
      </c>
      <c r="M117" s="33" t="n">
        <f>32300</f>
        <v>32300.0</v>
      </c>
      <c r="N117" s="34" t="s">
        <v>69</v>
      </c>
      <c r="O117" s="33" t="n">
        <f>28220</f>
        <v>28220.0</v>
      </c>
      <c r="P117" s="34" t="s">
        <v>48</v>
      </c>
      <c r="Q117" s="33" t="n">
        <f>30300</f>
        <v>30300.0</v>
      </c>
      <c r="R117" s="34" t="s">
        <v>50</v>
      </c>
      <c r="S117" s="35" t="n">
        <f>30291.25</f>
        <v>30291.25</v>
      </c>
      <c r="T117" s="32" t="n">
        <f>15030</f>
        <v>15030.0</v>
      </c>
      <c r="U117" s="32" t="n">
        <f>1</f>
        <v>1.0</v>
      </c>
      <c r="V117" s="32" t="n">
        <f>459703385</f>
        <v>4.59703385E8</v>
      </c>
      <c r="W117" s="32" t="n">
        <f>31350</f>
        <v>31350.0</v>
      </c>
      <c r="X117" s="36" t="n">
        <f>20</f>
        <v>20.0</v>
      </c>
    </row>
    <row r="118">
      <c r="A118" s="27" t="s">
        <v>42</v>
      </c>
      <c r="B118" s="27" t="s">
        <v>395</v>
      </c>
      <c r="C118" s="27" t="s">
        <v>396</v>
      </c>
      <c r="D118" s="27" t="s">
        <v>397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23105</f>
        <v>23105.0</v>
      </c>
      <c r="L118" s="34" t="s">
        <v>48</v>
      </c>
      <c r="M118" s="33" t="n">
        <f>24995</f>
        <v>24995.0</v>
      </c>
      <c r="N118" s="34" t="s">
        <v>90</v>
      </c>
      <c r="O118" s="33" t="n">
        <f>23105</f>
        <v>23105.0</v>
      </c>
      <c r="P118" s="34" t="s">
        <v>48</v>
      </c>
      <c r="Q118" s="33" t="n">
        <f>23630</f>
        <v>23630.0</v>
      </c>
      <c r="R118" s="34" t="s">
        <v>50</v>
      </c>
      <c r="S118" s="35" t="n">
        <f>24056.75</f>
        <v>24056.75</v>
      </c>
      <c r="T118" s="32" t="n">
        <f>9433</f>
        <v>9433.0</v>
      </c>
      <c r="U118" s="32" t="str">
        <f>"－"</f>
        <v>－</v>
      </c>
      <c r="V118" s="32" t="n">
        <f>227297965</f>
        <v>2.27297965E8</v>
      </c>
      <c r="W118" s="32" t="str">
        <f>"－"</f>
        <v>－</v>
      </c>
      <c r="X118" s="36" t="n">
        <f>20</f>
        <v>20.0</v>
      </c>
    </row>
    <row r="119">
      <c r="A119" s="27" t="s">
        <v>42</v>
      </c>
      <c r="B119" s="27" t="s">
        <v>398</v>
      </c>
      <c r="C119" s="27" t="s">
        <v>399</v>
      </c>
      <c r="D119" s="27" t="s">
        <v>400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48410</f>
        <v>48410.0</v>
      </c>
      <c r="L119" s="34" t="s">
        <v>48</v>
      </c>
      <c r="M119" s="33" t="n">
        <f>49910</f>
        <v>49910.0</v>
      </c>
      <c r="N119" s="34" t="s">
        <v>264</v>
      </c>
      <c r="O119" s="33" t="n">
        <f>46700</f>
        <v>46700.0</v>
      </c>
      <c r="P119" s="34" t="s">
        <v>50</v>
      </c>
      <c r="Q119" s="33" t="n">
        <f>47080</f>
        <v>47080.0</v>
      </c>
      <c r="R119" s="34" t="s">
        <v>50</v>
      </c>
      <c r="S119" s="35" t="n">
        <f>48473</f>
        <v>48473.0</v>
      </c>
      <c r="T119" s="32" t="n">
        <f>907</f>
        <v>907.0</v>
      </c>
      <c r="U119" s="32" t="str">
        <f>"－"</f>
        <v>－</v>
      </c>
      <c r="V119" s="32" t="n">
        <f>43812350</f>
        <v>4.381235E7</v>
      </c>
      <c r="W119" s="32" t="str">
        <f>"－"</f>
        <v>－</v>
      </c>
      <c r="X119" s="36" t="n">
        <f>20</f>
        <v>20.0</v>
      </c>
    </row>
    <row r="120">
      <c r="A120" s="27" t="s">
        <v>42</v>
      </c>
      <c r="B120" s="27" t="s">
        <v>401</v>
      </c>
      <c r="C120" s="27" t="s">
        <v>402</v>
      </c>
      <c r="D120" s="27" t="s">
        <v>403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31520</f>
        <v>31520.0</v>
      </c>
      <c r="L120" s="34" t="s">
        <v>48</v>
      </c>
      <c r="M120" s="33" t="n">
        <f>32220</f>
        <v>32220.0</v>
      </c>
      <c r="N120" s="34" t="s">
        <v>60</v>
      </c>
      <c r="O120" s="33" t="n">
        <f>30360</f>
        <v>30360.0</v>
      </c>
      <c r="P120" s="34" t="s">
        <v>221</v>
      </c>
      <c r="Q120" s="33" t="n">
        <f>30580</f>
        <v>30580.0</v>
      </c>
      <c r="R120" s="34" t="s">
        <v>50</v>
      </c>
      <c r="S120" s="35" t="n">
        <f>31269</f>
        <v>31269.0</v>
      </c>
      <c r="T120" s="32" t="n">
        <f>8476</f>
        <v>8476.0</v>
      </c>
      <c r="U120" s="32" t="n">
        <f>1300</f>
        <v>1300.0</v>
      </c>
      <c r="V120" s="32" t="n">
        <f>265415190</f>
        <v>2.6541519E8</v>
      </c>
      <c r="W120" s="32" t="n">
        <f>41374970</f>
        <v>4.137497E7</v>
      </c>
      <c r="X120" s="36" t="n">
        <f>20</f>
        <v>20.0</v>
      </c>
    </row>
    <row r="121">
      <c r="A121" s="27" t="s">
        <v>42</v>
      </c>
      <c r="B121" s="27" t="s">
        <v>404</v>
      </c>
      <c r="C121" s="27" t="s">
        <v>405</v>
      </c>
      <c r="D121" s="27" t="s">
        <v>406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30640</f>
        <v>30640.0</v>
      </c>
      <c r="L121" s="34" t="s">
        <v>48</v>
      </c>
      <c r="M121" s="33" t="n">
        <f>31410</f>
        <v>31410.0</v>
      </c>
      <c r="N121" s="34" t="s">
        <v>49</v>
      </c>
      <c r="O121" s="33" t="n">
        <f>30170</f>
        <v>30170.0</v>
      </c>
      <c r="P121" s="34" t="s">
        <v>50</v>
      </c>
      <c r="Q121" s="33" t="n">
        <f>30170</f>
        <v>30170.0</v>
      </c>
      <c r="R121" s="34" t="s">
        <v>50</v>
      </c>
      <c r="S121" s="35" t="n">
        <f>30767.5</f>
        <v>30767.5</v>
      </c>
      <c r="T121" s="32" t="n">
        <f>10186</f>
        <v>10186.0</v>
      </c>
      <c r="U121" s="32" t="n">
        <f>6452</f>
        <v>6452.0</v>
      </c>
      <c r="V121" s="32" t="n">
        <f>315058228</f>
        <v>3.15058228E8</v>
      </c>
      <c r="W121" s="32" t="n">
        <f>199715138</f>
        <v>1.99715138E8</v>
      </c>
      <c r="X121" s="36" t="n">
        <f>20</f>
        <v>20.0</v>
      </c>
    </row>
    <row r="122">
      <c r="A122" s="27" t="s">
        <v>42</v>
      </c>
      <c r="B122" s="27" t="s">
        <v>407</v>
      </c>
      <c r="C122" s="27" t="s">
        <v>408</v>
      </c>
      <c r="D122" s="27" t="s">
        <v>409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7810</f>
        <v>7810.0</v>
      </c>
      <c r="L122" s="34" t="s">
        <v>48</v>
      </c>
      <c r="M122" s="33" t="n">
        <f>8565</f>
        <v>8565.0</v>
      </c>
      <c r="N122" s="34" t="s">
        <v>67</v>
      </c>
      <c r="O122" s="33" t="n">
        <f>7798</f>
        <v>7798.0</v>
      </c>
      <c r="P122" s="34" t="s">
        <v>48</v>
      </c>
      <c r="Q122" s="33" t="n">
        <f>7941</f>
        <v>7941.0</v>
      </c>
      <c r="R122" s="34" t="s">
        <v>50</v>
      </c>
      <c r="S122" s="35" t="n">
        <f>8125.5</f>
        <v>8125.5</v>
      </c>
      <c r="T122" s="32" t="n">
        <f>29752</f>
        <v>29752.0</v>
      </c>
      <c r="U122" s="32" t="str">
        <f>"－"</f>
        <v>－</v>
      </c>
      <c r="V122" s="32" t="n">
        <f>243810242</f>
        <v>2.43810242E8</v>
      </c>
      <c r="W122" s="32" t="str">
        <f>"－"</f>
        <v>－</v>
      </c>
      <c r="X122" s="36" t="n">
        <f>20</f>
        <v>20.0</v>
      </c>
    </row>
    <row r="123">
      <c r="A123" s="27" t="s">
        <v>42</v>
      </c>
      <c r="B123" s="27" t="s">
        <v>410</v>
      </c>
      <c r="C123" s="27" t="s">
        <v>411</v>
      </c>
      <c r="D123" s="27" t="s">
        <v>412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18400</f>
        <v>18400.0</v>
      </c>
      <c r="L123" s="34" t="s">
        <v>48</v>
      </c>
      <c r="M123" s="33" t="n">
        <f>19270</f>
        <v>19270.0</v>
      </c>
      <c r="N123" s="34" t="s">
        <v>67</v>
      </c>
      <c r="O123" s="33" t="n">
        <f>18180</f>
        <v>18180.0</v>
      </c>
      <c r="P123" s="34" t="s">
        <v>50</v>
      </c>
      <c r="Q123" s="33" t="n">
        <f>18295</f>
        <v>18295.0</v>
      </c>
      <c r="R123" s="34" t="s">
        <v>50</v>
      </c>
      <c r="S123" s="35" t="n">
        <f>18848.75</f>
        <v>18848.75</v>
      </c>
      <c r="T123" s="32" t="n">
        <f>7133</f>
        <v>7133.0</v>
      </c>
      <c r="U123" s="32" t="str">
        <f>"－"</f>
        <v>－</v>
      </c>
      <c r="V123" s="32" t="n">
        <f>134431560</f>
        <v>1.3443156E8</v>
      </c>
      <c r="W123" s="32" t="str">
        <f>"－"</f>
        <v>－</v>
      </c>
      <c r="X123" s="36" t="n">
        <f>20</f>
        <v>20.0</v>
      </c>
    </row>
    <row r="124">
      <c r="A124" s="27" t="s">
        <v>42</v>
      </c>
      <c r="B124" s="27" t="s">
        <v>413</v>
      </c>
      <c r="C124" s="27" t="s">
        <v>414</v>
      </c>
      <c r="D124" s="27" t="s">
        <v>415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70200</f>
        <v>70200.0</v>
      </c>
      <c r="L124" s="34" t="s">
        <v>48</v>
      </c>
      <c r="M124" s="33" t="n">
        <f>74500</f>
        <v>74500.0</v>
      </c>
      <c r="N124" s="34" t="s">
        <v>67</v>
      </c>
      <c r="O124" s="33" t="n">
        <f>70200</f>
        <v>70200.0</v>
      </c>
      <c r="P124" s="34" t="s">
        <v>48</v>
      </c>
      <c r="Q124" s="33" t="n">
        <f>70770</f>
        <v>70770.0</v>
      </c>
      <c r="R124" s="34" t="s">
        <v>50</v>
      </c>
      <c r="S124" s="35" t="n">
        <f>72545.5</f>
        <v>72545.5</v>
      </c>
      <c r="T124" s="32" t="n">
        <f>16430</f>
        <v>16430.0</v>
      </c>
      <c r="U124" s="32" t="str">
        <f>"－"</f>
        <v>－</v>
      </c>
      <c r="V124" s="32" t="n">
        <f>1197718400</f>
        <v>1.1977184E9</v>
      </c>
      <c r="W124" s="32" t="str">
        <f>"－"</f>
        <v>－</v>
      </c>
      <c r="X124" s="36" t="n">
        <f>20</f>
        <v>20.0</v>
      </c>
    </row>
    <row r="125">
      <c r="A125" s="27" t="s">
        <v>42</v>
      </c>
      <c r="B125" s="27" t="s">
        <v>416</v>
      </c>
      <c r="C125" s="27" t="s">
        <v>417</v>
      </c>
      <c r="D125" s="27" t="s">
        <v>418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26150</f>
        <v>26150.0</v>
      </c>
      <c r="L125" s="34" t="s">
        <v>48</v>
      </c>
      <c r="M125" s="33" t="n">
        <f>26895</f>
        <v>26895.0</v>
      </c>
      <c r="N125" s="34" t="s">
        <v>49</v>
      </c>
      <c r="O125" s="33" t="n">
        <f>25620</f>
        <v>25620.0</v>
      </c>
      <c r="P125" s="34" t="s">
        <v>50</v>
      </c>
      <c r="Q125" s="33" t="n">
        <f>25690</f>
        <v>25690.0</v>
      </c>
      <c r="R125" s="34" t="s">
        <v>50</v>
      </c>
      <c r="S125" s="35" t="n">
        <f>26326.25</f>
        <v>26326.25</v>
      </c>
      <c r="T125" s="32" t="n">
        <f>23473</f>
        <v>23473.0</v>
      </c>
      <c r="U125" s="32" t="str">
        <f>"－"</f>
        <v>－</v>
      </c>
      <c r="V125" s="32" t="n">
        <f>612588110</f>
        <v>6.1258811E8</v>
      </c>
      <c r="W125" s="32" t="str">
        <f>"－"</f>
        <v>－</v>
      </c>
      <c r="X125" s="36" t="n">
        <f>20</f>
        <v>20.0</v>
      </c>
    </row>
    <row r="126">
      <c r="A126" s="27" t="s">
        <v>42</v>
      </c>
      <c r="B126" s="27" t="s">
        <v>419</v>
      </c>
      <c r="C126" s="27" t="s">
        <v>420</v>
      </c>
      <c r="D126" s="27" t="s">
        <v>421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13145</f>
        <v>13145.0</v>
      </c>
      <c r="L126" s="34" t="s">
        <v>48</v>
      </c>
      <c r="M126" s="33" t="n">
        <f>15010</f>
        <v>15010.0</v>
      </c>
      <c r="N126" s="34" t="s">
        <v>90</v>
      </c>
      <c r="O126" s="33" t="n">
        <f>13145</f>
        <v>13145.0</v>
      </c>
      <c r="P126" s="34" t="s">
        <v>48</v>
      </c>
      <c r="Q126" s="33" t="n">
        <f>14335</f>
        <v>14335.0</v>
      </c>
      <c r="R126" s="34" t="s">
        <v>50</v>
      </c>
      <c r="S126" s="35" t="n">
        <f>14307</f>
        <v>14307.0</v>
      </c>
      <c r="T126" s="32" t="n">
        <f>101523</f>
        <v>101523.0</v>
      </c>
      <c r="U126" s="32" t="n">
        <f>14000</f>
        <v>14000.0</v>
      </c>
      <c r="V126" s="32" t="n">
        <f>1453135085</f>
        <v>1.453135085E9</v>
      </c>
      <c r="W126" s="32" t="n">
        <f>196258900</f>
        <v>1.962589E8</v>
      </c>
      <c r="X126" s="36" t="n">
        <f>20</f>
        <v>20.0</v>
      </c>
    </row>
    <row r="127">
      <c r="A127" s="27" t="s">
        <v>42</v>
      </c>
      <c r="B127" s="27" t="s">
        <v>422</v>
      </c>
      <c r="C127" s="27" t="s">
        <v>423</v>
      </c>
      <c r="D127" s="27" t="s">
        <v>424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18090</f>
        <v>18090.0</v>
      </c>
      <c r="L127" s="34" t="s">
        <v>48</v>
      </c>
      <c r="M127" s="33" t="n">
        <f>20410</f>
        <v>20410.0</v>
      </c>
      <c r="N127" s="34" t="s">
        <v>67</v>
      </c>
      <c r="O127" s="33" t="n">
        <f>18090</f>
        <v>18090.0</v>
      </c>
      <c r="P127" s="34" t="s">
        <v>48</v>
      </c>
      <c r="Q127" s="33" t="n">
        <f>19530</f>
        <v>19530.0</v>
      </c>
      <c r="R127" s="34" t="s">
        <v>50</v>
      </c>
      <c r="S127" s="35" t="n">
        <f>19450</f>
        <v>19450.0</v>
      </c>
      <c r="T127" s="32" t="n">
        <f>23254</f>
        <v>23254.0</v>
      </c>
      <c r="U127" s="32" t="n">
        <f>15002</f>
        <v>15002.0</v>
      </c>
      <c r="V127" s="32" t="n">
        <f>447827610</f>
        <v>4.4782761E8</v>
      </c>
      <c r="W127" s="32" t="n">
        <f>286373400</f>
        <v>2.863734E8</v>
      </c>
      <c r="X127" s="36" t="n">
        <f>20</f>
        <v>20.0</v>
      </c>
    </row>
    <row r="128">
      <c r="A128" s="27" t="s">
        <v>42</v>
      </c>
      <c r="B128" s="27" t="s">
        <v>425</v>
      </c>
      <c r="C128" s="27" t="s">
        <v>426</v>
      </c>
      <c r="D128" s="27" t="s">
        <v>427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32450</f>
        <v>32450.0</v>
      </c>
      <c r="L128" s="34" t="s">
        <v>48</v>
      </c>
      <c r="M128" s="33" t="n">
        <f>35140</f>
        <v>35140.0</v>
      </c>
      <c r="N128" s="34" t="s">
        <v>49</v>
      </c>
      <c r="O128" s="33" t="n">
        <f>32450</f>
        <v>32450.0</v>
      </c>
      <c r="P128" s="34" t="s">
        <v>48</v>
      </c>
      <c r="Q128" s="33" t="n">
        <f>34000</f>
        <v>34000.0</v>
      </c>
      <c r="R128" s="34" t="s">
        <v>50</v>
      </c>
      <c r="S128" s="35" t="n">
        <f>34004</f>
        <v>34004.0</v>
      </c>
      <c r="T128" s="32" t="n">
        <f>8700</f>
        <v>8700.0</v>
      </c>
      <c r="U128" s="32" t="n">
        <f>2960</f>
        <v>2960.0</v>
      </c>
      <c r="V128" s="32" t="n">
        <f>294843658</f>
        <v>2.94843658E8</v>
      </c>
      <c r="W128" s="32" t="n">
        <f>100032608</f>
        <v>1.00032608E8</v>
      </c>
      <c r="X128" s="36" t="n">
        <f>20</f>
        <v>20.0</v>
      </c>
    </row>
    <row r="129">
      <c r="A129" s="27" t="s">
        <v>42</v>
      </c>
      <c r="B129" s="27" t="s">
        <v>428</v>
      </c>
      <c r="C129" s="27" t="s">
        <v>429</v>
      </c>
      <c r="D129" s="27" t="s">
        <v>430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10.0</v>
      </c>
      <c r="K129" s="33" t="n">
        <f>1591.5</f>
        <v>1591.5</v>
      </c>
      <c r="L129" s="34" t="s">
        <v>48</v>
      </c>
      <c r="M129" s="33" t="n">
        <f>1750</f>
        <v>1750.0</v>
      </c>
      <c r="N129" s="34" t="s">
        <v>67</v>
      </c>
      <c r="O129" s="33" t="n">
        <f>1591.5</f>
        <v>1591.5</v>
      </c>
      <c r="P129" s="34" t="s">
        <v>48</v>
      </c>
      <c r="Q129" s="33" t="n">
        <f>1706.5</f>
        <v>1706.5</v>
      </c>
      <c r="R129" s="34" t="s">
        <v>50</v>
      </c>
      <c r="S129" s="35" t="n">
        <f>1687.85</f>
        <v>1687.85</v>
      </c>
      <c r="T129" s="32" t="n">
        <f>790010</f>
        <v>790010.0</v>
      </c>
      <c r="U129" s="32" t="n">
        <f>504210</f>
        <v>504210.0</v>
      </c>
      <c r="V129" s="32" t="n">
        <f>1313636461</f>
        <v>1.313636461E9</v>
      </c>
      <c r="W129" s="32" t="n">
        <f>831375216</f>
        <v>8.31375216E8</v>
      </c>
      <c r="X129" s="36" t="n">
        <f>20</f>
        <v>20.0</v>
      </c>
    </row>
    <row r="130">
      <c r="A130" s="27" t="s">
        <v>42</v>
      </c>
      <c r="B130" s="27" t="s">
        <v>431</v>
      </c>
      <c r="C130" s="27" t="s">
        <v>432</v>
      </c>
      <c r="D130" s="27" t="s">
        <v>433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2654</f>
        <v>2654.0</v>
      </c>
      <c r="L130" s="34" t="s">
        <v>48</v>
      </c>
      <c r="M130" s="33" t="n">
        <f>2773</f>
        <v>2773.0</v>
      </c>
      <c r="N130" s="34" t="s">
        <v>67</v>
      </c>
      <c r="O130" s="33" t="n">
        <f>2654</f>
        <v>2654.0</v>
      </c>
      <c r="P130" s="34" t="s">
        <v>48</v>
      </c>
      <c r="Q130" s="33" t="n">
        <f>2674</f>
        <v>2674.0</v>
      </c>
      <c r="R130" s="34" t="s">
        <v>50</v>
      </c>
      <c r="S130" s="35" t="n">
        <f>2710.03</f>
        <v>2710.03</v>
      </c>
      <c r="T130" s="32" t="n">
        <f>8980</f>
        <v>8980.0</v>
      </c>
      <c r="U130" s="32" t="str">
        <f>"－"</f>
        <v>－</v>
      </c>
      <c r="V130" s="32" t="n">
        <f>24214825</f>
        <v>2.4214825E7</v>
      </c>
      <c r="W130" s="32" t="str">
        <f>"－"</f>
        <v>－</v>
      </c>
      <c r="X130" s="36" t="n">
        <f>17</f>
        <v>17.0</v>
      </c>
    </row>
    <row r="131">
      <c r="A131" s="27" t="s">
        <v>42</v>
      </c>
      <c r="B131" s="27" t="s">
        <v>434</v>
      </c>
      <c r="C131" s="27" t="s">
        <v>435</v>
      </c>
      <c r="D131" s="27" t="s">
        <v>436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2935</f>
        <v>2935.0</v>
      </c>
      <c r="L131" s="34" t="s">
        <v>48</v>
      </c>
      <c r="M131" s="33" t="n">
        <f>3053</f>
        <v>3053.0</v>
      </c>
      <c r="N131" s="34" t="s">
        <v>49</v>
      </c>
      <c r="O131" s="33" t="n">
        <f>2935</f>
        <v>2935.0</v>
      </c>
      <c r="P131" s="34" t="s">
        <v>48</v>
      </c>
      <c r="Q131" s="33" t="n">
        <f>2968</f>
        <v>2968.0</v>
      </c>
      <c r="R131" s="34" t="s">
        <v>69</v>
      </c>
      <c r="S131" s="35" t="n">
        <f>2983.61</f>
        <v>2983.61</v>
      </c>
      <c r="T131" s="32" t="n">
        <f>24630</f>
        <v>24630.0</v>
      </c>
      <c r="U131" s="32" t="str">
        <f>"－"</f>
        <v>－</v>
      </c>
      <c r="V131" s="32" t="n">
        <f>73509410</f>
        <v>7.350941E7</v>
      </c>
      <c r="W131" s="32" t="str">
        <f>"－"</f>
        <v>－</v>
      </c>
      <c r="X131" s="36" t="n">
        <f>14</f>
        <v>14.0</v>
      </c>
    </row>
    <row r="132">
      <c r="A132" s="27" t="s">
        <v>42</v>
      </c>
      <c r="B132" s="27" t="s">
        <v>437</v>
      </c>
      <c r="C132" s="27" t="s">
        <v>438</v>
      </c>
      <c r="D132" s="27" t="s">
        <v>439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1825.5</f>
        <v>1825.5</v>
      </c>
      <c r="L132" s="34" t="s">
        <v>48</v>
      </c>
      <c r="M132" s="33" t="n">
        <f>1909</f>
        <v>1909.0</v>
      </c>
      <c r="N132" s="34" t="s">
        <v>49</v>
      </c>
      <c r="O132" s="33" t="n">
        <f>1825.5</f>
        <v>1825.5</v>
      </c>
      <c r="P132" s="34" t="s">
        <v>48</v>
      </c>
      <c r="Q132" s="33" t="n">
        <f>1858.5</f>
        <v>1858.5</v>
      </c>
      <c r="R132" s="34" t="s">
        <v>69</v>
      </c>
      <c r="S132" s="35" t="n">
        <f>1874.33</f>
        <v>1874.33</v>
      </c>
      <c r="T132" s="32" t="n">
        <f>2870</f>
        <v>2870.0</v>
      </c>
      <c r="U132" s="32" t="str">
        <f>"－"</f>
        <v>－</v>
      </c>
      <c r="V132" s="32" t="n">
        <f>5350750</f>
        <v>5350750.0</v>
      </c>
      <c r="W132" s="32" t="str">
        <f>"－"</f>
        <v>－</v>
      </c>
      <c r="X132" s="36" t="n">
        <f>15</f>
        <v>15.0</v>
      </c>
    </row>
    <row r="133">
      <c r="A133" s="27" t="s">
        <v>42</v>
      </c>
      <c r="B133" s="27" t="s">
        <v>440</v>
      </c>
      <c r="C133" s="27" t="s">
        <v>441</v>
      </c>
      <c r="D133" s="27" t="s">
        <v>442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472.2</f>
        <v>472.2</v>
      </c>
      <c r="L133" s="34" t="s">
        <v>48</v>
      </c>
      <c r="M133" s="33" t="n">
        <f>480</f>
        <v>480.0</v>
      </c>
      <c r="N133" s="34" t="s">
        <v>49</v>
      </c>
      <c r="O133" s="33" t="n">
        <f>458.9</f>
        <v>458.9</v>
      </c>
      <c r="P133" s="34" t="s">
        <v>250</v>
      </c>
      <c r="Q133" s="33" t="n">
        <f>461.8</f>
        <v>461.8</v>
      </c>
      <c r="R133" s="34" t="s">
        <v>50</v>
      </c>
      <c r="S133" s="35" t="n">
        <f>470.17</f>
        <v>470.17</v>
      </c>
      <c r="T133" s="32" t="n">
        <f>37962660</f>
        <v>3.796266E7</v>
      </c>
      <c r="U133" s="32" t="n">
        <f>792910</f>
        <v>792910.0</v>
      </c>
      <c r="V133" s="32" t="n">
        <f>17829230664</f>
        <v>1.7829230664E10</v>
      </c>
      <c r="W133" s="32" t="n">
        <f>372290332</f>
        <v>3.72290332E8</v>
      </c>
      <c r="X133" s="36" t="n">
        <f>20</f>
        <v>20.0</v>
      </c>
    </row>
    <row r="134">
      <c r="A134" s="27" t="s">
        <v>42</v>
      </c>
      <c r="B134" s="27" t="s">
        <v>443</v>
      </c>
      <c r="C134" s="27" t="s">
        <v>444</v>
      </c>
      <c r="D134" s="27" t="s">
        <v>445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286.2</f>
        <v>286.2</v>
      </c>
      <c r="L134" s="34" t="s">
        <v>48</v>
      </c>
      <c r="M134" s="33" t="n">
        <f>287.8</f>
        <v>287.8</v>
      </c>
      <c r="N134" s="34" t="s">
        <v>60</v>
      </c>
      <c r="O134" s="33" t="n">
        <f>282.6</f>
        <v>282.6</v>
      </c>
      <c r="P134" s="34" t="s">
        <v>221</v>
      </c>
      <c r="Q134" s="33" t="n">
        <f>284.2</f>
        <v>284.2</v>
      </c>
      <c r="R134" s="34" t="s">
        <v>50</v>
      </c>
      <c r="S134" s="35" t="n">
        <f>285.84</f>
        <v>285.84</v>
      </c>
      <c r="T134" s="32" t="n">
        <f>7611860</f>
        <v>7611860.0</v>
      </c>
      <c r="U134" s="32" t="n">
        <f>5671480</f>
        <v>5671480.0</v>
      </c>
      <c r="V134" s="32" t="n">
        <f>2173594985</f>
        <v>2.173594985E9</v>
      </c>
      <c r="W134" s="32" t="n">
        <f>1618603586</f>
        <v>1.618603586E9</v>
      </c>
      <c r="X134" s="36" t="n">
        <f>20</f>
        <v>20.0</v>
      </c>
    </row>
    <row r="135">
      <c r="A135" s="27" t="s">
        <v>42</v>
      </c>
      <c r="B135" s="27" t="s">
        <v>446</v>
      </c>
      <c r="C135" s="27" t="s">
        <v>447</v>
      </c>
      <c r="D135" s="27" t="s">
        <v>448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4050</f>
        <v>4050.0</v>
      </c>
      <c r="L135" s="34" t="s">
        <v>48</v>
      </c>
      <c r="M135" s="33" t="n">
        <f>4095</f>
        <v>4095.0</v>
      </c>
      <c r="N135" s="34" t="s">
        <v>49</v>
      </c>
      <c r="O135" s="33" t="n">
        <f>3920</f>
        <v>3920.0</v>
      </c>
      <c r="P135" s="34" t="s">
        <v>250</v>
      </c>
      <c r="Q135" s="33" t="n">
        <f>3955</f>
        <v>3955.0</v>
      </c>
      <c r="R135" s="34" t="s">
        <v>50</v>
      </c>
      <c r="S135" s="35" t="n">
        <f>4017.25</f>
        <v>4017.25</v>
      </c>
      <c r="T135" s="32" t="n">
        <f>114361</f>
        <v>114361.0</v>
      </c>
      <c r="U135" s="32" t="n">
        <f>76696</f>
        <v>76696.0</v>
      </c>
      <c r="V135" s="32" t="n">
        <f>453030893</f>
        <v>4.53030893E8</v>
      </c>
      <c r="W135" s="32" t="n">
        <f>302094248</f>
        <v>3.02094248E8</v>
      </c>
      <c r="X135" s="36" t="n">
        <f>20</f>
        <v>20.0</v>
      </c>
    </row>
    <row r="136">
      <c r="A136" s="27" t="s">
        <v>42</v>
      </c>
      <c r="B136" s="27" t="s">
        <v>449</v>
      </c>
      <c r="C136" s="27" t="s">
        <v>450</v>
      </c>
      <c r="D136" s="27" t="s">
        <v>451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2398</f>
        <v>2398.0</v>
      </c>
      <c r="L136" s="34" t="s">
        <v>48</v>
      </c>
      <c r="M136" s="33" t="n">
        <f>2453</f>
        <v>2453.0</v>
      </c>
      <c r="N136" s="34" t="s">
        <v>257</v>
      </c>
      <c r="O136" s="33" t="n">
        <f>2361</f>
        <v>2361.0</v>
      </c>
      <c r="P136" s="34" t="s">
        <v>221</v>
      </c>
      <c r="Q136" s="33" t="n">
        <f>2394</f>
        <v>2394.0</v>
      </c>
      <c r="R136" s="34" t="s">
        <v>50</v>
      </c>
      <c r="S136" s="35" t="n">
        <f>2410.2</f>
        <v>2410.2</v>
      </c>
      <c r="T136" s="32" t="n">
        <f>116459</f>
        <v>116459.0</v>
      </c>
      <c r="U136" s="32" t="n">
        <f>55428</f>
        <v>55428.0</v>
      </c>
      <c r="V136" s="32" t="n">
        <f>278219701</f>
        <v>2.78219701E8</v>
      </c>
      <c r="W136" s="32" t="n">
        <f>131072724</f>
        <v>1.31072724E8</v>
      </c>
      <c r="X136" s="36" t="n">
        <f>20</f>
        <v>20.0</v>
      </c>
    </row>
    <row r="137">
      <c r="A137" s="27" t="s">
        <v>42</v>
      </c>
      <c r="B137" s="27" t="s">
        <v>452</v>
      </c>
      <c r="C137" s="27" t="s">
        <v>453</v>
      </c>
      <c r="D137" s="27" t="s">
        <v>454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2767</f>
        <v>2767.0</v>
      </c>
      <c r="L137" s="34" t="s">
        <v>48</v>
      </c>
      <c r="M137" s="33" t="n">
        <f>2807</f>
        <v>2807.0</v>
      </c>
      <c r="N137" s="34" t="s">
        <v>49</v>
      </c>
      <c r="O137" s="33" t="n">
        <f>2610</f>
        <v>2610.0</v>
      </c>
      <c r="P137" s="34" t="s">
        <v>69</v>
      </c>
      <c r="Q137" s="33" t="n">
        <f>2626</f>
        <v>2626.0</v>
      </c>
      <c r="R137" s="34" t="s">
        <v>50</v>
      </c>
      <c r="S137" s="35" t="n">
        <f>2728.4</f>
        <v>2728.4</v>
      </c>
      <c r="T137" s="32" t="n">
        <f>165180</f>
        <v>165180.0</v>
      </c>
      <c r="U137" s="32" t="n">
        <f>49287</f>
        <v>49287.0</v>
      </c>
      <c r="V137" s="32" t="n">
        <f>444476731</f>
        <v>4.44476731E8</v>
      </c>
      <c r="W137" s="32" t="n">
        <f>129171852</f>
        <v>1.29171852E8</v>
      </c>
      <c r="X137" s="36" t="n">
        <f>20</f>
        <v>20.0</v>
      </c>
    </row>
    <row r="138">
      <c r="A138" s="27" t="s">
        <v>42</v>
      </c>
      <c r="B138" s="27" t="s">
        <v>455</v>
      </c>
      <c r="C138" s="27" t="s">
        <v>456</v>
      </c>
      <c r="D138" s="27" t="s">
        <v>457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10825</f>
        <v>10825.0</v>
      </c>
      <c r="L138" s="34" t="s">
        <v>48</v>
      </c>
      <c r="M138" s="33" t="n">
        <f>11060</f>
        <v>11060.0</v>
      </c>
      <c r="N138" s="34" t="s">
        <v>86</v>
      </c>
      <c r="O138" s="33" t="n">
        <f>10610</f>
        <v>10610.0</v>
      </c>
      <c r="P138" s="34" t="s">
        <v>69</v>
      </c>
      <c r="Q138" s="33" t="n">
        <f>10720</f>
        <v>10720.0</v>
      </c>
      <c r="R138" s="34" t="s">
        <v>50</v>
      </c>
      <c r="S138" s="35" t="n">
        <f>10836.5</f>
        <v>10836.5</v>
      </c>
      <c r="T138" s="32" t="n">
        <f>110997</f>
        <v>110997.0</v>
      </c>
      <c r="U138" s="32" t="n">
        <f>47000</f>
        <v>47000.0</v>
      </c>
      <c r="V138" s="32" t="n">
        <f>1198308681</f>
        <v>1.198308681E9</v>
      </c>
      <c r="W138" s="32" t="n">
        <f>506441331</f>
        <v>5.06441331E8</v>
      </c>
      <c r="X138" s="36" t="n">
        <f>20</f>
        <v>20.0</v>
      </c>
    </row>
    <row r="139">
      <c r="A139" s="27" t="s">
        <v>42</v>
      </c>
      <c r="B139" s="27" t="s">
        <v>458</v>
      </c>
      <c r="C139" s="27" t="s">
        <v>459</v>
      </c>
      <c r="D139" s="27" t="s">
        <v>460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2980</f>
        <v>2980.0</v>
      </c>
      <c r="L139" s="34" t="s">
        <v>48</v>
      </c>
      <c r="M139" s="33" t="n">
        <f>3475</f>
        <v>3475.0</v>
      </c>
      <c r="N139" s="34" t="s">
        <v>69</v>
      </c>
      <c r="O139" s="33" t="n">
        <f>2979</f>
        <v>2979.0</v>
      </c>
      <c r="P139" s="34" t="s">
        <v>48</v>
      </c>
      <c r="Q139" s="33" t="n">
        <f>3360</f>
        <v>3360.0</v>
      </c>
      <c r="R139" s="34" t="s">
        <v>50</v>
      </c>
      <c r="S139" s="35" t="n">
        <f>3225.95</f>
        <v>3225.95</v>
      </c>
      <c r="T139" s="32" t="n">
        <f>6672543</f>
        <v>6672543.0</v>
      </c>
      <c r="U139" s="32" t="n">
        <f>6413</f>
        <v>6413.0</v>
      </c>
      <c r="V139" s="32" t="n">
        <f>21716900293</f>
        <v>2.1716900293E10</v>
      </c>
      <c r="W139" s="32" t="n">
        <f>21038624</f>
        <v>2.1038624E7</v>
      </c>
      <c r="X139" s="36" t="n">
        <f>20</f>
        <v>20.0</v>
      </c>
    </row>
    <row r="140">
      <c r="A140" s="27" t="s">
        <v>42</v>
      </c>
      <c r="B140" s="27" t="s">
        <v>461</v>
      </c>
      <c r="C140" s="27" t="s">
        <v>462</v>
      </c>
      <c r="D140" s="27" t="s">
        <v>463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26520</f>
        <v>26520.0</v>
      </c>
      <c r="L140" s="34" t="s">
        <v>48</v>
      </c>
      <c r="M140" s="33" t="n">
        <f>26860</f>
        <v>26860.0</v>
      </c>
      <c r="N140" s="34" t="s">
        <v>90</v>
      </c>
      <c r="O140" s="33" t="n">
        <f>26115</f>
        <v>26115.0</v>
      </c>
      <c r="P140" s="34" t="s">
        <v>50</v>
      </c>
      <c r="Q140" s="33" t="n">
        <f>26170</f>
        <v>26170.0</v>
      </c>
      <c r="R140" s="34" t="s">
        <v>50</v>
      </c>
      <c r="S140" s="35" t="n">
        <f>26561.5</f>
        <v>26561.5</v>
      </c>
      <c r="T140" s="32" t="n">
        <f>3048</f>
        <v>3048.0</v>
      </c>
      <c r="U140" s="32" t="str">
        <f>"－"</f>
        <v>－</v>
      </c>
      <c r="V140" s="32" t="n">
        <f>80753000</f>
        <v>8.0753E7</v>
      </c>
      <c r="W140" s="32" t="str">
        <f>"－"</f>
        <v>－</v>
      </c>
      <c r="X140" s="36" t="n">
        <f>20</f>
        <v>20.0</v>
      </c>
    </row>
    <row r="141">
      <c r="A141" s="27" t="s">
        <v>42</v>
      </c>
      <c r="B141" s="27" t="s">
        <v>464</v>
      </c>
      <c r="C141" s="27" t="s">
        <v>465</v>
      </c>
      <c r="D141" s="27" t="s">
        <v>466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3277</f>
        <v>3277.0</v>
      </c>
      <c r="L141" s="34" t="s">
        <v>48</v>
      </c>
      <c r="M141" s="33" t="n">
        <f>3294</f>
        <v>3294.0</v>
      </c>
      <c r="N141" s="34" t="s">
        <v>48</v>
      </c>
      <c r="O141" s="33" t="n">
        <f>3080</f>
        <v>3080.0</v>
      </c>
      <c r="P141" s="34" t="s">
        <v>467</v>
      </c>
      <c r="Q141" s="33" t="n">
        <f>3155</f>
        <v>3155.0</v>
      </c>
      <c r="R141" s="34" t="s">
        <v>50</v>
      </c>
      <c r="S141" s="35" t="n">
        <f>3165.05</f>
        <v>3165.05</v>
      </c>
      <c r="T141" s="32" t="n">
        <f>17000</f>
        <v>17000.0</v>
      </c>
      <c r="U141" s="32" t="str">
        <f>"－"</f>
        <v>－</v>
      </c>
      <c r="V141" s="32" t="n">
        <f>53686200</f>
        <v>5.36862E7</v>
      </c>
      <c r="W141" s="32" t="str">
        <f>"－"</f>
        <v>－</v>
      </c>
      <c r="X141" s="36" t="n">
        <f>20</f>
        <v>20.0</v>
      </c>
    </row>
    <row r="142">
      <c r="A142" s="27" t="s">
        <v>42</v>
      </c>
      <c r="B142" s="27" t="s">
        <v>468</v>
      </c>
      <c r="C142" s="27" t="s">
        <v>469</v>
      </c>
      <c r="D142" s="27" t="s">
        <v>470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13190</f>
        <v>13190.0</v>
      </c>
      <c r="L142" s="34" t="s">
        <v>48</v>
      </c>
      <c r="M142" s="33" t="n">
        <f>13190</f>
        <v>13190.0</v>
      </c>
      <c r="N142" s="34" t="s">
        <v>48</v>
      </c>
      <c r="O142" s="33" t="n">
        <f>12175</f>
        <v>12175.0</v>
      </c>
      <c r="P142" s="34" t="s">
        <v>220</v>
      </c>
      <c r="Q142" s="33" t="n">
        <f>12665</f>
        <v>12665.0</v>
      </c>
      <c r="R142" s="34" t="s">
        <v>50</v>
      </c>
      <c r="S142" s="35" t="n">
        <f>12589.5</f>
        <v>12589.5</v>
      </c>
      <c r="T142" s="32" t="n">
        <f>3216</f>
        <v>3216.0</v>
      </c>
      <c r="U142" s="32" t="str">
        <f>"－"</f>
        <v>－</v>
      </c>
      <c r="V142" s="32" t="n">
        <f>40602275</f>
        <v>4.0602275E7</v>
      </c>
      <c r="W142" s="32" t="str">
        <f>"－"</f>
        <v>－</v>
      </c>
      <c r="X142" s="36" t="n">
        <f>20</f>
        <v>20.0</v>
      </c>
    </row>
    <row r="143">
      <c r="A143" s="27" t="s">
        <v>42</v>
      </c>
      <c r="B143" s="27" t="s">
        <v>471</v>
      </c>
      <c r="C143" s="27" t="s">
        <v>472</v>
      </c>
      <c r="D143" s="27" t="s">
        <v>473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16610</f>
        <v>16610.0</v>
      </c>
      <c r="L143" s="34" t="s">
        <v>48</v>
      </c>
      <c r="M143" s="33" t="n">
        <f>17660</f>
        <v>17660.0</v>
      </c>
      <c r="N143" s="34" t="s">
        <v>50</v>
      </c>
      <c r="O143" s="33" t="n">
        <f>16290</f>
        <v>16290.0</v>
      </c>
      <c r="P143" s="34" t="s">
        <v>220</v>
      </c>
      <c r="Q143" s="33" t="n">
        <f>17560</f>
        <v>17560.0</v>
      </c>
      <c r="R143" s="34" t="s">
        <v>50</v>
      </c>
      <c r="S143" s="35" t="n">
        <f>16886.5</f>
        <v>16886.5</v>
      </c>
      <c r="T143" s="32" t="n">
        <f>4040</f>
        <v>4040.0</v>
      </c>
      <c r="U143" s="32" t="str">
        <f>"－"</f>
        <v>－</v>
      </c>
      <c r="V143" s="32" t="n">
        <f>68304010</f>
        <v>6.830401E7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474</v>
      </c>
      <c r="C144" s="27" t="s">
        <v>475</v>
      </c>
      <c r="D144" s="27" t="s">
        <v>476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18845</f>
        <v>18845.0</v>
      </c>
      <c r="L144" s="34" t="s">
        <v>48</v>
      </c>
      <c r="M144" s="33" t="n">
        <f>19550</f>
        <v>19550.0</v>
      </c>
      <c r="N144" s="34" t="s">
        <v>477</v>
      </c>
      <c r="O144" s="33" t="n">
        <f>18845</f>
        <v>18845.0</v>
      </c>
      <c r="P144" s="34" t="s">
        <v>48</v>
      </c>
      <c r="Q144" s="33" t="n">
        <f>19225</f>
        <v>19225.0</v>
      </c>
      <c r="R144" s="34" t="s">
        <v>50</v>
      </c>
      <c r="S144" s="35" t="n">
        <f>19155.56</f>
        <v>19155.56</v>
      </c>
      <c r="T144" s="32" t="n">
        <f>94</f>
        <v>94.0</v>
      </c>
      <c r="U144" s="32" t="str">
        <f>"－"</f>
        <v>－</v>
      </c>
      <c r="V144" s="32" t="n">
        <f>1804730</f>
        <v>1804730.0</v>
      </c>
      <c r="W144" s="32" t="str">
        <f>"－"</f>
        <v>－</v>
      </c>
      <c r="X144" s="36" t="n">
        <f>9</f>
        <v>9.0</v>
      </c>
    </row>
    <row r="145">
      <c r="A145" s="27" t="s">
        <v>42</v>
      </c>
      <c r="B145" s="27" t="s">
        <v>478</v>
      </c>
      <c r="C145" s="27" t="s">
        <v>479</v>
      </c>
      <c r="D145" s="27" t="s">
        <v>480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52770</f>
        <v>52770.0</v>
      </c>
      <c r="L145" s="34" t="s">
        <v>48</v>
      </c>
      <c r="M145" s="33" t="n">
        <f>52970</f>
        <v>52970.0</v>
      </c>
      <c r="N145" s="34" t="s">
        <v>257</v>
      </c>
      <c r="O145" s="33" t="n">
        <f>52020</f>
        <v>52020.0</v>
      </c>
      <c r="P145" s="34" t="s">
        <v>69</v>
      </c>
      <c r="Q145" s="33" t="n">
        <f>52250</f>
        <v>52250.0</v>
      </c>
      <c r="R145" s="34" t="s">
        <v>50</v>
      </c>
      <c r="S145" s="35" t="n">
        <f>52516</f>
        <v>52516.0</v>
      </c>
      <c r="T145" s="32" t="n">
        <f>2090</f>
        <v>2090.0</v>
      </c>
      <c r="U145" s="32" t="n">
        <f>10</f>
        <v>10.0</v>
      </c>
      <c r="V145" s="32" t="n">
        <f>110065400</f>
        <v>1.100654E8</v>
      </c>
      <c r="W145" s="32" t="n">
        <f>523100</f>
        <v>523100.0</v>
      </c>
      <c r="X145" s="36" t="n">
        <f>20</f>
        <v>20.0</v>
      </c>
    </row>
    <row r="146">
      <c r="A146" s="27" t="s">
        <v>42</v>
      </c>
      <c r="B146" s="27" t="s">
        <v>481</v>
      </c>
      <c r="C146" s="27" t="s">
        <v>482</v>
      </c>
      <c r="D146" s="27" t="s">
        <v>483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100.0</v>
      </c>
      <c r="K146" s="33" t="n">
        <f>303</f>
        <v>303.0</v>
      </c>
      <c r="L146" s="34" t="s">
        <v>48</v>
      </c>
      <c r="M146" s="33" t="n">
        <f>319.8</f>
        <v>319.8</v>
      </c>
      <c r="N146" s="34" t="s">
        <v>49</v>
      </c>
      <c r="O146" s="33" t="n">
        <f>302.2</f>
        <v>302.2</v>
      </c>
      <c r="P146" s="34" t="s">
        <v>48</v>
      </c>
      <c r="Q146" s="33" t="n">
        <f>312</f>
        <v>312.0</v>
      </c>
      <c r="R146" s="34" t="s">
        <v>50</v>
      </c>
      <c r="S146" s="35" t="n">
        <f>312.33</f>
        <v>312.33</v>
      </c>
      <c r="T146" s="32" t="n">
        <f>33737500</f>
        <v>3.37375E7</v>
      </c>
      <c r="U146" s="32" t="n">
        <f>514100</f>
        <v>514100.0</v>
      </c>
      <c r="V146" s="32" t="n">
        <f>10553853995</f>
        <v>1.0553853995E10</v>
      </c>
      <c r="W146" s="32" t="n">
        <f>160380575</f>
        <v>1.60380575E8</v>
      </c>
      <c r="X146" s="36" t="n">
        <f>20</f>
        <v>20.0</v>
      </c>
    </row>
    <row r="147">
      <c r="A147" s="27" t="s">
        <v>42</v>
      </c>
      <c r="B147" s="27" t="s">
        <v>484</v>
      </c>
      <c r="C147" s="27" t="s">
        <v>485</v>
      </c>
      <c r="D147" s="27" t="s">
        <v>486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43180</f>
        <v>43180.0</v>
      </c>
      <c r="L147" s="34" t="s">
        <v>48</v>
      </c>
      <c r="M147" s="33" t="n">
        <f>44000</f>
        <v>44000.0</v>
      </c>
      <c r="N147" s="34" t="s">
        <v>49</v>
      </c>
      <c r="O147" s="33" t="n">
        <f>42690</f>
        <v>42690.0</v>
      </c>
      <c r="P147" s="34" t="s">
        <v>250</v>
      </c>
      <c r="Q147" s="33" t="n">
        <f>42900</f>
        <v>42900.0</v>
      </c>
      <c r="R147" s="34" t="s">
        <v>50</v>
      </c>
      <c r="S147" s="35" t="n">
        <f>43277.5</f>
        <v>43277.5</v>
      </c>
      <c r="T147" s="32" t="n">
        <f>2180</f>
        <v>2180.0</v>
      </c>
      <c r="U147" s="32" t="str">
        <f>"－"</f>
        <v>－</v>
      </c>
      <c r="V147" s="32" t="n">
        <f>94411300</f>
        <v>9.44113E7</v>
      </c>
      <c r="W147" s="32" t="str">
        <f>"－"</f>
        <v>－</v>
      </c>
      <c r="X147" s="36" t="n">
        <f>20</f>
        <v>20.0</v>
      </c>
    </row>
    <row r="148">
      <c r="A148" s="27" t="s">
        <v>42</v>
      </c>
      <c r="B148" s="27" t="s">
        <v>487</v>
      </c>
      <c r="C148" s="27" t="s">
        <v>488</v>
      </c>
      <c r="D148" s="27" t="s">
        <v>489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4634</f>
        <v>4634.0</v>
      </c>
      <c r="L148" s="34" t="s">
        <v>48</v>
      </c>
      <c r="M148" s="33" t="n">
        <f>4696</f>
        <v>4696.0</v>
      </c>
      <c r="N148" s="34" t="s">
        <v>49</v>
      </c>
      <c r="O148" s="33" t="n">
        <f>4502</f>
        <v>4502.0</v>
      </c>
      <c r="P148" s="34" t="s">
        <v>250</v>
      </c>
      <c r="Q148" s="33" t="n">
        <f>4540</f>
        <v>4540.0</v>
      </c>
      <c r="R148" s="34" t="s">
        <v>50</v>
      </c>
      <c r="S148" s="35" t="n">
        <f>4605.7</f>
        <v>4605.7</v>
      </c>
      <c r="T148" s="32" t="n">
        <f>53910</f>
        <v>53910.0</v>
      </c>
      <c r="U148" s="32" t="str">
        <f>"－"</f>
        <v>－</v>
      </c>
      <c r="V148" s="32" t="n">
        <f>248118300</f>
        <v>2.481183E8</v>
      </c>
      <c r="W148" s="32" t="str">
        <f>"－"</f>
        <v>－</v>
      </c>
      <c r="X148" s="36" t="n">
        <f>20</f>
        <v>20.0</v>
      </c>
    </row>
    <row r="149">
      <c r="A149" s="27" t="s">
        <v>42</v>
      </c>
      <c r="B149" s="27" t="s">
        <v>490</v>
      </c>
      <c r="C149" s="27" t="s">
        <v>491</v>
      </c>
      <c r="D149" s="27" t="s">
        <v>492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1801</f>
        <v>1801.0</v>
      </c>
      <c r="L149" s="34" t="s">
        <v>48</v>
      </c>
      <c r="M149" s="33" t="n">
        <f>1850</f>
        <v>1850.0</v>
      </c>
      <c r="N149" s="34" t="s">
        <v>49</v>
      </c>
      <c r="O149" s="33" t="n">
        <f>1780</f>
        <v>1780.0</v>
      </c>
      <c r="P149" s="34" t="s">
        <v>221</v>
      </c>
      <c r="Q149" s="33" t="n">
        <f>1805</f>
        <v>1805.0</v>
      </c>
      <c r="R149" s="34" t="s">
        <v>50</v>
      </c>
      <c r="S149" s="35" t="n">
        <f>1817.25</f>
        <v>1817.25</v>
      </c>
      <c r="T149" s="32" t="n">
        <f>411990</f>
        <v>411990.0</v>
      </c>
      <c r="U149" s="32" t="str">
        <f>"－"</f>
        <v>－</v>
      </c>
      <c r="V149" s="32" t="n">
        <f>745845280</f>
        <v>7.4584528E8</v>
      </c>
      <c r="W149" s="32" t="str">
        <f>"－"</f>
        <v>－</v>
      </c>
      <c r="X149" s="36" t="n">
        <f>20</f>
        <v>20.0</v>
      </c>
    </row>
    <row r="150">
      <c r="A150" s="27" t="s">
        <v>42</v>
      </c>
      <c r="B150" s="27" t="s">
        <v>493</v>
      </c>
      <c r="C150" s="27" t="s">
        <v>494</v>
      </c>
      <c r="D150" s="27" t="s">
        <v>495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100.0</v>
      </c>
      <c r="K150" s="33" t="n">
        <f>239.8</f>
        <v>239.8</v>
      </c>
      <c r="L150" s="34" t="s">
        <v>48</v>
      </c>
      <c r="M150" s="33" t="n">
        <f>240</f>
        <v>240.0</v>
      </c>
      <c r="N150" s="34" t="s">
        <v>48</v>
      </c>
      <c r="O150" s="33" t="n">
        <f>228</f>
        <v>228.0</v>
      </c>
      <c r="P150" s="34" t="s">
        <v>220</v>
      </c>
      <c r="Q150" s="33" t="n">
        <f>233.6</f>
        <v>233.6</v>
      </c>
      <c r="R150" s="34" t="s">
        <v>50</v>
      </c>
      <c r="S150" s="35" t="n">
        <f>233.58</f>
        <v>233.58</v>
      </c>
      <c r="T150" s="32" t="n">
        <f>141000</f>
        <v>141000.0</v>
      </c>
      <c r="U150" s="32" t="str">
        <f>"－"</f>
        <v>－</v>
      </c>
      <c r="V150" s="32" t="n">
        <f>32973050</f>
        <v>3.297305E7</v>
      </c>
      <c r="W150" s="32" t="str">
        <f>"－"</f>
        <v>－</v>
      </c>
      <c r="X150" s="36" t="n">
        <f>20</f>
        <v>20.0</v>
      </c>
    </row>
    <row r="151">
      <c r="A151" s="27" t="s">
        <v>42</v>
      </c>
      <c r="B151" s="27" t="s">
        <v>496</v>
      </c>
      <c r="C151" s="27" t="s">
        <v>497</v>
      </c>
      <c r="D151" s="27" t="s">
        <v>498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1642</f>
        <v>1642.0</v>
      </c>
      <c r="L151" s="34" t="s">
        <v>48</v>
      </c>
      <c r="M151" s="33" t="n">
        <f>1719.5</f>
        <v>1719.5</v>
      </c>
      <c r="N151" s="34" t="s">
        <v>257</v>
      </c>
      <c r="O151" s="33" t="n">
        <f>1630.5</f>
        <v>1630.5</v>
      </c>
      <c r="P151" s="34" t="s">
        <v>264</v>
      </c>
      <c r="Q151" s="33" t="n">
        <f>1693</f>
        <v>1693.0</v>
      </c>
      <c r="R151" s="34" t="s">
        <v>50</v>
      </c>
      <c r="S151" s="35" t="n">
        <f>1674.77</f>
        <v>1674.77</v>
      </c>
      <c r="T151" s="32" t="n">
        <f>1540</f>
        <v>1540.0</v>
      </c>
      <c r="U151" s="32" t="str">
        <f>"－"</f>
        <v>－</v>
      </c>
      <c r="V151" s="32" t="n">
        <f>2567730</f>
        <v>2567730.0</v>
      </c>
      <c r="W151" s="32" t="str">
        <f>"－"</f>
        <v>－</v>
      </c>
      <c r="X151" s="36" t="n">
        <f>13</f>
        <v>13.0</v>
      </c>
    </row>
    <row r="152">
      <c r="A152" s="27" t="s">
        <v>42</v>
      </c>
      <c r="B152" s="27" t="s">
        <v>499</v>
      </c>
      <c r="C152" s="27" t="s">
        <v>500</v>
      </c>
      <c r="D152" s="27" t="s">
        <v>501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598.9</f>
        <v>598.9</v>
      </c>
      <c r="L152" s="34" t="s">
        <v>48</v>
      </c>
      <c r="M152" s="33" t="n">
        <f>666</f>
        <v>666.0</v>
      </c>
      <c r="N152" s="34" t="s">
        <v>69</v>
      </c>
      <c r="O152" s="33" t="n">
        <f>597.7</f>
        <v>597.7</v>
      </c>
      <c r="P152" s="34" t="s">
        <v>48</v>
      </c>
      <c r="Q152" s="33" t="n">
        <f>658.7</f>
        <v>658.7</v>
      </c>
      <c r="R152" s="34" t="s">
        <v>50</v>
      </c>
      <c r="S152" s="35" t="n">
        <f>634.89</f>
        <v>634.89</v>
      </c>
      <c r="T152" s="32" t="n">
        <f>56650</f>
        <v>56650.0</v>
      </c>
      <c r="U152" s="32" t="str">
        <f>"－"</f>
        <v>－</v>
      </c>
      <c r="V152" s="32" t="n">
        <f>35798923</f>
        <v>3.5798923E7</v>
      </c>
      <c r="W152" s="32" t="str">
        <f>"－"</f>
        <v>－</v>
      </c>
      <c r="X152" s="36" t="n">
        <f>20</f>
        <v>20.0</v>
      </c>
    </row>
    <row r="153">
      <c r="A153" s="27" t="s">
        <v>42</v>
      </c>
      <c r="B153" s="27" t="s">
        <v>502</v>
      </c>
      <c r="C153" s="27" t="s">
        <v>503</v>
      </c>
      <c r="D153" s="27" t="s">
        <v>504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2078.5</f>
        <v>2078.5</v>
      </c>
      <c r="L153" s="34" t="s">
        <v>48</v>
      </c>
      <c r="M153" s="33" t="n">
        <f>2143.5</f>
        <v>2143.5</v>
      </c>
      <c r="N153" s="34" t="s">
        <v>50</v>
      </c>
      <c r="O153" s="33" t="n">
        <f>2070.5</f>
        <v>2070.5</v>
      </c>
      <c r="P153" s="34" t="s">
        <v>250</v>
      </c>
      <c r="Q153" s="33" t="n">
        <f>2143.5</f>
        <v>2143.5</v>
      </c>
      <c r="R153" s="34" t="s">
        <v>50</v>
      </c>
      <c r="S153" s="35" t="n">
        <f>2100.03</f>
        <v>2100.03</v>
      </c>
      <c r="T153" s="32" t="n">
        <f>1960</f>
        <v>1960.0</v>
      </c>
      <c r="U153" s="32" t="str">
        <f>"－"</f>
        <v>－</v>
      </c>
      <c r="V153" s="32" t="n">
        <f>4110905</f>
        <v>4110905.0</v>
      </c>
      <c r="W153" s="32" t="str">
        <f>"－"</f>
        <v>－</v>
      </c>
      <c r="X153" s="36" t="n">
        <f>17</f>
        <v>17.0</v>
      </c>
    </row>
    <row r="154">
      <c r="A154" s="27" t="s">
        <v>42</v>
      </c>
      <c r="B154" s="27" t="s">
        <v>505</v>
      </c>
      <c r="C154" s="27" t="s">
        <v>506</v>
      </c>
      <c r="D154" s="27" t="s">
        <v>507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977.1</f>
        <v>977.1</v>
      </c>
      <c r="L154" s="34" t="s">
        <v>48</v>
      </c>
      <c r="M154" s="33" t="n">
        <f>998.7</f>
        <v>998.7</v>
      </c>
      <c r="N154" s="34" t="s">
        <v>467</v>
      </c>
      <c r="O154" s="33" t="n">
        <f>969.3</f>
        <v>969.3</v>
      </c>
      <c r="P154" s="34" t="s">
        <v>221</v>
      </c>
      <c r="Q154" s="33" t="n">
        <f>976</f>
        <v>976.0</v>
      </c>
      <c r="R154" s="34" t="s">
        <v>50</v>
      </c>
      <c r="S154" s="35" t="n">
        <f>981.82</f>
        <v>981.82</v>
      </c>
      <c r="T154" s="32" t="n">
        <f>27180</f>
        <v>27180.0</v>
      </c>
      <c r="U154" s="32" t="str">
        <f>"－"</f>
        <v>－</v>
      </c>
      <c r="V154" s="32" t="n">
        <f>26756076</f>
        <v>2.6756076E7</v>
      </c>
      <c r="W154" s="32" t="str">
        <f>"－"</f>
        <v>－</v>
      </c>
      <c r="X154" s="36" t="n">
        <f>20</f>
        <v>20.0</v>
      </c>
    </row>
    <row r="155">
      <c r="A155" s="27" t="s">
        <v>42</v>
      </c>
      <c r="B155" s="27" t="s">
        <v>508</v>
      </c>
      <c r="C155" s="27" t="s">
        <v>509</v>
      </c>
      <c r="D155" s="27" t="s">
        <v>510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647.7</f>
        <v>647.7</v>
      </c>
      <c r="L155" s="34" t="s">
        <v>48</v>
      </c>
      <c r="M155" s="33" t="n">
        <f>665.4</f>
        <v>665.4</v>
      </c>
      <c r="N155" s="34" t="s">
        <v>264</v>
      </c>
      <c r="O155" s="33" t="n">
        <f>633.7</f>
        <v>633.7</v>
      </c>
      <c r="P155" s="34" t="s">
        <v>221</v>
      </c>
      <c r="Q155" s="33" t="n">
        <f>647.4</f>
        <v>647.4</v>
      </c>
      <c r="R155" s="34" t="s">
        <v>50</v>
      </c>
      <c r="S155" s="35" t="n">
        <f>649.37</f>
        <v>649.37</v>
      </c>
      <c r="T155" s="32" t="n">
        <f>348620</f>
        <v>348620.0</v>
      </c>
      <c r="U155" s="32" t="str">
        <f>"－"</f>
        <v>－</v>
      </c>
      <c r="V155" s="32" t="n">
        <f>225450940</f>
        <v>2.2545094E8</v>
      </c>
      <c r="W155" s="32" t="str">
        <f>"－"</f>
        <v>－</v>
      </c>
      <c r="X155" s="36" t="n">
        <f>20</f>
        <v>20.0</v>
      </c>
    </row>
    <row r="156">
      <c r="A156" s="27" t="s">
        <v>42</v>
      </c>
      <c r="B156" s="27" t="s">
        <v>511</v>
      </c>
      <c r="C156" s="27" t="s">
        <v>512</v>
      </c>
      <c r="D156" s="27" t="s">
        <v>513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100.0</v>
      </c>
      <c r="K156" s="33" t="n">
        <f>1.3</f>
        <v>1.3</v>
      </c>
      <c r="L156" s="34" t="s">
        <v>48</v>
      </c>
      <c r="M156" s="33" t="n">
        <f>1.3</f>
        <v>1.3</v>
      </c>
      <c r="N156" s="34" t="s">
        <v>48</v>
      </c>
      <c r="O156" s="33" t="n">
        <f>1.1</f>
        <v>1.1</v>
      </c>
      <c r="P156" s="34" t="s">
        <v>264</v>
      </c>
      <c r="Q156" s="33" t="n">
        <f>1.2</f>
        <v>1.2</v>
      </c>
      <c r="R156" s="34" t="s">
        <v>50</v>
      </c>
      <c r="S156" s="35" t="n">
        <f>1.18</f>
        <v>1.18</v>
      </c>
      <c r="T156" s="32" t="n">
        <f>1298274100</f>
        <v>1.2982741E9</v>
      </c>
      <c r="U156" s="32" t="n">
        <f>120200</f>
        <v>120200.0</v>
      </c>
      <c r="V156" s="32" t="n">
        <f>1558344360</f>
        <v>1.55834436E9</v>
      </c>
      <c r="W156" s="32" t="n">
        <f>156260</f>
        <v>156260.0</v>
      </c>
      <c r="X156" s="36" t="n">
        <f>20</f>
        <v>20.0</v>
      </c>
    </row>
    <row r="157">
      <c r="A157" s="27" t="s">
        <v>42</v>
      </c>
      <c r="B157" s="27" t="s">
        <v>514</v>
      </c>
      <c r="C157" s="27" t="s">
        <v>515</v>
      </c>
      <c r="D157" s="27" t="s">
        <v>516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1438</f>
        <v>1438.0</v>
      </c>
      <c r="L157" s="34" t="s">
        <v>48</v>
      </c>
      <c r="M157" s="33" t="n">
        <f>1644.5</f>
        <v>1644.5</v>
      </c>
      <c r="N157" s="34" t="s">
        <v>69</v>
      </c>
      <c r="O157" s="33" t="n">
        <f>1438</f>
        <v>1438.0</v>
      </c>
      <c r="P157" s="34" t="s">
        <v>48</v>
      </c>
      <c r="Q157" s="33" t="n">
        <f>1599.5</f>
        <v>1599.5</v>
      </c>
      <c r="R157" s="34" t="s">
        <v>50</v>
      </c>
      <c r="S157" s="35" t="n">
        <f>1547.75</f>
        <v>1547.75</v>
      </c>
      <c r="T157" s="32" t="n">
        <f>181040</f>
        <v>181040.0</v>
      </c>
      <c r="U157" s="32" t="str">
        <f>"－"</f>
        <v>－</v>
      </c>
      <c r="V157" s="32" t="n">
        <f>280546800</f>
        <v>2.805468E8</v>
      </c>
      <c r="W157" s="32" t="str">
        <f>"－"</f>
        <v>－</v>
      </c>
      <c r="X157" s="36" t="n">
        <f>20</f>
        <v>20.0</v>
      </c>
    </row>
    <row r="158">
      <c r="A158" s="27" t="s">
        <v>42</v>
      </c>
      <c r="B158" s="27" t="s">
        <v>517</v>
      </c>
      <c r="C158" s="27" t="s">
        <v>518</v>
      </c>
      <c r="D158" s="27" t="s">
        <v>519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8114</f>
        <v>8114.0</v>
      </c>
      <c r="L158" s="34" t="s">
        <v>48</v>
      </c>
      <c r="M158" s="33" t="n">
        <f>9121</f>
        <v>9121.0</v>
      </c>
      <c r="N158" s="34" t="s">
        <v>220</v>
      </c>
      <c r="O158" s="33" t="n">
        <f>8114</f>
        <v>8114.0</v>
      </c>
      <c r="P158" s="34" t="s">
        <v>48</v>
      </c>
      <c r="Q158" s="33" t="n">
        <f>8447</f>
        <v>8447.0</v>
      </c>
      <c r="R158" s="34" t="s">
        <v>50</v>
      </c>
      <c r="S158" s="35" t="n">
        <f>8714.63</f>
        <v>8714.63</v>
      </c>
      <c r="T158" s="32" t="n">
        <f>1326</f>
        <v>1326.0</v>
      </c>
      <c r="U158" s="32" t="str">
        <f>"－"</f>
        <v>－</v>
      </c>
      <c r="V158" s="32" t="n">
        <f>11617031</f>
        <v>1.1617031E7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520</v>
      </c>
      <c r="C159" s="27" t="s">
        <v>521</v>
      </c>
      <c r="D159" s="27" t="s">
        <v>522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100.0</v>
      </c>
      <c r="K159" s="33" t="n">
        <f>429.5</f>
        <v>429.5</v>
      </c>
      <c r="L159" s="34" t="s">
        <v>48</v>
      </c>
      <c r="M159" s="33" t="n">
        <f>454.5</f>
        <v>454.5</v>
      </c>
      <c r="N159" s="34" t="s">
        <v>50</v>
      </c>
      <c r="O159" s="33" t="n">
        <f>426.7</f>
        <v>426.7</v>
      </c>
      <c r="P159" s="34" t="s">
        <v>523</v>
      </c>
      <c r="Q159" s="33" t="n">
        <f>450.4</f>
        <v>450.4</v>
      </c>
      <c r="R159" s="34" t="s">
        <v>50</v>
      </c>
      <c r="S159" s="35" t="n">
        <f>434.98</f>
        <v>434.98</v>
      </c>
      <c r="T159" s="32" t="n">
        <f>52700</f>
        <v>52700.0</v>
      </c>
      <c r="U159" s="32" t="str">
        <f>"－"</f>
        <v>－</v>
      </c>
      <c r="V159" s="32" t="n">
        <f>23068720</f>
        <v>2.306872E7</v>
      </c>
      <c r="W159" s="32" t="str">
        <f>"－"</f>
        <v>－</v>
      </c>
      <c r="X159" s="36" t="n">
        <f>19</f>
        <v>19.0</v>
      </c>
    </row>
    <row r="160">
      <c r="A160" s="27" t="s">
        <v>42</v>
      </c>
      <c r="B160" s="27" t="s">
        <v>524</v>
      </c>
      <c r="C160" s="27" t="s">
        <v>525</v>
      </c>
      <c r="D160" s="27" t="s">
        <v>526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4945</f>
        <v>4945.0</v>
      </c>
      <c r="L160" s="34" t="s">
        <v>48</v>
      </c>
      <c r="M160" s="33" t="n">
        <f>5035</f>
        <v>5035.0</v>
      </c>
      <c r="N160" s="34" t="s">
        <v>49</v>
      </c>
      <c r="O160" s="33" t="n">
        <f>4830</f>
        <v>4830.0</v>
      </c>
      <c r="P160" s="34" t="s">
        <v>250</v>
      </c>
      <c r="Q160" s="33" t="n">
        <f>4960</f>
        <v>4960.0</v>
      </c>
      <c r="R160" s="34" t="s">
        <v>50</v>
      </c>
      <c r="S160" s="35" t="n">
        <f>4935.25</f>
        <v>4935.25</v>
      </c>
      <c r="T160" s="32" t="n">
        <f>25910</f>
        <v>25910.0</v>
      </c>
      <c r="U160" s="32" t="str">
        <f>"－"</f>
        <v>－</v>
      </c>
      <c r="V160" s="32" t="n">
        <f>127800950</f>
        <v>1.2780095E8</v>
      </c>
      <c r="W160" s="32" t="str">
        <f>"－"</f>
        <v>－</v>
      </c>
      <c r="X160" s="36" t="n">
        <f>20</f>
        <v>20.0</v>
      </c>
    </row>
    <row r="161">
      <c r="A161" s="27" t="s">
        <v>42</v>
      </c>
      <c r="B161" s="27" t="s">
        <v>527</v>
      </c>
      <c r="C161" s="27" t="s">
        <v>528</v>
      </c>
      <c r="D161" s="27" t="s">
        <v>529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2761</f>
        <v>2761.0</v>
      </c>
      <c r="L161" s="34" t="s">
        <v>48</v>
      </c>
      <c r="M161" s="33" t="n">
        <f>2875.5</f>
        <v>2875.5</v>
      </c>
      <c r="N161" s="34" t="s">
        <v>60</v>
      </c>
      <c r="O161" s="33" t="n">
        <f>2563</f>
        <v>2563.0</v>
      </c>
      <c r="P161" s="34" t="s">
        <v>250</v>
      </c>
      <c r="Q161" s="33" t="n">
        <f>2626</f>
        <v>2626.0</v>
      </c>
      <c r="R161" s="34" t="s">
        <v>50</v>
      </c>
      <c r="S161" s="35" t="n">
        <f>2720.5</f>
        <v>2720.5</v>
      </c>
      <c r="T161" s="32" t="n">
        <f>33020</f>
        <v>33020.0</v>
      </c>
      <c r="U161" s="32" t="str">
        <f>"－"</f>
        <v>－</v>
      </c>
      <c r="V161" s="32" t="n">
        <f>89590080</f>
        <v>8.959008E7</v>
      </c>
      <c r="W161" s="32" t="str">
        <f>"－"</f>
        <v>－</v>
      </c>
      <c r="X161" s="36" t="n">
        <f>20</f>
        <v>20.0</v>
      </c>
    </row>
    <row r="162">
      <c r="A162" s="27" t="s">
        <v>42</v>
      </c>
      <c r="B162" s="27" t="s">
        <v>530</v>
      </c>
      <c r="C162" s="27" t="s">
        <v>531</v>
      </c>
      <c r="D162" s="27" t="s">
        <v>532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100.0</v>
      </c>
      <c r="K162" s="33" t="n">
        <f>81.5</f>
        <v>81.5</v>
      </c>
      <c r="L162" s="34" t="s">
        <v>48</v>
      </c>
      <c r="M162" s="33" t="n">
        <f>83.2</f>
        <v>83.2</v>
      </c>
      <c r="N162" s="34" t="s">
        <v>264</v>
      </c>
      <c r="O162" s="33" t="n">
        <f>78.2</f>
        <v>78.2</v>
      </c>
      <c r="P162" s="34" t="s">
        <v>221</v>
      </c>
      <c r="Q162" s="33" t="n">
        <f>80.5</f>
        <v>80.5</v>
      </c>
      <c r="R162" s="34" t="s">
        <v>50</v>
      </c>
      <c r="S162" s="35" t="n">
        <f>80.9</f>
        <v>80.9</v>
      </c>
      <c r="T162" s="32" t="n">
        <f>11883900</f>
        <v>1.18839E7</v>
      </c>
      <c r="U162" s="32" t="str">
        <f>"－"</f>
        <v>－</v>
      </c>
      <c r="V162" s="32" t="n">
        <f>958056970</f>
        <v>9.5805697E8</v>
      </c>
      <c r="W162" s="32" t="str">
        <f>"－"</f>
        <v>－</v>
      </c>
      <c r="X162" s="36" t="n">
        <f>20</f>
        <v>20.0</v>
      </c>
    </row>
    <row r="163">
      <c r="A163" s="27" t="s">
        <v>42</v>
      </c>
      <c r="B163" s="27" t="s">
        <v>533</v>
      </c>
      <c r="C163" s="27" t="s">
        <v>534</v>
      </c>
      <c r="D163" s="27" t="s">
        <v>535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100.0</v>
      </c>
      <c r="K163" s="33" t="n">
        <f>163.9</f>
        <v>163.9</v>
      </c>
      <c r="L163" s="34" t="s">
        <v>48</v>
      </c>
      <c r="M163" s="33" t="n">
        <f>172.5</f>
        <v>172.5</v>
      </c>
      <c r="N163" s="34" t="s">
        <v>50</v>
      </c>
      <c r="O163" s="33" t="n">
        <f>163.4</f>
        <v>163.4</v>
      </c>
      <c r="P163" s="34" t="s">
        <v>246</v>
      </c>
      <c r="Q163" s="33" t="n">
        <f>172.1</f>
        <v>172.1</v>
      </c>
      <c r="R163" s="34" t="s">
        <v>50</v>
      </c>
      <c r="S163" s="35" t="n">
        <f>167.32</f>
        <v>167.32</v>
      </c>
      <c r="T163" s="32" t="n">
        <f>1002800</f>
        <v>1002800.0</v>
      </c>
      <c r="U163" s="32" t="str">
        <f>"－"</f>
        <v>－</v>
      </c>
      <c r="V163" s="32" t="n">
        <f>168531260</f>
        <v>1.6853126E8</v>
      </c>
      <c r="W163" s="32" t="str">
        <f>"－"</f>
        <v>－</v>
      </c>
      <c r="X163" s="36" t="n">
        <f>20</f>
        <v>20.0</v>
      </c>
    </row>
    <row r="164">
      <c r="A164" s="27" t="s">
        <v>42</v>
      </c>
      <c r="B164" s="27" t="s">
        <v>536</v>
      </c>
      <c r="C164" s="27" t="s">
        <v>537</v>
      </c>
      <c r="D164" s="27" t="s">
        <v>538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4929</f>
        <v>4929.0</v>
      </c>
      <c r="L164" s="34" t="s">
        <v>48</v>
      </c>
      <c r="M164" s="33" t="n">
        <f>4929</f>
        <v>4929.0</v>
      </c>
      <c r="N164" s="34" t="s">
        <v>48</v>
      </c>
      <c r="O164" s="33" t="n">
        <f>4651</f>
        <v>4651.0</v>
      </c>
      <c r="P164" s="34" t="s">
        <v>221</v>
      </c>
      <c r="Q164" s="33" t="n">
        <f>4718</f>
        <v>4718.0</v>
      </c>
      <c r="R164" s="34" t="s">
        <v>50</v>
      </c>
      <c r="S164" s="35" t="n">
        <f>4796.84</f>
        <v>4796.84</v>
      </c>
      <c r="T164" s="32" t="n">
        <f>6270</f>
        <v>6270.0</v>
      </c>
      <c r="U164" s="32" t="str">
        <f>"－"</f>
        <v>－</v>
      </c>
      <c r="V164" s="32" t="n">
        <f>29907610</f>
        <v>2.990761E7</v>
      </c>
      <c r="W164" s="32" t="str">
        <f>"－"</f>
        <v>－</v>
      </c>
      <c r="X164" s="36" t="n">
        <f>19</f>
        <v>19.0</v>
      </c>
    </row>
    <row r="165">
      <c r="A165" s="27" t="s">
        <v>42</v>
      </c>
      <c r="B165" s="27" t="s">
        <v>539</v>
      </c>
      <c r="C165" s="27" t="s">
        <v>540</v>
      </c>
      <c r="D165" s="27" t="s">
        <v>541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2555</f>
        <v>2555.0</v>
      </c>
      <c r="L165" s="34" t="s">
        <v>48</v>
      </c>
      <c r="M165" s="33" t="n">
        <f>2719</f>
        <v>2719.0</v>
      </c>
      <c r="N165" s="34" t="s">
        <v>90</v>
      </c>
      <c r="O165" s="33" t="n">
        <f>2552</f>
        <v>2552.0</v>
      </c>
      <c r="P165" s="34" t="s">
        <v>48</v>
      </c>
      <c r="Q165" s="33" t="n">
        <f>2638</f>
        <v>2638.0</v>
      </c>
      <c r="R165" s="34" t="s">
        <v>50</v>
      </c>
      <c r="S165" s="35" t="n">
        <f>2646.9</f>
        <v>2646.9</v>
      </c>
      <c r="T165" s="32" t="n">
        <f>2490200</f>
        <v>2490200.0</v>
      </c>
      <c r="U165" s="32" t="n">
        <f>2085700</f>
        <v>2085700.0</v>
      </c>
      <c r="V165" s="32" t="n">
        <f>6570712555</f>
        <v>6.570712555E9</v>
      </c>
      <c r="W165" s="32" t="n">
        <f>5503448110</f>
        <v>5.50344811E9</v>
      </c>
      <c r="X165" s="36" t="n">
        <f>20</f>
        <v>20.0</v>
      </c>
    </row>
    <row r="166">
      <c r="A166" s="27" t="s">
        <v>42</v>
      </c>
      <c r="B166" s="27" t="s">
        <v>542</v>
      </c>
      <c r="C166" s="27" t="s">
        <v>543</v>
      </c>
      <c r="D166" s="27" t="s">
        <v>544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10.0</v>
      </c>
      <c r="K166" s="33" t="n">
        <f>393.5</f>
        <v>393.5</v>
      </c>
      <c r="L166" s="34" t="s">
        <v>48</v>
      </c>
      <c r="M166" s="33" t="n">
        <f>446.1</f>
        <v>446.1</v>
      </c>
      <c r="N166" s="34" t="s">
        <v>69</v>
      </c>
      <c r="O166" s="33" t="n">
        <f>393.3</f>
        <v>393.3</v>
      </c>
      <c r="P166" s="34" t="s">
        <v>48</v>
      </c>
      <c r="Q166" s="33" t="n">
        <f>435.6</f>
        <v>435.6</v>
      </c>
      <c r="R166" s="34" t="s">
        <v>50</v>
      </c>
      <c r="S166" s="35" t="n">
        <f>421.82</f>
        <v>421.82</v>
      </c>
      <c r="T166" s="32" t="n">
        <f>25544000</f>
        <v>2.5544E7</v>
      </c>
      <c r="U166" s="32" t="n">
        <f>12380</f>
        <v>12380.0</v>
      </c>
      <c r="V166" s="32" t="n">
        <f>10815009588</f>
        <v>1.0815009588E10</v>
      </c>
      <c r="W166" s="32" t="n">
        <f>5248362</f>
        <v>5248362.0</v>
      </c>
      <c r="X166" s="36" t="n">
        <f>20</f>
        <v>20.0</v>
      </c>
    </row>
    <row r="167">
      <c r="A167" s="27" t="s">
        <v>42</v>
      </c>
      <c r="B167" s="27" t="s">
        <v>545</v>
      </c>
      <c r="C167" s="27" t="s">
        <v>546</v>
      </c>
      <c r="D167" s="27" t="s">
        <v>547</v>
      </c>
      <c r="E167" s="28" t="s">
        <v>46</v>
      </c>
      <c r="F167" s="29" t="s">
        <v>46</v>
      </c>
      <c r="G167" s="30" t="s">
        <v>46</v>
      </c>
      <c r="H167" s="31"/>
      <c r="I167" s="31" t="s">
        <v>548</v>
      </c>
      <c r="J167" s="32" t="n">
        <v>1.0</v>
      </c>
      <c r="K167" s="33" t="n">
        <f>5110</f>
        <v>5110.0</v>
      </c>
      <c r="L167" s="34" t="s">
        <v>48</v>
      </c>
      <c r="M167" s="33" t="n">
        <f>5420</f>
        <v>5420.0</v>
      </c>
      <c r="N167" s="34" t="s">
        <v>79</v>
      </c>
      <c r="O167" s="33" t="n">
        <f>4705</f>
        <v>4705.0</v>
      </c>
      <c r="P167" s="34" t="s">
        <v>69</v>
      </c>
      <c r="Q167" s="33" t="n">
        <f>4940</f>
        <v>4940.0</v>
      </c>
      <c r="R167" s="34" t="s">
        <v>50</v>
      </c>
      <c r="S167" s="35" t="n">
        <f>5013</f>
        <v>5013.0</v>
      </c>
      <c r="T167" s="32" t="n">
        <f>25972</f>
        <v>25972.0</v>
      </c>
      <c r="U167" s="32" t="str">
        <f>"－"</f>
        <v>－</v>
      </c>
      <c r="V167" s="32" t="n">
        <f>130456555</f>
        <v>1.30456555E8</v>
      </c>
      <c r="W167" s="32" t="str">
        <f>"－"</f>
        <v>－</v>
      </c>
      <c r="X167" s="36" t="n">
        <f>20</f>
        <v>20.0</v>
      </c>
    </row>
    <row r="168">
      <c r="A168" s="27" t="s">
        <v>42</v>
      </c>
      <c r="B168" s="27" t="s">
        <v>549</v>
      </c>
      <c r="C168" s="27" t="s">
        <v>550</v>
      </c>
      <c r="D168" s="27" t="s">
        <v>551</v>
      </c>
      <c r="E168" s="28" t="s">
        <v>46</v>
      </c>
      <c r="F168" s="29" t="s">
        <v>46</v>
      </c>
      <c r="G168" s="30" t="s">
        <v>46</v>
      </c>
      <c r="H168" s="31"/>
      <c r="I168" s="31" t="s">
        <v>548</v>
      </c>
      <c r="J168" s="32" t="n">
        <v>1.0</v>
      </c>
      <c r="K168" s="33" t="n">
        <f>8806</f>
        <v>8806.0</v>
      </c>
      <c r="L168" s="34" t="s">
        <v>48</v>
      </c>
      <c r="M168" s="33" t="n">
        <f>9379</f>
        <v>9379.0</v>
      </c>
      <c r="N168" s="34" t="s">
        <v>69</v>
      </c>
      <c r="O168" s="33" t="n">
        <f>8434</f>
        <v>8434.0</v>
      </c>
      <c r="P168" s="34" t="s">
        <v>79</v>
      </c>
      <c r="Q168" s="33" t="n">
        <f>9131</f>
        <v>9131.0</v>
      </c>
      <c r="R168" s="34" t="s">
        <v>50</v>
      </c>
      <c r="S168" s="35" t="n">
        <f>8947.1</f>
        <v>8947.1</v>
      </c>
      <c r="T168" s="32" t="n">
        <f>13648</f>
        <v>13648.0</v>
      </c>
      <c r="U168" s="32" t="str">
        <f>"－"</f>
        <v>－</v>
      </c>
      <c r="V168" s="32" t="n">
        <f>121785820</f>
        <v>1.2178582E8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552</v>
      </c>
      <c r="C169" s="27" t="s">
        <v>553</v>
      </c>
      <c r="D169" s="27" t="s">
        <v>554</v>
      </c>
      <c r="E169" s="28" t="s">
        <v>46</v>
      </c>
      <c r="F169" s="29" t="s">
        <v>46</v>
      </c>
      <c r="G169" s="30" t="s">
        <v>46</v>
      </c>
      <c r="H169" s="31"/>
      <c r="I169" s="31" t="s">
        <v>548</v>
      </c>
      <c r="J169" s="32" t="n">
        <v>1.0</v>
      </c>
      <c r="K169" s="33" t="n">
        <f>12260</f>
        <v>12260.0</v>
      </c>
      <c r="L169" s="34" t="s">
        <v>79</v>
      </c>
      <c r="M169" s="33" t="n">
        <f>12995</f>
        <v>12995.0</v>
      </c>
      <c r="N169" s="34" t="s">
        <v>49</v>
      </c>
      <c r="O169" s="33" t="n">
        <f>11290</f>
        <v>11290.0</v>
      </c>
      <c r="P169" s="34" t="s">
        <v>69</v>
      </c>
      <c r="Q169" s="33" t="n">
        <f>11300</f>
        <v>11300.0</v>
      </c>
      <c r="R169" s="34" t="s">
        <v>50</v>
      </c>
      <c r="S169" s="35" t="n">
        <f>12157.14</f>
        <v>12157.14</v>
      </c>
      <c r="T169" s="32" t="n">
        <f>355</f>
        <v>355.0</v>
      </c>
      <c r="U169" s="32" t="str">
        <f>"－"</f>
        <v>－</v>
      </c>
      <c r="V169" s="32" t="n">
        <f>4396785</f>
        <v>4396785.0</v>
      </c>
      <c r="W169" s="32" t="str">
        <f>"－"</f>
        <v>－</v>
      </c>
      <c r="X169" s="36" t="n">
        <f>14</f>
        <v>14.0</v>
      </c>
    </row>
    <row r="170">
      <c r="A170" s="27" t="s">
        <v>42</v>
      </c>
      <c r="B170" s="27" t="s">
        <v>555</v>
      </c>
      <c r="C170" s="27" t="s">
        <v>556</v>
      </c>
      <c r="D170" s="27" t="s">
        <v>557</v>
      </c>
      <c r="E170" s="28" t="s">
        <v>46</v>
      </c>
      <c r="F170" s="29" t="s">
        <v>46</v>
      </c>
      <c r="G170" s="30" t="s">
        <v>46</v>
      </c>
      <c r="H170" s="31"/>
      <c r="I170" s="31" t="s">
        <v>548</v>
      </c>
      <c r="J170" s="32" t="n">
        <v>1.0</v>
      </c>
      <c r="K170" s="33" t="n">
        <f>8056</f>
        <v>8056.0</v>
      </c>
      <c r="L170" s="34" t="s">
        <v>48</v>
      </c>
      <c r="M170" s="33" t="n">
        <f>8338</f>
        <v>8338.0</v>
      </c>
      <c r="N170" s="34" t="s">
        <v>250</v>
      </c>
      <c r="O170" s="33" t="n">
        <f>7999</f>
        <v>7999.0</v>
      </c>
      <c r="P170" s="34" t="s">
        <v>49</v>
      </c>
      <c r="Q170" s="33" t="n">
        <f>8279</f>
        <v>8279.0</v>
      </c>
      <c r="R170" s="34" t="s">
        <v>50</v>
      </c>
      <c r="S170" s="35" t="n">
        <f>8138.75</f>
        <v>8138.75</v>
      </c>
      <c r="T170" s="32" t="n">
        <f>5744</f>
        <v>5744.0</v>
      </c>
      <c r="U170" s="32" t="str">
        <f>"－"</f>
        <v>－</v>
      </c>
      <c r="V170" s="32" t="n">
        <f>46966060</f>
        <v>4.696606E7</v>
      </c>
      <c r="W170" s="32" t="str">
        <f>"－"</f>
        <v>－</v>
      </c>
      <c r="X170" s="36" t="n">
        <f>20</f>
        <v>20.0</v>
      </c>
    </row>
    <row r="171">
      <c r="A171" s="27" t="s">
        <v>42</v>
      </c>
      <c r="B171" s="27" t="s">
        <v>558</v>
      </c>
      <c r="C171" s="27" t="s">
        <v>559</v>
      </c>
      <c r="D171" s="27" t="s">
        <v>560</v>
      </c>
      <c r="E171" s="28" t="s">
        <v>46</v>
      </c>
      <c r="F171" s="29" t="s">
        <v>46</v>
      </c>
      <c r="G171" s="30" t="s">
        <v>46</v>
      </c>
      <c r="H171" s="31"/>
      <c r="I171" s="31" t="s">
        <v>548</v>
      </c>
      <c r="J171" s="32" t="n">
        <v>1.0</v>
      </c>
      <c r="K171" s="33" t="n">
        <f>34410</f>
        <v>34410.0</v>
      </c>
      <c r="L171" s="34" t="s">
        <v>48</v>
      </c>
      <c r="M171" s="33" t="n">
        <f>35250</f>
        <v>35250.0</v>
      </c>
      <c r="N171" s="34" t="s">
        <v>90</v>
      </c>
      <c r="O171" s="33" t="n">
        <f>33410</f>
        <v>33410.0</v>
      </c>
      <c r="P171" s="34" t="s">
        <v>50</v>
      </c>
      <c r="Q171" s="33" t="n">
        <f>33540</f>
        <v>33540.0</v>
      </c>
      <c r="R171" s="34" t="s">
        <v>50</v>
      </c>
      <c r="S171" s="35" t="n">
        <f>34482.5</f>
        <v>34482.5</v>
      </c>
      <c r="T171" s="32" t="n">
        <f>22527</f>
        <v>22527.0</v>
      </c>
      <c r="U171" s="32" t="n">
        <f>59</f>
        <v>59.0</v>
      </c>
      <c r="V171" s="32" t="n">
        <f>777160890</f>
        <v>7.7716089E8</v>
      </c>
      <c r="W171" s="32" t="n">
        <f>2023860</f>
        <v>2023860.0</v>
      </c>
      <c r="X171" s="36" t="n">
        <f>20</f>
        <v>20.0</v>
      </c>
    </row>
    <row r="172">
      <c r="A172" s="27" t="s">
        <v>42</v>
      </c>
      <c r="B172" s="27" t="s">
        <v>561</v>
      </c>
      <c r="C172" s="27" t="s">
        <v>562</v>
      </c>
      <c r="D172" s="27" t="s">
        <v>563</v>
      </c>
      <c r="E172" s="28" t="s">
        <v>46</v>
      </c>
      <c r="F172" s="29" t="s">
        <v>46</v>
      </c>
      <c r="G172" s="30" t="s">
        <v>46</v>
      </c>
      <c r="H172" s="31"/>
      <c r="I172" s="31" t="s">
        <v>548</v>
      </c>
      <c r="J172" s="32" t="n">
        <v>1.0</v>
      </c>
      <c r="K172" s="33" t="n">
        <f>3750</f>
        <v>3750.0</v>
      </c>
      <c r="L172" s="34" t="s">
        <v>48</v>
      </c>
      <c r="M172" s="33" t="n">
        <f>3780</f>
        <v>3780.0</v>
      </c>
      <c r="N172" s="34" t="s">
        <v>50</v>
      </c>
      <c r="O172" s="33" t="n">
        <f>3670</f>
        <v>3670.0</v>
      </c>
      <c r="P172" s="34" t="s">
        <v>90</v>
      </c>
      <c r="Q172" s="33" t="n">
        <f>3750</f>
        <v>3750.0</v>
      </c>
      <c r="R172" s="34" t="s">
        <v>50</v>
      </c>
      <c r="S172" s="35" t="n">
        <f>3704.75</f>
        <v>3704.75</v>
      </c>
      <c r="T172" s="32" t="n">
        <f>7078</f>
        <v>7078.0</v>
      </c>
      <c r="U172" s="32" t="str">
        <f>"－"</f>
        <v>－</v>
      </c>
      <c r="V172" s="32" t="n">
        <f>26307410</f>
        <v>2.630741E7</v>
      </c>
      <c r="W172" s="32" t="str">
        <f>"－"</f>
        <v>－</v>
      </c>
      <c r="X172" s="36" t="n">
        <f>20</f>
        <v>20.0</v>
      </c>
    </row>
    <row r="173">
      <c r="A173" s="27" t="s">
        <v>42</v>
      </c>
      <c r="B173" s="27" t="s">
        <v>564</v>
      </c>
      <c r="C173" s="27" t="s">
        <v>565</v>
      </c>
      <c r="D173" s="27" t="s">
        <v>566</v>
      </c>
      <c r="E173" s="28" t="s">
        <v>46</v>
      </c>
      <c r="F173" s="29" t="s">
        <v>46</v>
      </c>
      <c r="G173" s="30" t="s">
        <v>46</v>
      </c>
      <c r="H173" s="31"/>
      <c r="I173" s="31" t="s">
        <v>548</v>
      </c>
      <c r="J173" s="32" t="n">
        <v>1.0</v>
      </c>
      <c r="K173" s="33" t="n">
        <f>1915</f>
        <v>1915.0</v>
      </c>
      <c r="L173" s="34" t="s">
        <v>48</v>
      </c>
      <c r="M173" s="33" t="n">
        <f>2285</f>
        <v>2285.0</v>
      </c>
      <c r="N173" s="34" t="s">
        <v>69</v>
      </c>
      <c r="O173" s="33" t="n">
        <f>1911</f>
        <v>1911.0</v>
      </c>
      <c r="P173" s="34" t="s">
        <v>48</v>
      </c>
      <c r="Q173" s="33" t="n">
        <f>2208</f>
        <v>2208.0</v>
      </c>
      <c r="R173" s="34" t="s">
        <v>50</v>
      </c>
      <c r="S173" s="35" t="n">
        <f>2145.85</f>
        <v>2145.85</v>
      </c>
      <c r="T173" s="32" t="n">
        <f>15764436</f>
        <v>1.5764436E7</v>
      </c>
      <c r="U173" s="32" t="n">
        <f>303915</f>
        <v>303915.0</v>
      </c>
      <c r="V173" s="32" t="n">
        <f>33820693857</f>
        <v>3.3820693857E10</v>
      </c>
      <c r="W173" s="32" t="n">
        <f>653491924</f>
        <v>6.53491924E8</v>
      </c>
      <c r="X173" s="36" t="n">
        <f>20</f>
        <v>20.0</v>
      </c>
    </row>
    <row r="174">
      <c r="A174" s="27" t="s">
        <v>42</v>
      </c>
      <c r="B174" s="27" t="s">
        <v>567</v>
      </c>
      <c r="C174" s="27" t="s">
        <v>568</v>
      </c>
      <c r="D174" s="27" t="s">
        <v>569</v>
      </c>
      <c r="E174" s="28" t="s">
        <v>46</v>
      </c>
      <c r="F174" s="29" t="s">
        <v>46</v>
      </c>
      <c r="G174" s="30" t="s">
        <v>46</v>
      </c>
      <c r="H174" s="31"/>
      <c r="I174" s="31" t="s">
        <v>548</v>
      </c>
      <c r="J174" s="32" t="n">
        <v>1.0</v>
      </c>
      <c r="K174" s="33" t="n">
        <f>1112</f>
        <v>1112.0</v>
      </c>
      <c r="L174" s="34" t="s">
        <v>48</v>
      </c>
      <c r="M174" s="33" t="n">
        <f>1112</f>
        <v>1112.0</v>
      </c>
      <c r="N174" s="34" t="s">
        <v>48</v>
      </c>
      <c r="O174" s="33" t="n">
        <f>1008</f>
        <v>1008.0</v>
      </c>
      <c r="P174" s="34" t="s">
        <v>49</v>
      </c>
      <c r="Q174" s="33" t="n">
        <f>1038</f>
        <v>1038.0</v>
      </c>
      <c r="R174" s="34" t="s">
        <v>50</v>
      </c>
      <c r="S174" s="35" t="n">
        <f>1048.25</f>
        <v>1048.25</v>
      </c>
      <c r="T174" s="32" t="n">
        <f>2363002</f>
        <v>2363002.0</v>
      </c>
      <c r="U174" s="32" t="str">
        <f>"－"</f>
        <v>－</v>
      </c>
      <c r="V174" s="32" t="n">
        <f>2473591439</f>
        <v>2.473591439E9</v>
      </c>
      <c r="W174" s="32" t="str">
        <f>"－"</f>
        <v>－</v>
      </c>
      <c r="X174" s="36" t="n">
        <f>20</f>
        <v>20.0</v>
      </c>
    </row>
    <row r="175">
      <c r="A175" s="27" t="s">
        <v>42</v>
      </c>
      <c r="B175" s="27" t="s">
        <v>570</v>
      </c>
      <c r="C175" s="27" t="s">
        <v>571</v>
      </c>
      <c r="D175" s="27" t="s">
        <v>572</v>
      </c>
      <c r="E175" s="28" t="s">
        <v>46</v>
      </c>
      <c r="F175" s="29" t="s">
        <v>46</v>
      </c>
      <c r="G175" s="30" t="s">
        <v>46</v>
      </c>
      <c r="H175" s="31"/>
      <c r="I175" s="31" t="s">
        <v>548</v>
      </c>
      <c r="J175" s="32" t="n">
        <v>1.0</v>
      </c>
      <c r="K175" s="33" t="n">
        <f>24915</f>
        <v>24915.0</v>
      </c>
      <c r="L175" s="34" t="s">
        <v>48</v>
      </c>
      <c r="M175" s="33" t="n">
        <f>25275</f>
        <v>25275.0</v>
      </c>
      <c r="N175" s="34" t="s">
        <v>49</v>
      </c>
      <c r="O175" s="33" t="n">
        <f>23215</f>
        <v>23215.0</v>
      </c>
      <c r="P175" s="34" t="s">
        <v>69</v>
      </c>
      <c r="Q175" s="33" t="n">
        <f>23510</f>
        <v>23510.0</v>
      </c>
      <c r="R175" s="34" t="s">
        <v>50</v>
      </c>
      <c r="S175" s="35" t="n">
        <f>24532.5</f>
        <v>24532.5</v>
      </c>
      <c r="T175" s="32" t="n">
        <f>39415</f>
        <v>39415.0</v>
      </c>
      <c r="U175" s="32" t="n">
        <f>35</f>
        <v>35.0</v>
      </c>
      <c r="V175" s="32" t="n">
        <f>957590790</f>
        <v>9.5759079E8</v>
      </c>
      <c r="W175" s="32" t="n">
        <f>881615</f>
        <v>881615.0</v>
      </c>
      <c r="X175" s="36" t="n">
        <f>20</f>
        <v>20.0</v>
      </c>
    </row>
    <row r="176">
      <c r="A176" s="27" t="s">
        <v>42</v>
      </c>
      <c r="B176" s="27" t="s">
        <v>573</v>
      </c>
      <c r="C176" s="27" t="s">
        <v>574</v>
      </c>
      <c r="D176" s="27" t="s">
        <v>575</v>
      </c>
      <c r="E176" s="28" t="s">
        <v>46</v>
      </c>
      <c r="F176" s="29" t="s">
        <v>46</v>
      </c>
      <c r="G176" s="30" t="s">
        <v>46</v>
      </c>
      <c r="H176" s="31"/>
      <c r="I176" s="31" t="s">
        <v>548</v>
      </c>
      <c r="J176" s="32" t="n">
        <v>1.0</v>
      </c>
      <c r="K176" s="33" t="n">
        <f>2809</f>
        <v>2809.0</v>
      </c>
      <c r="L176" s="34" t="s">
        <v>48</v>
      </c>
      <c r="M176" s="33" t="n">
        <f>2929</f>
        <v>2929.0</v>
      </c>
      <c r="N176" s="34" t="s">
        <v>69</v>
      </c>
      <c r="O176" s="33" t="n">
        <f>2789</f>
        <v>2789.0</v>
      </c>
      <c r="P176" s="34" t="s">
        <v>49</v>
      </c>
      <c r="Q176" s="33" t="n">
        <f>2906</f>
        <v>2906.0</v>
      </c>
      <c r="R176" s="34" t="s">
        <v>50</v>
      </c>
      <c r="S176" s="35" t="n">
        <f>2845</f>
        <v>2845.0</v>
      </c>
      <c r="T176" s="32" t="n">
        <f>198788</f>
        <v>198788.0</v>
      </c>
      <c r="U176" s="32" t="n">
        <f>206</f>
        <v>206.0</v>
      </c>
      <c r="V176" s="32" t="n">
        <f>566526777</f>
        <v>5.66526777E8</v>
      </c>
      <c r="W176" s="32" t="n">
        <f>581926</f>
        <v>581926.0</v>
      </c>
      <c r="X176" s="36" t="n">
        <f>20</f>
        <v>20.0</v>
      </c>
    </row>
    <row r="177">
      <c r="A177" s="27" t="s">
        <v>42</v>
      </c>
      <c r="B177" s="27" t="s">
        <v>576</v>
      </c>
      <c r="C177" s="27" t="s">
        <v>577</v>
      </c>
      <c r="D177" s="27" t="s">
        <v>578</v>
      </c>
      <c r="E177" s="28" t="s">
        <v>46</v>
      </c>
      <c r="F177" s="29" t="s">
        <v>46</v>
      </c>
      <c r="G177" s="30" t="s">
        <v>46</v>
      </c>
      <c r="H177" s="31"/>
      <c r="I177" s="31" t="s">
        <v>548</v>
      </c>
      <c r="J177" s="32" t="n">
        <v>1.0</v>
      </c>
      <c r="K177" s="33" t="n">
        <f>8057</f>
        <v>8057.0</v>
      </c>
      <c r="L177" s="34" t="s">
        <v>48</v>
      </c>
      <c r="M177" s="33" t="n">
        <f>8222</f>
        <v>8222.0</v>
      </c>
      <c r="N177" s="34" t="s">
        <v>60</v>
      </c>
      <c r="O177" s="33" t="n">
        <f>7547</f>
        <v>7547.0</v>
      </c>
      <c r="P177" s="34" t="s">
        <v>221</v>
      </c>
      <c r="Q177" s="33" t="n">
        <f>7813</f>
        <v>7813.0</v>
      </c>
      <c r="R177" s="34" t="s">
        <v>50</v>
      </c>
      <c r="S177" s="35" t="n">
        <f>7907.45</f>
        <v>7907.45</v>
      </c>
      <c r="T177" s="32" t="n">
        <f>41347</f>
        <v>41347.0</v>
      </c>
      <c r="U177" s="32" t="str">
        <f>"－"</f>
        <v>－</v>
      </c>
      <c r="V177" s="32" t="n">
        <f>325082786</f>
        <v>3.25082786E8</v>
      </c>
      <c r="W177" s="32" t="str">
        <f>"－"</f>
        <v>－</v>
      </c>
      <c r="X177" s="36" t="n">
        <f>20</f>
        <v>20.0</v>
      </c>
    </row>
    <row r="178">
      <c r="A178" s="27" t="s">
        <v>42</v>
      </c>
      <c r="B178" s="27" t="s">
        <v>579</v>
      </c>
      <c r="C178" s="27" t="s">
        <v>580</v>
      </c>
      <c r="D178" s="27" t="s">
        <v>581</v>
      </c>
      <c r="E178" s="28" t="s">
        <v>46</v>
      </c>
      <c r="F178" s="29" t="s">
        <v>46</v>
      </c>
      <c r="G178" s="30" t="s">
        <v>46</v>
      </c>
      <c r="H178" s="31"/>
      <c r="I178" s="31" t="s">
        <v>548</v>
      </c>
      <c r="J178" s="32" t="n">
        <v>1.0</v>
      </c>
      <c r="K178" s="33" t="n">
        <f>17750</f>
        <v>17750.0</v>
      </c>
      <c r="L178" s="34" t="s">
        <v>48</v>
      </c>
      <c r="M178" s="33" t="n">
        <f>18100</f>
        <v>18100.0</v>
      </c>
      <c r="N178" s="34" t="s">
        <v>79</v>
      </c>
      <c r="O178" s="33" t="n">
        <f>17550</f>
        <v>17550.0</v>
      </c>
      <c r="P178" s="34" t="s">
        <v>221</v>
      </c>
      <c r="Q178" s="33" t="n">
        <f>18005</f>
        <v>18005.0</v>
      </c>
      <c r="R178" s="34" t="s">
        <v>50</v>
      </c>
      <c r="S178" s="35" t="n">
        <f>17843.44</f>
        <v>17843.44</v>
      </c>
      <c r="T178" s="32" t="n">
        <f>538</f>
        <v>538.0</v>
      </c>
      <c r="U178" s="32" t="str">
        <f>"－"</f>
        <v>－</v>
      </c>
      <c r="V178" s="32" t="n">
        <f>9577965</f>
        <v>9577965.0</v>
      </c>
      <c r="W178" s="32" t="str">
        <f>"－"</f>
        <v>－</v>
      </c>
      <c r="X178" s="36" t="n">
        <f>16</f>
        <v>16.0</v>
      </c>
    </row>
    <row r="179">
      <c r="A179" s="27" t="s">
        <v>42</v>
      </c>
      <c r="B179" s="27" t="s">
        <v>582</v>
      </c>
      <c r="C179" s="27" t="s">
        <v>583</v>
      </c>
      <c r="D179" s="27" t="s">
        <v>584</v>
      </c>
      <c r="E179" s="28" t="s">
        <v>46</v>
      </c>
      <c r="F179" s="29" t="s">
        <v>46</v>
      </c>
      <c r="G179" s="30" t="s">
        <v>46</v>
      </c>
      <c r="H179" s="31"/>
      <c r="I179" s="31" t="s">
        <v>548</v>
      </c>
      <c r="J179" s="32" t="n">
        <v>1.0</v>
      </c>
      <c r="K179" s="33" t="n">
        <f>26130</f>
        <v>26130.0</v>
      </c>
      <c r="L179" s="34" t="s">
        <v>48</v>
      </c>
      <c r="M179" s="33" t="n">
        <f>26285</f>
        <v>26285.0</v>
      </c>
      <c r="N179" s="34" t="s">
        <v>257</v>
      </c>
      <c r="O179" s="33" t="n">
        <f>25145</f>
        <v>25145.0</v>
      </c>
      <c r="P179" s="34" t="s">
        <v>221</v>
      </c>
      <c r="Q179" s="33" t="n">
        <f>25375</f>
        <v>25375.0</v>
      </c>
      <c r="R179" s="34" t="s">
        <v>50</v>
      </c>
      <c r="S179" s="35" t="n">
        <f>25760.5</f>
        <v>25760.5</v>
      </c>
      <c r="T179" s="32" t="n">
        <f>24242</f>
        <v>24242.0</v>
      </c>
      <c r="U179" s="32" t="str">
        <f>"－"</f>
        <v>－</v>
      </c>
      <c r="V179" s="32" t="n">
        <f>618974230</f>
        <v>6.1897423E8</v>
      </c>
      <c r="W179" s="32" t="str">
        <f>"－"</f>
        <v>－</v>
      </c>
      <c r="X179" s="36" t="n">
        <f>20</f>
        <v>20.0</v>
      </c>
    </row>
    <row r="180">
      <c r="A180" s="27" t="s">
        <v>42</v>
      </c>
      <c r="B180" s="27" t="s">
        <v>585</v>
      </c>
      <c r="C180" s="27" t="s">
        <v>586</v>
      </c>
      <c r="D180" s="27" t="s">
        <v>587</v>
      </c>
      <c r="E180" s="28" t="s">
        <v>46</v>
      </c>
      <c r="F180" s="29" t="s">
        <v>46</v>
      </c>
      <c r="G180" s="30" t="s">
        <v>46</v>
      </c>
      <c r="H180" s="31"/>
      <c r="I180" s="31" t="s">
        <v>548</v>
      </c>
      <c r="J180" s="32" t="n">
        <v>1.0</v>
      </c>
      <c r="K180" s="33" t="n">
        <f>15810</f>
        <v>15810.0</v>
      </c>
      <c r="L180" s="34" t="s">
        <v>48</v>
      </c>
      <c r="M180" s="33" t="n">
        <f>16255</f>
        <v>16255.0</v>
      </c>
      <c r="N180" s="34" t="s">
        <v>79</v>
      </c>
      <c r="O180" s="33" t="n">
        <f>15500</f>
        <v>15500.0</v>
      </c>
      <c r="P180" s="34" t="s">
        <v>69</v>
      </c>
      <c r="Q180" s="33" t="n">
        <f>15650</f>
        <v>15650.0</v>
      </c>
      <c r="R180" s="34" t="s">
        <v>50</v>
      </c>
      <c r="S180" s="35" t="n">
        <f>15989.71</f>
        <v>15989.71</v>
      </c>
      <c r="T180" s="32" t="n">
        <f>145</f>
        <v>145.0</v>
      </c>
      <c r="U180" s="32" t="str">
        <f>"－"</f>
        <v>－</v>
      </c>
      <c r="V180" s="32" t="n">
        <f>2311640</f>
        <v>2311640.0</v>
      </c>
      <c r="W180" s="32" t="str">
        <f>"－"</f>
        <v>－</v>
      </c>
      <c r="X180" s="36" t="n">
        <f>17</f>
        <v>17.0</v>
      </c>
    </row>
    <row r="181">
      <c r="A181" s="27" t="s">
        <v>42</v>
      </c>
      <c r="B181" s="27" t="s">
        <v>588</v>
      </c>
      <c r="C181" s="27" t="s">
        <v>589</v>
      </c>
      <c r="D181" s="27" t="s">
        <v>590</v>
      </c>
      <c r="E181" s="28" t="s">
        <v>46</v>
      </c>
      <c r="F181" s="29" t="s">
        <v>46</v>
      </c>
      <c r="G181" s="30" t="s">
        <v>46</v>
      </c>
      <c r="H181" s="31"/>
      <c r="I181" s="31" t="s">
        <v>548</v>
      </c>
      <c r="J181" s="32" t="n">
        <v>1.0</v>
      </c>
      <c r="K181" s="33" t="n">
        <f>22440</f>
        <v>22440.0</v>
      </c>
      <c r="L181" s="34" t="s">
        <v>48</v>
      </c>
      <c r="M181" s="33" t="n">
        <f>24730</f>
        <v>24730.0</v>
      </c>
      <c r="N181" s="34" t="s">
        <v>246</v>
      </c>
      <c r="O181" s="33" t="n">
        <f>22240</f>
        <v>22240.0</v>
      </c>
      <c r="P181" s="34" t="s">
        <v>48</v>
      </c>
      <c r="Q181" s="33" t="n">
        <f>23150</f>
        <v>23150.0</v>
      </c>
      <c r="R181" s="34" t="s">
        <v>50</v>
      </c>
      <c r="S181" s="35" t="n">
        <f>23416</f>
        <v>23416.0</v>
      </c>
      <c r="T181" s="32" t="n">
        <f>54746</f>
        <v>54746.0</v>
      </c>
      <c r="U181" s="32" t="str">
        <f>"－"</f>
        <v>－</v>
      </c>
      <c r="V181" s="32" t="n">
        <f>1289763615</f>
        <v>1.289763615E9</v>
      </c>
      <c r="W181" s="32" t="str">
        <f>"－"</f>
        <v>－</v>
      </c>
      <c r="X181" s="36" t="n">
        <f>20</f>
        <v>20.0</v>
      </c>
    </row>
    <row r="182">
      <c r="A182" s="27" t="s">
        <v>42</v>
      </c>
      <c r="B182" s="27" t="s">
        <v>591</v>
      </c>
      <c r="C182" s="27" t="s">
        <v>592</v>
      </c>
      <c r="D182" s="27" t="s">
        <v>593</v>
      </c>
      <c r="E182" s="28" t="s">
        <v>46</v>
      </c>
      <c r="F182" s="29" t="s">
        <v>46</v>
      </c>
      <c r="G182" s="30" t="s">
        <v>46</v>
      </c>
      <c r="H182" s="31"/>
      <c r="I182" s="31" t="s">
        <v>548</v>
      </c>
      <c r="J182" s="32" t="n">
        <v>1.0</v>
      </c>
      <c r="K182" s="33" t="n">
        <f>4225</f>
        <v>4225.0</v>
      </c>
      <c r="L182" s="34" t="s">
        <v>48</v>
      </c>
      <c r="M182" s="33" t="n">
        <f>4305</f>
        <v>4305.0</v>
      </c>
      <c r="N182" s="34" t="s">
        <v>69</v>
      </c>
      <c r="O182" s="33" t="n">
        <f>4035</f>
        <v>4035.0</v>
      </c>
      <c r="P182" s="34" t="s">
        <v>246</v>
      </c>
      <c r="Q182" s="33" t="n">
        <f>4300</f>
        <v>4300.0</v>
      </c>
      <c r="R182" s="34" t="s">
        <v>50</v>
      </c>
      <c r="S182" s="35" t="n">
        <f>4216.25</f>
        <v>4216.25</v>
      </c>
      <c r="T182" s="32" t="n">
        <f>10138</f>
        <v>10138.0</v>
      </c>
      <c r="U182" s="32" t="str">
        <f>"－"</f>
        <v>－</v>
      </c>
      <c r="V182" s="32" t="n">
        <f>42908370</f>
        <v>4.290837E7</v>
      </c>
      <c r="W182" s="32" t="str">
        <f>"－"</f>
        <v>－</v>
      </c>
      <c r="X182" s="36" t="n">
        <f>20</f>
        <v>20.0</v>
      </c>
    </row>
    <row r="183">
      <c r="A183" s="27" t="s">
        <v>42</v>
      </c>
      <c r="B183" s="27" t="s">
        <v>594</v>
      </c>
      <c r="C183" s="27" t="s">
        <v>595</v>
      </c>
      <c r="D183" s="27" t="s">
        <v>596</v>
      </c>
      <c r="E183" s="28" t="s">
        <v>46</v>
      </c>
      <c r="F183" s="29" t="s">
        <v>46</v>
      </c>
      <c r="G183" s="30" t="s">
        <v>46</v>
      </c>
      <c r="H183" s="31"/>
      <c r="I183" s="31" t="s">
        <v>548</v>
      </c>
      <c r="J183" s="32" t="n">
        <v>1.0</v>
      </c>
      <c r="K183" s="33" t="n">
        <f>22540</f>
        <v>22540.0</v>
      </c>
      <c r="L183" s="34" t="s">
        <v>48</v>
      </c>
      <c r="M183" s="33" t="n">
        <f>24735</f>
        <v>24735.0</v>
      </c>
      <c r="N183" s="34" t="s">
        <v>67</v>
      </c>
      <c r="O183" s="33" t="n">
        <f>22515</f>
        <v>22515.0</v>
      </c>
      <c r="P183" s="34" t="s">
        <v>48</v>
      </c>
      <c r="Q183" s="33" t="n">
        <f>23855</f>
        <v>23855.0</v>
      </c>
      <c r="R183" s="34" t="s">
        <v>50</v>
      </c>
      <c r="S183" s="35" t="n">
        <f>23799</f>
        <v>23799.0</v>
      </c>
      <c r="T183" s="32" t="n">
        <f>1494</f>
        <v>1494.0</v>
      </c>
      <c r="U183" s="32" t="str">
        <f>"－"</f>
        <v>－</v>
      </c>
      <c r="V183" s="32" t="n">
        <f>35377530</f>
        <v>3.537753E7</v>
      </c>
      <c r="W183" s="32" t="str">
        <f>"－"</f>
        <v>－</v>
      </c>
      <c r="X183" s="36" t="n">
        <f>20</f>
        <v>20.0</v>
      </c>
    </row>
    <row r="184">
      <c r="A184" s="27" t="s">
        <v>42</v>
      </c>
      <c r="B184" s="27" t="s">
        <v>597</v>
      </c>
      <c r="C184" s="27" t="s">
        <v>598</v>
      </c>
      <c r="D184" s="27" t="s">
        <v>599</v>
      </c>
      <c r="E184" s="28" t="s">
        <v>46</v>
      </c>
      <c r="F184" s="29" t="s">
        <v>46</v>
      </c>
      <c r="G184" s="30" t="s">
        <v>46</v>
      </c>
      <c r="H184" s="31"/>
      <c r="I184" s="31" t="s">
        <v>548</v>
      </c>
      <c r="J184" s="32" t="n">
        <v>1.0</v>
      </c>
      <c r="K184" s="33" t="n">
        <f>16280</f>
        <v>16280.0</v>
      </c>
      <c r="L184" s="34" t="s">
        <v>79</v>
      </c>
      <c r="M184" s="33" t="n">
        <f>16495</f>
        <v>16495.0</v>
      </c>
      <c r="N184" s="34" t="s">
        <v>67</v>
      </c>
      <c r="O184" s="33" t="n">
        <f>16280</f>
        <v>16280.0</v>
      </c>
      <c r="P184" s="34" t="s">
        <v>79</v>
      </c>
      <c r="Q184" s="33" t="n">
        <f>16375</f>
        <v>16375.0</v>
      </c>
      <c r="R184" s="34" t="s">
        <v>69</v>
      </c>
      <c r="S184" s="35" t="n">
        <f>16365</f>
        <v>16365.0</v>
      </c>
      <c r="T184" s="32" t="n">
        <f>118</f>
        <v>118.0</v>
      </c>
      <c r="U184" s="32" t="str">
        <f>"－"</f>
        <v>－</v>
      </c>
      <c r="V184" s="32" t="n">
        <f>1940135</f>
        <v>1940135.0</v>
      </c>
      <c r="W184" s="32" t="str">
        <f>"－"</f>
        <v>－</v>
      </c>
      <c r="X184" s="36" t="n">
        <f>6</f>
        <v>6.0</v>
      </c>
    </row>
    <row r="185">
      <c r="A185" s="27" t="s">
        <v>42</v>
      </c>
      <c r="B185" s="27" t="s">
        <v>600</v>
      </c>
      <c r="C185" s="27" t="s">
        <v>601</v>
      </c>
      <c r="D185" s="27" t="s">
        <v>602</v>
      </c>
      <c r="E185" s="28" t="s">
        <v>46</v>
      </c>
      <c r="F185" s="29" t="s">
        <v>46</v>
      </c>
      <c r="G185" s="30" t="s">
        <v>46</v>
      </c>
      <c r="H185" s="31"/>
      <c r="I185" s="31" t="s">
        <v>548</v>
      </c>
      <c r="J185" s="32" t="n">
        <v>1.0</v>
      </c>
      <c r="K185" s="33" t="n">
        <f>26380</f>
        <v>26380.0</v>
      </c>
      <c r="L185" s="34" t="s">
        <v>48</v>
      </c>
      <c r="M185" s="33" t="n">
        <f>28635</f>
        <v>28635.0</v>
      </c>
      <c r="N185" s="34" t="s">
        <v>67</v>
      </c>
      <c r="O185" s="33" t="n">
        <f>26380</f>
        <v>26380.0</v>
      </c>
      <c r="P185" s="34" t="s">
        <v>48</v>
      </c>
      <c r="Q185" s="33" t="n">
        <f>27775</f>
        <v>27775.0</v>
      </c>
      <c r="R185" s="34" t="s">
        <v>50</v>
      </c>
      <c r="S185" s="35" t="n">
        <f>27673.16</f>
        <v>27673.16</v>
      </c>
      <c r="T185" s="32" t="n">
        <f>1741</f>
        <v>1741.0</v>
      </c>
      <c r="U185" s="32" t="str">
        <f>"－"</f>
        <v>－</v>
      </c>
      <c r="V185" s="32" t="n">
        <f>48441785</f>
        <v>4.8441785E7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603</v>
      </c>
      <c r="C186" s="27" t="s">
        <v>604</v>
      </c>
      <c r="D186" s="27" t="s">
        <v>605</v>
      </c>
      <c r="E186" s="28" t="s">
        <v>46</v>
      </c>
      <c r="F186" s="29" t="s">
        <v>46</v>
      </c>
      <c r="G186" s="30" t="s">
        <v>46</v>
      </c>
      <c r="H186" s="31"/>
      <c r="I186" s="31" t="s">
        <v>548</v>
      </c>
      <c r="J186" s="32" t="n">
        <v>1.0</v>
      </c>
      <c r="K186" s="33" t="n">
        <f>18915</f>
        <v>18915.0</v>
      </c>
      <c r="L186" s="34" t="s">
        <v>79</v>
      </c>
      <c r="M186" s="33" t="n">
        <f>18990</f>
        <v>18990.0</v>
      </c>
      <c r="N186" s="34" t="s">
        <v>257</v>
      </c>
      <c r="O186" s="33" t="n">
        <f>18705</f>
        <v>18705.0</v>
      </c>
      <c r="P186" s="34" t="s">
        <v>68</v>
      </c>
      <c r="Q186" s="33" t="n">
        <f>18860</f>
        <v>18860.0</v>
      </c>
      <c r="R186" s="34" t="s">
        <v>69</v>
      </c>
      <c r="S186" s="35" t="n">
        <f>18875</f>
        <v>18875.0</v>
      </c>
      <c r="T186" s="32" t="n">
        <f>53</f>
        <v>53.0</v>
      </c>
      <c r="U186" s="32" t="str">
        <f>"－"</f>
        <v>－</v>
      </c>
      <c r="V186" s="32" t="n">
        <f>995200</f>
        <v>995200.0</v>
      </c>
      <c r="W186" s="32" t="str">
        <f>"－"</f>
        <v>－</v>
      </c>
      <c r="X186" s="36" t="n">
        <f>4</f>
        <v>4.0</v>
      </c>
    </row>
    <row r="187">
      <c r="A187" s="27" t="s">
        <v>42</v>
      </c>
      <c r="B187" s="27" t="s">
        <v>606</v>
      </c>
      <c r="C187" s="27" t="s">
        <v>607</v>
      </c>
      <c r="D187" s="27" t="s">
        <v>608</v>
      </c>
      <c r="E187" s="28" t="s">
        <v>46</v>
      </c>
      <c r="F187" s="29" t="s">
        <v>46</v>
      </c>
      <c r="G187" s="30" t="s">
        <v>46</v>
      </c>
      <c r="H187" s="31"/>
      <c r="I187" s="31" t="s">
        <v>548</v>
      </c>
      <c r="J187" s="32" t="n">
        <v>1.0</v>
      </c>
      <c r="K187" s="33" t="n">
        <f>16385</f>
        <v>16385.0</v>
      </c>
      <c r="L187" s="34" t="s">
        <v>48</v>
      </c>
      <c r="M187" s="33" t="n">
        <f>17400</f>
        <v>17400.0</v>
      </c>
      <c r="N187" s="34" t="s">
        <v>67</v>
      </c>
      <c r="O187" s="33" t="n">
        <f>16385</f>
        <v>16385.0</v>
      </c>
      <c r="P187" s="34" t="s">
        <v>48</v>
      </c>
      <c r="Q187" s="33" t="n">
        <f>17085</f>
        <v>17085.0</v>
      </c>
      <c r="R187" s="34" t="s">
        <v>609</v>
      </c>
      <c r="S187" s="35" t="n">
        <f>17000.33</f>
        <v>17000.33</v>
      </c>
      <c r="T187" s="32" t="n">
        <f>6547</f>
        <v>6547.0</v>
      </c>
      <c r="U187" s="32" t="str">
        <f>"－"</f>
        <v>－</v>
      </c>
      <c r="V187" s="32" t="n">
        <f>111761030</f>
        <v>1.1176103E8</v>
      </c>
      <c r="W187" s="32" t="str">
        <f>"－"</f>
        <v>－</v>
      </c>
      <c r="X187" s="36" t="n">
        <f>15</f>
        <v>15.0</v>
      </c>
    </row>
    <row r="188">
      <c r="A188" s="27" t="s">
        <v>42</v>
      </c>
      <c r="B188" s="27" t="s">
        <v>610</v>
      </c>
      <c r="C188" s="27" t="s">
        <v>611</v>
      </c>
      <c r="D188" s="27" t="s">
        <v>612</v>
      </c>
      <c r="E188" s="28" t="s">
        <v>46</v>
      </c>
      <c r="F188" s="29" t="s">
        <v>46</v>
      </c>
      <c r="G188" s="30" t="s">
        <v>46</v>
      </c>
      <c r="H188" s="31"/>
      <c r="I188" s="31" t="s">
        <v>548</v>
      </c>
      <c r="J188" s="32" t="n">
        <v>1.0</v>
      </c>
      <c r="K188" s="33" t="n">
        <f>19140</f>
        <v>19140.0</v>
      </c>
      <c r="L188" s="34" t="s">
        <v>48</v>
      </c>
      <c r="M188" s="33" t="n">
        <f>20265</f>
        <v>20265.0</v>
      </c>
      <c r="N188" s="34" t="s">
        <v>49</v>
      </c>
      <c r="O188" s="33" t="n">
        <f>19140</f>
        <v>19140.0</v>
      </c>
      <c r="P188" s="34" t="s">
        <v>48</v>
      </c>
      <c r="Q188" s="33" t="n">
        <f>19145</f>
        <v>19145.0</v>
      </c>
      <c r="R188" s="34" t="s">
        <v>50</v>
      </c>
      <c r="S188" s="35" t="n">
        <f>19677.19</f>
        <v>19677.19</v>
      </c>
      <c r="T188" s="32" t="n">
        <f>282</f>
        <v>282.0</v>
      </c>
      <c r="U188" s="32" t="n">
        <f>1</f>
        <v>1.0</v>
      </c>
      <c r="V188" s="32" t="n">
        <f>5567765</f>
        <v>5567765.0</v>
      </c>
      <c r="W188" s="32" t="n">
        <f>19805</f>
        <v>19805.0</v>
      </c>
      <c r="X188" s="36" t="n">
        <f>16</f>
        <v>16.0</v>
      </c>
    </row>
    <row r="189">
      <c r="A189" s="27" t="s">
        <v>42</v>
      </c>
      <c r="B189" s="27" t="s">
        <v>613</v>
      </c>
      <c r="C189" s="27" t="s">
        <v>614</v>
      </c>
      <c r="D189" s="27" t="s">
        <v>615</v>
      </c>
      <c r="E189" s="28" t="s">
        <v>46</v>
      </c>
      <c r="F189" s="29" t="s">
        <v>46</v>
      </c>
      <c r="G189" s="30" t="s">
        <v>46</v>
      </c>
      <c r="H189" s="31"/>
      <c r="I189" s="31" t="s">
        <v>548</v>
      </c>
      <c r="J189" s="32" t="n">
        <v>1.0</v>
      </c>
      <c r="K189" s="33" t="n">
        <f>15810</f>
        <v>15810.0</v>
      </c>
      <c r="L189" s="34" t="s">
        <v>48</v>
      </c>
      <c r="M189" s="33" t="n">
        <f>16000</f>
        <v>16000.0</v>
      </c>
      <c r="N189" s="34" t="s">
        <v>60</v>
      </c>
      <c r="O189" s="33" t="n">
        <f>15810</f>
        <v>15810.0</v>
      </c>
      <c r="P189" s="34" t="s">
        <v>48</v>
      </c>
      <c r="Q189" s="33" t="n">
        <f>15960</f>
        <v>15960.0</v>
      </c>
      <c r="R189" s="34" t="s">
        <v>264</v>
      </c>
      <c r="S189" s="35" t="n">
        <f>15907.5</f>
        <v>15907.5</v>
      </c>
      <c r="T189" s="32" t="n">
        <f>36</f>
        <v>36.0</v>
      </c>
      <c r="U189" s="32" t="str">
        <f>"－"</f>
        <v>－</v>
      </c>
      <c r="V189" s="32" t="n">
        <f>572670</f>
        <v>572670.0</v>
      </c>
      <c r="W189" s="32" t="str">
        <f>"－"</f>
        <v>－</v>
      </c>
      <c r="X189" s="36" t="n">
        <f>4</f>
        <v>4.0</v>
      </c>
    </row>
    <row r="190">
      <c r="A190" s="27" t="s">
        <v>42</v>
      </c>
      <c r="B190" s="27" t="s">
        <v>616</v>
      </c>
      <c r="C190" s="27" t="s">
        <v>617</v>
      </c>
      <c r="D190" s="27" t="s">
        <v>618</v>
      </c>
      <c r="E190" s="28" t="s">
        <v>46</v>
      </c>
      <c r="F190" s="29" t="s">
        <v>46</v>
      </c>
      <c r="G190" s="30" t="s">
        <v>46</v>
      </c>
      <c r="H190" s="31"/>
      <c r="I190" s="31" t="s">
        <v>548</v>
      </c>
      <c r="J190" s="32" t="n">
        <v>1.0</v>
      </c>
      <c r="K190" s="33" t="n">
        <f>10750</f>
        <v>10750.0</v>
      </c>
      <c r="L190" s="34" t="s">
        <v>79</v>
      </c>
      <c r="M190" s="33" t="n">
        <f>10990</f>
        <v>10990.0</v>
      </c>
      <c r="N190" s="34" t="s">
        <v>49</v>
      </c>
      <c r="O190" s="33" t="n">
        <f>10620</f>
        <v>10620.0</v>
      </c>
      <c r="P190" s="34" t="s">
        <v>221</v>
      </c>
      <c r="Q190" s="33" t="n">
        <f>10735</f>
        <v>10735.0</v>
      </c>
      <c r="R190" s="34" t="s">
        <v>69</v>
      </c>
      <c r="S190" s="35" t="n">
        <f>10827.5</f>
        <v>10827.5</v>
      </c>
      <c r="T190" s="32" t="n">
        <f>11427</f>
        <v>11427.0</v>
      </c>
      <c r="U190" s="32" t="str">
        <f>"－"</f>
        <v>－</v>
      </c>
      <c r="V190" s="32" t="n">
        <f>123243010</f>
        <v>1.2324301E8</v>
      </c>
      <c r="W190" s="32" t="str">
        <f>"－"</f>
        <v>－</v>
      </c>
      <c r="X190" s="36" t="n">
        <f>16</f>
        <v>16.0</v>
      </c>
    </row>
    <row r="191">
      <c r="A191" s="27" t="s">
        <v>42</v>
      </c>
      <c r="B191" s="27" t="s">
        <v>619</v>
      </c>
      <c r="C191" s="27" t="s">
        <v>620</v>
      </c>
      <c r="D191" s="27" t="s">
        <v>621</v>
      </c>
      <c r="E191" s="28" t="s">
        <v>46</v>
      </c>
      <c r="F191" s="29" t="s">
        <v>46</v>
      </c>
      <c r="G191" s="30" t="s">
        <v>46</v>
      </c>
      <c r="H191" s="31"/>
      <c r="I191" s="31" t="s">
        <v>548</v>
      </c>
      <c r="J191" s="32" t="n">
        <v>1.0</v>
      </c>
      <c r="K191" s="33" t="n">
        <f>11655</f>
        <v>11655.0</v>
      </c>
      <c r="L191" s="34" t="s">
        <v>48</v>
      </c>
      <c r="M191" s="33" t="n">
        <f>11965</f>
        <v>11965.0</v>
      </c>
      <c r="N191" s="34" t="s">
        <v>60</v>
      </c>
      <c r="O191" s="33" t="n">
        <f>11400</f>
        <v>11400.0</v>
      </c>
      <c r="P191" s="34" t="s">
        <v>90</v>
      </c>
      <c r="Q191" s="33" t="n">
        <f>11425</f>
        <v>11425.0</v>
      </c>
      <c r="R191" s="34" t="s">
        <v>50</v>
      </c>
      <c r="S191" s="35" t="n">
        <f>11651.25</f>
        <v>11651.25</v>
      </c>
      <c r="T191" s="32" t="n">
        <f>38726</f>
        <v>38726.0</v>
      </c>
      <c r="U191" s="32" t="str">
        <f>"－"</f>
        <v>－</v>
      </c>
      <c r="V191" s="32" t="n">
        <f>451310515</f>
        <v>4.51310515E8</v>
      </c>
      <c r="W191" s="32" t="str">
        <f>"－"</f>
        <v>－</v>
      </c>
      <c r="X191" s="36" t="n">
        <f>20</f>
        <v>20.0</v>
      </c>
    </row>
    <row r="192">
      <c r="A192" s="27" t="s">
        <v>42</v>
      </c>
      <c r="B192" s="27" t="s">
        <v>622</v>
      </c>
      <c r="C192" s="27" t="s">
        <v>623</v>
      </c>
      <c r="D192" s="27" t="s">
        <v>624</v>
      </c>
      <c r="E192" s="28" t="s">
        <v>46</v>
      </c>
      <c r="F192" s="29" t="s">
        <v>46</v>
      </c>
      <c r="G192" s="30" t="s">
        <v>46</v>
      </c>
      <c r="H192" s="31"/>
      <c r="I192" s="31" t="s">
        <v>548</v>
      </c>
      <c r="J192" s="32" t="n">
        <v>1.0</v>
      </c>
      <c r="K192" s="33" t="n">
        <f>11265</f>
        <v>11265.0</v>
      </c>
      <c r="L192" s="34" t="s">
        <v>48</v>
      </c>
      <c r="M192" s="33" t="n">
        <f>11560</f>
        <v>11560.0</v>
      </c>
      <c r="N192" s="34" t="s">
        <v>49</v>
      </c>
      <c r="O192" s="33" t="n">
        <f>11195</f>
        <v>11195.0</v>
      </c>
      <c r="P192" s="34" t="s">
        <v>221</v>
      </c>
      <c r="Q192" s="33" t="n">
        <f>11310</f>
        <v>11310.0</v>
      </c>
      <c r="R192" s="34" t="s">
        <v>50</v>
      </c>
      <c r="S192" s="35" t="n">
        <f>11360.94</f>
        <v>11360.94</v>
      </c>
      <c r="T192" s="32" t="n">
        <f>13837</f>
        <v>13837.0</v>
      </c>
      <c r="U192" s="32" t="str">
        <f>"－"</f>
        <v>－</v>
      </c>
      <c r="V192" s="32" t="n">
        <f>157099260</f>
        <v>1.5709926E8</v>
      </c>
      <c r="W192" s="32" t="str">
        <f>"－"</f>
        <v>－</v>
      </c>
      <c r="X192" s="36" t="n">
        <f>16</f>
        <v>16.0</v>
      </c>
    </row>
    <row r="193">
      <c r="A193" s="27" t="s">
        <v>42</v>
      </c>
      <c r="B193" s="27" t="s">
        <v>625</v>
      </c>
      <c r="C193" s="27" t="s">
        <v>626</v>
      </c>
      <c r="D193" s="27" t="s">
        <v>627</v>
      </c>
      <c r="E193" s="28" t="s">
        <v>46</v>
      </c>
      <c r="F193" s="29" t="s">
        <v>46</v>
      </c>
      <c r="G193" s="30" t="s">
        <v>46</v>
      </c>
      <c r="H193" s="31"/>
      <c r="I193" s="31" t="s">
        <v>548</v>
      </c>
      <c r="J193" s="32" t="n">
        <v>1.0</v>
      </c>
      <c r="K193" s="33" t="n">
        <f>11305</f>
        <v>11305.0</v>
      </c>
      <c r="L193" s="34" t="s">
        <v>48</v>
      </c>
      <c r="M193" s="33" t="n">
        <f>11350</f>
        <v>11350.0</v>
      </c>
      <c r="N193" s="34" t="s">
        <v>79</v>
      </c>
      <c r="O193" s="33" t="n">
        <f>10930</f>
        <v>10930.0</v>
      </c>
      <c r="P193" s="34" t="s">
        <v>477</v>
      </c>
      <c r="Q193" s="33" t="n">
        <f>10930</f>
        <v>10930.0</v>
      </c>
      <c r="R193" s="34" t="s">
        <v>477</v>
      </c>
      <c r="S193" s="35" t="n">
        <f>11195</f>
        <v>11195.0</v>
      </c>
      <c r="T193" s="32" t="n">
        <f>3</f>
        <v>3.0</v>
      </c>
      <c r="U193" s="32" t="str">
        <f>"－"</f>
        <v>－</v>
      </c>
      <c r="V193" s="32" t="n">
        <f>33585</f>
        <v>33585.0</v>
      </c>
      <c r="W193" s="32" t="str">
        <f>"－"</f>
        <v>－</v>
      </c>
      <c r="X193" s="36" t="n">
        <f>3</f>
        <v>3.0</v>
      </c>
    </row>
    <row r="194">
      <c r="A194" s="27" t="s">
        <v>42</v>
      </c>
      <c r="B194" s="27" t="s">
        <v>628</v>
      </c>
      <c r="C194" s="27" t="s">
        <v>629</v>
      </c>
      <c r="D194" s="27" t="s">
        <v>630</v>
      </c>
      <c r="E194" s="28" t="s">
        <v>631</v>
      </c>
      <c r="F194" s="29" t="s">
        <v>632</v>
      </c>
      <c r="G194" s="30" t="s">
        <v>633</v>
      </c>
      <c r="H194" s="31"/>
      <c r="I194" s="31" t="s">
        <v>47</v>
      </c>
      <c r="J194" s="32" t="n">
        <v>1.0</v>
      </c>
      <c r="K194" s="33" t="n">
        <f>1004</f>
        <v>1004.0</v>
      </c>
      <c r="L194" s="34" t="s">
        <v>264</v>
      </c>
      <c r="M194" s="33" t="n">
        <f>1061</f>
        <v>1061.0</v>
      </c>
      <c r="N194" s="34" t="s">
        <v>67</v>
      </c>
      <c r="O194" s="33" t="n">
        <f>989</f>
        <v>989.0</v>
      </c>
      <c r="P194" s="34" t="s">
        <v>86</v>
      </c>
      <c r="Q194" s="33" t="n">
        <f>1014</f>
        <v>1014.0</v>
      </c>
      <c r="R194" s="34" t="s">
        <v>50</v>
      </c>
      <c r="S194" s="35" t="n">
        <f>1025.69</f>
        <v>1025.69</v>
      </c>
      <c r="T194" s="32" t="n">
        <f>31854240</f>
        <v>3.185424E7</v>
      </c>
      <c r="U194" s="32" t="n">
        <f>341999</f>
        <v>341999.0</v>
      </c>
      <c r="V194" s="32" t="n">
        <f>32827659880</f>
        <v>3.282765988E10</v>
      </c>
      <c r="W194" s="32" t="n">
        <f>345162569</f>
        <v>3.45162569E8</v>
      </c>
      <c r="X194" s="36" t="n">
        <f>16</f>
        <v>16.0</v>
      </c>
    </row>
    <row r="195">
      <c r="A195" s="27" t="s">
        <v>42</v>
      </c>
      <c r="B195" s="27" t="s">
        <v>634</v>
      </c>
      <c r="C195" s="27" t="s">
        <v>635</v>
      </c>
      <c r="D195" s="27" t="s">
        <v>636</v>
      </c>
      <c r="E195" s="28" t="s">
        <v>631</v>
      </c>
      <c r="F195" s="29" t="s">
        <v>632</v>
      </c>
      <c r="G195" s="30" t="s">
        <v>633</v>
      </c>
      <c r="H195" s="31"/>
      <c r="I195" s="31" t="s">
        <v>47</v>
      </c>
      <c r="J195" s="32" t="n">
        <v>1.0</v>
      </c>
      <c r="K195" s="33" t="n">
        <f>1003</f>
        <v>1003.0</v>
      </c>
      <c r="L195" s="34" t="s">
        <v>264</v>
      </c>
      <c r="M195" s="33" t="n">
        <f>1061</f>
        <v>1061.0</v>
      </c>
      <c r="N195" s="34" t="s">
        <v>49</v>
      </c>
      <c r="O195" s="33" t="n">
        <f>986</f>
        <v>986.0</v>
      </c>
      <c r="P195" s="34" t="s">
        <v>86</v>
      </c>
      <c r="Q195" s="33" t="n">
        <f>995</f>
        <v>995.0</v>
      </c>
      <c r="R195" s="34" t="s">
        <v>50</v>
      </c>
      <c r="S195" s="35" t="n">
        <f>1009.81</f>
        <v>1009.81</v>
      </c>
      <c r="T195" s="32" t="n">
        <f>534819</f>
        <v>534819.0</v>
      </c>
      <c r="U195" s="32" t="str">
        <f>"－"</f>
        <v>－</v>
      </c>
      <c r="V195" s="32" t="n">
        <f>539128549</f>
        <v>5.39128549E8</v>
      </c>
      <c r="W195" s="32" t="str">
        <f>"－"</f>
        <v>－</v>
      </c>
      <c r="X195" s="36" t="n">
        <f>16</f>
        <v>16.0</v>
      </c>
    </row>
    <row r="196">
      <c r="A196" s="27" t="s">
        <v>42</v>
      </c>
      <c r="B196" s="27" t="s">
        <v>637</v>
      </c>
      <c r="C196" s="27" t="s">
        <v>638</v>
      </c>
      <c r="D196" s="27" t="s">
        <v>639</v>
      </c>
      <c r="E196" s="28" t="s">
        <v>631</v>
      </c>
      <c r="F196" s="29" t="s">
        <v>632</v>
      </c>
      <c r="G196" s="30" t="s">
        <v>633</v>
      </c>
      <c r="H196" s="31"/>
      <c r="I196" s="31" t="s">
        <v>47</v>
      </c>
      <c r="J196" s="32" t="n">
        <v>1.0</v>
      </c>
      <c r="K196" s="33" t="n">
        <f>1000</f>
        <v>1000.0</v>
      </c>
      <c r="L196" s="34" t="s">
        <v>264</v>
      </c>
      <c r="M196" s="33" t="n">
        <f>1008</f>
        <v>1008.0</v>
      </c>
      <c r="N196" s="34" t="s">
        <v>264</v>
      </c>
      <c r="O196" s="33" t="n">
        <f>938</f>
        <v>938.0</v>
      </c>
      <c r="P196" s="34" t="s">
        <v>221</v>
      </c>
      <c r="Q196" s="33" t="n">
        <f>950</f>
        <v>950.0</v>
      </c>
      <c r="R196" s="34" t="s">
        <v>50</v>
      </c>
      <c r="S196" s="35" t="n">
        <f>967.13</f>
        <v>967.13</v>
      </c>
      <c r="T196" s="32" t="n">
        <f>440911</f>
        <v>440911.0</v>
      </c>
      <c r="U196" s="32" t="str">
        <f>"－"</f>
        <v>－</v>
      </c>
      <c r="V196" s="32" t="n">
        <f>430871156</f>
        <v>4.30871156E8</v>
      </c>
      <c r="W196" s="32" t="str">
        <f>"－"</f>
        <v>－</v>
      </c>
      <c r="X196" s="36" t="n">
        <f>16</f>
        <v>16.0</v>
      </c>
    </row>
    <row r="197">
      <c r="A197" s="27" t="s">
        <v>42</v>
      </c>
      <c r="B197" s="27" t="s">
        <v>640</v>
      </c>
      <c r="C197" s="27" t="s">
        <v>641</v>
      </c>
      <c r="D197" s="27" t="s">
        <v>642</v>
      </c>
      <c r="E197" s="28" t="s">
        <v>631</v>
      </c>
      <c r="F197" s="29" t="s">
        <v>632</v>
      </c>
      <c r="G197" s="30" t="s">
        <v>633</v>
      </c>
      <c r="H197" s="31"/>
      <c r="I197" s="31" t="s">
        <v>47</v>
      </c>
      <c r="J197" s="32" t="n">
        <v>1.0</v>
      </c>
      <c r="K197" s="33" t="n">
        <f>2000</f>
        <v>2000.0</v>
      </c>
      <c r="L197" s="34" t="s">
        <v>264</v>
      </c>
      <c r="M197" s="33" t="n">
        <f>2002</f>
        <v>2002.0</v>
      </c>
      <c r="N197" s="34" t="s">
        <v>264</v>
      </c>
      <c r="O197" s="33" t="n">
        <f>1872</f>
        <v>1872.0</v>
      </c>
      <c r="P197" s="34" t="s">
        <v>250</v>
      </c>
      <c r="Q197" s="33" t="n">
        <f>1903</f>
        <v>1903.0</v>
      </c>
      <c r="R197" s="34" t="s">
        <v>50</v>
      </c>
      <c r="S197" s="35" t="n">
        <f>1936.56</f>
        <v>1936.56</v>
      </c>
      <c r="T197" s="32" t="n">
        <f>1090819</f>
        <v>1090819.0</v>
      </c>
      <c r="U197" s="32" t="str">
        <f>"－"</f>
        <v>－</v>
      </c>
      <c r="V197" s="32" t="n">
        <f>2121294546</f>
        <v>2.121294546E9</v>
      </c>
      <c r="W197" s="32" t="str">
        <f>"－"</f>
        <v>－</v>
      </c>
      <c r="X197" s="36" t="n">
        <f>16</f>
        <v>16.0</v>
      </c>
    </row>
    <row r="198">
      <c r="A198" s="27" t="s">
        <v>42</v>
      </c>
      <c r="B198" s="27" t="s">
        <v>643</v>
      </c>
      <c r="C198" s="27" t="s">
        <v>644</v>
      </c>
      <c r="D198" s="27" t="s">
        <v>645</v>
      </c>
      <c r="E198" s="28" t="s">
        <v>631</v>
      </c>
      <c r="F198" s="29" t="s">
        <v>632</v>
      </c>
      <c r="G198" s="30" t="s">
        <v>633</v>
      </c>
      <c r="H198" s="31"/>
      <c r="I198" s="31" t="s">
        <v>47</v>
      </c>
      <c r="J198" s="32" t="n">
        <v>1.0</v>
      </c>
      <c r="K198" s="33" t="n">
        <f>1999</f>
        <v>1999.0</v>
      </c>
      <c r="L198" s="34" t="s">
        <v>264</v>
      </c>
      <c r="M198" s="33" t="n">
        <f>2090</f>
        <v>2090.0</v>
      </c>
      <c r="N198" s="34" t="s">
        <v>67</v>
      </c>
      <c r="O198" s="33" t="n">
        <f>1973</f>
        <v>1973.0</v>
      </c>
      <c r="P198" s="34" t="s">
        <v>86</v>
      </c>
      <c r="Q198" s="33" t="n">
        <f>2002</f>
        <v>2002.0</v>
      </c>
      <c r="R198" s="34" t="s">
        <v>50</v>
      </c>
      <c r="S198" s="35" t="n">
        <f>2023.94</f>
        <v>2023.94</v>
      </c>
      <c r="T198" s="32" t="n">
        <f>3127720</f>
        <v>3127720.0</v>
      </c>
      <c r="U198" s="32" t="n">
        <f>281599</f>
        <v>281599.0</v>
      </c>
      <c r="V198" s="32" t="n">
        <f>6328000349</f>
        <v>6.328000349E9</v>
      </c>
      <c r="W198" s="32" t="n">
        <f>572817127</f>
        <v>5.72817127E8</v>
      </c>
      <c r="X198" s="36" t="n">
        <f>16</f>
        <v>16.0</v>
      </c>
    </row>
    <row r="199">
      <c r="A199" s="27" t="s">
        <v>42</v>
      </c>
      <c r="B199" s="27" t="s">
        <v>646</v>
      </c>
      <c r="C199" s="27" t="s">
        <v>647</v>
      </c>
      <c r="D199" s="27" t="s">
        <v>648</v>
      </c>
      <c r="E199" s="28" t="s">
        <v>631</v>
      </c>
      <c r="F199" s="29" t="s">
        <v>632</v>
      </c>
      <c r="G199" s="30" t="s">
        <v>633</v>
      </c>
      <c r="H199" s="31"/>
      <c r="I199" s="31" t="s">
        <v>47</v>
      </c>
      <c r="J199" s="32" t="n">
        <v>10.0</v>
      </c>
      <c r="K199" s="33" t="n">
        <f>500.1</f>
        <v>500.1</v>
      </c>
      <c r="L199" s="34" t="s">
        <v>264</v>
      </c>
      <c r="M199" s="33" t="n">
        <f>530</f>
        <v>530.0</v>
      </c>
      <c r="N199" s="34" t="s">
        <v>67</v>
      </c>
      <c r="O199" s="33" t="n">
        <f>495.2</f>
        <v>495.2</v>
      </c>
      <c r="P199" s="34" t="s">
        <v>86</v>
      </c>
      <c r="Q199" s="33" t="n">
        <f>503.5</f>
        <v>503.5</v>
      </c>
      <c r="R199" s="34" t="s">
        <v>50</v>
      </c>
      <c r="S199" s="35" t="n">
        <f>510.1</f>
        <v>510.1</v>
      </c>
      <c r="T199" s="32" t="n">
        <f>11857770</f>
        <v>1.185777E7</v>
      </c>
      <c r="U199" s="32" t="n">
        <f>649400</f>
        <v>649400.0</v>
      </c>
      <c r="V199" s="32" t="n">
        <f>6044731487</f>
        <v>6.044731487E9</v>
      </c>
      <c r="W199" s="32" t="n">
        <f>325914700</f>
        <v>3.259147E8</v>
      </c>
      <c r="X199" s="36" t="n">
        <f>16</f>
        <v>16.0</v>
      </c>
    </row>
    <row r="200">
      <c r="A200" s="27" t="s">
        <v>42</v>
      </c>
      <c r="B200" s="27" t="s">
        <v>649</v>
      </c>
      <c r="C200" s="27" t="s">
        <v>650</v>
      </c>
      <c r="D200" s="27" t="s">
        <v>651</v>
      </c>
      <c r="E200" s="28" t="s">
        <v>631</v>
      </c>
      <c r="F200" s="29" t="s">
        <v>632</v>
      </c>
      <c r="G200" s="30" t="s">
        <v>652</v>
      </c>
      <c r="H200" s="31"/>
      <c r="I200" s="31" t="s">
        <v>47</v>
      </c>
      <c r="J200" s="32" t="n">
        <v>10.0</v>
      </c>
      <c r="K200" s="33" t="n">
        <f>2005</f>
        <v>2005.0</v>
      </c>
      <c r="L200" s="34" t="s">
        <v>221</v>
      </c>
      <c r="M200" s="33" t="n">
        <f>2071</f>
        <v>2071.0</v>
      </c>
      <c r="N200" s="34" t="s">
        <v>477</v>
      </c>
      <c r="O200" s="33" t="n">
        <f>1944</f>
        <v>1944.0</v>
      </c>
      <c r="P200" s="34" t="s">
        <v>250</v>
      </c>
      <c r="Q200" s="33" t="n">
        <f>1950</f>
        <v>1950.0</v>
      </c>
      <c r="R200" s="34" t="s">
        <v>50</v>
      </c>
      <c r="S200" s="35" t="n">
        <f>1959.58</f>
        <v>1959.58</v>
      </c>
      <c r="T200" s="32" t="n">
        <f>510</f>
        <v>510.0</v>
      </c>
      <c r="U200" s="32" t="str">
        <f>"－"</f>
        <v>－</v>
      </c>
      <c r="V200" s="32" t="n">
        <f>1015370</f>
        <v>1015370.0</v>
      </c>
      <c r="W200" s="32" t="str">
        <f>"－"</f>
        <v>－</v>
      </c>
      <c r="X200" s="36" t="n">
        <f>6</f>
        <v>6.0</v>
      </c>
    </row>
    <row r="201">
      <c r="A201" s="27" t="s">
        <v>42</v>
      </c>
      <c r="B201" s="27" t="s">
        <v>653</v>
      </c>
      <c r="C201" s="27" t="s">
        <v>654</v>
      </c>
      <c r="D201" s="27" t="s">
        <v>655</v>
      </c>
      <c r="E201" s="28" t="s">
        <v>631</v>
      </c>
      <c r="F201" s="29" t="s">
        <v>632</v>
      </c>
      <c r="G201" s="30" t="s">
        <v>652</v>
      </c>
      <c r="H201" s="31"/>
      <c r="I201" s="31" t="s">
        <v>47</v>
      </c>
      <c r="J201" s="32" t="n">
        <v>10.0</v>
      </c>
      <c r="K201" s="33" t="n">
        <f>2005</f>
        <v>2005.0</v>
      </c>
      <c r="L201" s="34" t="s">
        <v>221</v>
      </c>
      <c r="M201" s="33" t="n">
        <f>2068.5</f>
        <v>2068.5</v>
      </c>
      <c r="N201" s="34" t="s">
        <v>477</v>
      </c>
      <c r="O201" s="33" t="n">
        <f>1946</f>
        <v>1946.0</v>
      </c>
      <c r="P201" s="34" t="s">
        <v>250</v>
      </c>
      <c r="Q201" s="33" t="n">
        <f>1963</f>
        <v>1963.0</v>
      </c>
      <c r="R201" s="34" t="s">
        <v>50</v>
      </c>
      <c r="S201" s="35" t="n">
        <f>1964.9</f>
        <v>1964.9</v>
      </c>
      <c r="T201" s="32" t="n">
        <f>1700</f>
        <v>1700.0</v>
      </c>
      <c r="U201" s="32" t="str">
        <f>"－"</f>
        <v>－</v>
      </c>
      <c r="V201" s="32" t="n">
        <f>3354280</f>
        <v>3354280.0</v>
      </c>
      <c r="W201" s="32" t="str">
        <f>"－"</f>
        <v>－</v>
      </c>
      <c r="X201" s="36" t="n">
        <f>5</f>
        <v>5.0</v>
      </c>
    </row>
    <row r="202">
      <c r="A202" s="27" t="s">
        <v>42</v>
      </c>
      <c r="B202" s="27" t="s">
        <v>656</v>
      </c>
      <c r="C202" s="27" t="s">
        <v>657</v>
      </c>
      <c r="D202" s="27" t="s">
        <v>658</v>
      </c>
      <c r="E202" s="28" t="s">
        <v>631</v>
      </c>
      <c r="F202" s="29" t="s">
        <v>632</v>
      </c>
      <c r="G202" s="30" t="s">
        <v>652</v>
      </c>
      <c r="H202" s="31"/>
      <c r="I202" s="31" t="s">
        <v>47</v>
      </c>
      <c r="J202" s="32" t="n">
        <v>10.0</v>
      </c>
      <c r="K202" s="33" t="n">
        <f>2000</f>
        <v>2000.0</v>
      </c>
      <c r="L202" s="34" t="s">
        <v>221</v>
      </c>
      <c r="M202" s="33" t="n">
        <f>2081.5</f>
        <v>2081.5</v>
      </c>
      <c r="N202" s="34" t="s">
        <v>477</v>
      </c>
      <c r="O202" s="33" t="n">
        <f>1950</f>
        <v>1950.0</v>
      </c>
      <c r="P202" s="34" t="s">
        <v>69</v>
      </c>
      <c r="Q202" s="33" t="n">
        <f>1953</f>
        <v>1953.0</v>
      </c>
      <c r="R202" s="34" t="s">
        <v>50</v>
      </c>
      <c r="S202" s="35" t="n">
        <f>1973.25</f>
        <v>1973.25</v>
      </c>
      <c r="T202" s="32" t="n">
        <f>2250</f>
        <v>2250.0</v>
      </c>
      <c r="U202" s="32" t="str">
        <f>"－"</f>
        <v>－</v>
      </c>
      <c r="V202" s="32" t="n">
        <f>4453110</f>
        <v>4453110.0</v>
      </c>
      <c r="W202" s="32" t="str">
        <f>"－"</f>
        <v>－</v>
      </c>
      <c r="X202" s="36" t="n">
        <f>6</f>
        <v>6.0</v>
      </c>
    </row>
    <row r="203">
      <c r="A203" s="27" t="s">
        <v>42</v>
      </c>
      <c r="B203" s="27" t="s">
        <v>659</v>
      </c>
      <c r="C203" s="27" t="s">
        <v>660</v>
      </c>
      <c r="D203" s="27" t="s">
        <v>661</v>
      </c>
      <c r="E203" s="28" t="s">
        <v>631</v>
      </c>
      <c r="F203" s="29" t="s">
        <v>632</v>
      </c>
      <c r="G203" s="30" t="s">
        <v>652</v>
      </c>
      <c r="H203" s="31"/>
      <c r="I203" s="31" t="s">
        <v>47</v>
      </c>
      <c r="J203" s="32" t="n">
        <v>10.0</v>
      </c>
      <c r="K203" s="33" t="n">
        <f>2004</f>
        <v>2004.0</v>
      </c>
      <c r="L203" s="34" t="s">
        <v>221</v>
      </c>
      <c r="M203" s="33" t="n">
        <f>2339</f>
        <v>2339.0</v>
      </c>
      <c r="N203" s="34" t="s">
        <v>477</v>
      </c>
      <c r="O203" s="33" t="n">
        <f>1973</f>
        <v>1973.0</v>
      </c>
      <c r="P203" s="34" t="s">
        <v>609</v>
      </c>
      <c r="Q203" s="33" t="n">
        <f>1977</f>
        <v>1977.0</v>
      </c>
      <c r="R203" s="34" t="s">
        <v>609</v>
      </c>
      <c r="S203" s="35" t="n">
        <f>1991.5</f>
        <v>1991.5</v>
      </c>
      <c r="T203" s="32" t="n">
        <f>3050</f>
        <v>3050.0</v>
      </c>
      <c r="U203" s="32" t="str">
        <f>"－"</f>
        <v>－</v>
      </c>
      <c r="V203" s="32" t="n">
        <f>6098575</f>
        <v>6098575.0</v>
      </c>
      <c r="W203" s="32" t="str">
        <f>"－"</f>
        <v>－</v>
      </c>
      <c r="X203" s="36" t="n">
        <f>3</f>
        <v>3.0</v>
      </c>
    </row>
    <row r="204">
      <c r="A204" s="27" t="s">
        <v>42</v>
      </c>
      <c r="B204" s="27" t="s">
        <v>662</v>
      </c>
      <c r="C204" s="27" t="s">
        <v>663</v>
      </c>
      <c r="D204" s="27" t="s">
        <v>664</v>
      </c>
      <c r="E204" s="28" t="s">
        <v>631</v>
      </c>
      <c r="F204" s="29" t="s">
        <v>632</v>
      </c>
      <c r="G204" s="30" t="s">
        <v>652</v>
      </c>
      <c r="H204" s="31"/>
      <c r="I204" s="31" t="s">
        <v>47</v>
      </c>
      <c r="J204" s="32" t="n">
        <v>10.0</v>
      </c>
      <c r="K204" s="33" t="n">
        <f>5025</f>
        <v>5025.0</v>
      </c>
      <c r="L204" s="34" t="s">
        <v>221</v>
      </c>
      <c r="M204" s="33" t="n">
        <f>5323</f>
        <v>5323.0</v>
      </c>
      <c r="N204" s="34" t="s">
        <v>477</v>
      </c>
      <c r="O204" s="33" t="n">
        <f>4976</f>
        <v>4976.0</v>
      </c>
      <c r="P204" s="34" t="s">
        <v>609</v>
      </c>
      <c r="Q204" s="33" t="n">
        <f>4976</f>
        <v>4976.0</v>
      </c>
      <c r="R204" s="34" t="s">
        <v>609</v>
      </c>
      <c r="S204" s="35" t="n">
        <f>5005.33</f>
        <v>5005.33</v>
      </c>
      <c r="T204" s="32" t="n">
        <f>140</f>
        <v>140.0</v>
      </c>
      <c r="U204" s="32" t="str">
        <f>"－"</f>
        <v>－</v>
      </c>
      <c r="V204" s="32" t="n">
        <f>712240</f>
        <v>712240.0</v>
      </c>
      <c r="W204" s="32" t="str">
        <f>"－"</f>
        <v>－</v>
      </c>
      <c r="X204" s="36" t="n">
        <f>3</f>
        <v>3.0</v>
      </c>
    </row>
    <row r="205">
      <c r="A205" s="27" t="s">
        <v>42</v>
      </c>
      <c r="B205" s="27" t="s">
        <v>665</v>
      </c>
      <c r="C205" s="27" t="s">
        <v>666</v>
      </c>
      <c r="D205" s="27" t="s">
        <v>667</v>
      </c>
      <c r="E205" s="28" t="s">
        <v>631</v>
      </c>
      <c r="F205" s="29" t="s">
        <v>632</v>
      </c>
      <c r="G205" s="30" t="s">
        <v>652</v>
      </c>
      <c r="H205" s="31"/>
      <c r="I205" s="31" t="s">
        <v>47</v>
      </c>
      <c r="J205" s="32" t="n">
        <v>10.0</v>
      </c>
      <c r="K205" s="33" t="n">
        <f>5058</f>
        <v>5058.0</v>
      </c>
      <c r="L205" s="34" t="s">
        <v>221</v>
      </c>
      <c r="M205" s="33" t="n">
        <f>5309</f>
        <v>5309.0</v>
      </c>
      <c r="N205" s="34" t="s">
        <v>477</v>
      </c>
      <c r="O205" s="33" t="n">
        <f>4970</f>
        <v>4970.0</v>
      </c>
      <c r="P205" s="34" t="s">
        <v>609</v>
      </c>
      <c r="Q205" s="33" t="n">
        <f>4970</f>
        <v>4970.0</v>
      </c>
      <c r="R205" s="34" t="s">
        <v>69</v>
      </c>
      <c r="S205" s="35" t="n">
        <f>4989.25</f>
        <v>4989.25</v>
      </c>
      <c r="T205" s="32" t="n">
        <f>550</f>
        <v>550.0</v>
      </c>
      <c r="U205" s="32" t="str">
        <f>"－"</f>
        <v>－</v>
      </c>
      <c r="V205" s="32" t="n">
        <f>2754270</f>
        <v>2754270.0</v>
      </c>
      <c r="W205" s="32" t="str">
        <f>"－"</f>
        <v>－</v>
      </c>
      <c r="X205" s="36" t="n">
        <f>4</f>
        <v>4.0</v>
      </c>
    </row>
    <row r="206">
      <c r="A206" s="27" t="s">
        <v>42</v>
      </c>
      <c r="B206" s="27" t="s">
        <v>668</v>
      </c>
      <c r="C206" s="27" t="s">
        <v>669</v>
      </c>
      <c r="D206" s="27" t="s">
        <v>670</v>
      </c>
      <c r="E206" s="28" t="s">
        <v>631</v>
      </c>
      <c r="F206" s="29" t="s">
        <v>632</v>
      </c>
      <c r="G206" s="30" t="s">
        <v>652</v>
      </c>
      <c r="H206" s="31"/>
      <c r="I206" s="31" t="s">
        <v>47</v>
      </c>
      <c r="J206" s="32" t="n">
        <v>10.0</v>
      </c>
      <c r="K206" s="33" t="n">
        <f>5052</f>
        <v>5052.0</v>
      </c>
      <c r="L206" s="34" t="s">
        <v>221</v>
      </c>
      <c r="M206" s="33" t="n">
        <f>5308</f>
        <v>5308.0</v>
      </c>
      <c r="N206" s="34" t="s">
        <v>477</v>
      </c>
      <c r="O206" s="33" t="n">
        <f>4986</f>
        <v>4986.0</v>
      </c>
      <c r="P206" s="34" t="s">
        <v>609</v>
      </c>
      <c r="Q206" s="33" t="n">
        <f>4989</f>
        <v>4989.0</v>
      </c>
      <c r="R206" s="34" t="s">
        <v>609</v>
      </c>
      <c r="S206" s="35" t="n">
        <f>5002</f>
        <v>5002.0</v>
      </c>
      <c r="T206" s="32" t="n">
        <f>170</f>
        <v>170.0</v>
      </c>
      <c r="U206" s="32" t="str">
        <f>"－"</f>
        <v>－</v>
      </c>
      <c r="V206" s="32" t="n">
        <f>863050</f>
        <v>863050.0</v>
      </c>
      <c r="W206" s="32" t="str">
        <f>"－"</f>
        <v>－</v>
      </c>
      <c r="X206" s="36" t="n">
        <f>3</f>
        <v>3.0</v>
      </c>
    </row>
    <row r="207">
      <c r="A207" s="27" t="s">
        <v>42</v>
      </c>
      <c r="B207" s="27" t="s">
        <v>671</v>
      </c>
      <c r="C207" s="27" t="s">
        <v>672</v>
      </c>
      <c r="D207" s="27" t="s">
        <v>673</v>
      </c>
      <c r="E207" s="28" t="s">
        <v>46</v>
      </c>
      <c r="F207" s="29" t="s">
        <v>46</v>
      </c>
      <c r="G207" s="30" t="s">
        <v>46</v>
      </c>
      <c r="H207" s="31"/>
      <c r="I207" s="31" t="s">
        <v>47</v>
      </c>
      <c r="J207" s="32" t="n">
        <v>10.0</v>
      </c>
      <c r="K207" s="33" t="n">
        <f>2237</f>
        <v>2237.0</v>
      </c>
      <c r="L207" s="34" t="s">
        <v>48</v>
      </c>
      <c r="M207" s="33" t="n">
        <f>2251</f>
        <v>2251.0</v>
      </c>
      <c r="N207" s="34" t="s">
        <v>49</v>
      </c>
      <c r="O207" s="33" t="n">
        <f>2185.5</f>
        <v>2185.5</v>
      </c>
      <c r="P207" s="34" t="s">
        <v>69</v>
      </c>
      <c r="Q207" s="33" t="n">
        <f>2196</f>
        <v>2196.0</v>
      </c>
      <c r="R207" s="34" t="s">
        <v>50</v>
      </c>
      <c r="S207" s="35" t="n">
        <f>2214.5</f>
        <v>2214.5</v>
      </c>
      <c r="T207" s="32" t="n">
        <f>25850</f>
        <v>25850.0</v>
      </c>
      <c r="U207" s="32" t="str">
        <f>"－"</f>
        <v>－</v>
      </c>
      <c r="V207" s="32" t="n">
        <f>57291615</f>
        <v>5.7291615E7</v>
      </c>
      <c r="W207" s="32" t="str">
        <f>"－"</f>
        <v>－</v>
      </c>
      <c r="X207" s="36" t="n">
        <f>20</f>
        <v>20.0</v>
      </c>
    </row>
    <row r="208">
      <c r="A208" s="27" t="s">
        <v>42</v>
      </c>
      <c r="B208" s="27" t="s">
        <v>674</v>
      </c>
      <c r="C208" s="27" t="s">
        <v>675</v>
      </c>
      <c r="D208" s="27" t="s">
        <v>676</v>
      </c>
      <c r="E208" s="28" t="s">
        <v>46</v>
      </c>
      <c r="F208" s="29" t="s">
        <v>46</v>
      </c>
      <c r="G208" s="30" t="s">
        <v>46</v>
      </c>
      <c r="H208" s="31"/>
      <c r="I208" s="31" t="s">
        <v>47</v>
      </c>
      <c r="J208" s="32" t="n">
        <v>1.0</v>
      </c>
      <c r="K208" s="33" t="n">
        <f>1117</f>
        <v>1117.0</v>
      </c>
      <c r="L208" s="34" t="s">
        <v>48</v>
      </c>
      <c r="M208" s="33" t="n">
        <f>1127</f>
        <v>1127.0</v>
      </c>
      <c r="N208" s="34" t="s">
        <v>257</v>
      </c>
      <c r="O208" s="33" t="n">
        <f>1077</f>
        <v>1077.0</v>
      </c>
      <c r="P208" s="34" t="s">
        <v>69</v>
      </c>
      <c r="Q208" s="33" t="n">
        <f>1079</f>
        <v>1079.0</v>
      </c>
      <c r="R208" s="34" t="s">
        <v>50</v>
      </c>
      <c r="S208" s="35" t="n">
        <f>1106.15</f>
        <v>1106.15</v>
      </c>
      <c r="T208" s="32" t="n">
        <f>934452</f>
        <v>934452.0</v>
      </c>
      <c r="U208" s="32" t="n">
        <f>28130</f>
        <v>28130.0</v>
      </c>
      <c r="V208" s="32" t="n">
        <f>1031059156</f>
        <v>1.031059156E9</v>
      </c>
      <c r="W208" s="32" t="n">
        <f>30390790</f>
        <v>3.039079E7</v>
      </c>
      <c r="X208" s="36" t="n">
        <f>20</f>
        <v>20.0</v>
      </c>
    </row>
    <row r="209">
      <c r="A209" s="27" t="s">
        <v>42</v>
      </c>
      <c r="B209" s="27" t="s">
        <v>677</v>
      </c>
      <c r="C209" s="27" t="s">
        <v>678</v>
      </c>
      <c r="D209" s="27" t="s">
        <v>679</v>
      </c>
      <c r="E209" s="28" t="s">
        <v>46</v>
      </c>
      <c r="F209" s="29" t="s">
        <v>46</v>
      </c>
      <c r="G209" s="30" t="s">
        <v>46</v>
      </c>
      <c r="H209" s="31"/>
      <c r="I209" s="31" t="s">
        <v>47</v>
      </c>
      <c r="J209" s="32" t="n">
        <v>1.0</v>
      </c>
      <c r="K209" s="33" t="n">
        <f>59510</f>
        <v>59510.0</v>
      </c>
      <c r="L209" s="34" t="s">
        <v>48</v>
      </c>
      <c r="M209" s="33" t="n">
        <f>59670</f>
        <v>59670.0</v>
      </c>
      <c r="N209" s="34" t="s">
        <v>79</v>
      </c>
      <c r="O209" s="33" t="n">
        <f>52710</f>
        <v>52710.0</v>
      </c>
      <c r="P209" s="34" t="s">
        <v>69</v>
      </c>
      <c r="Q209" s="33" t="n">
        <f>53480</f>
        <v>53480.0</v>
      </c>
      <c r="R209" s="34" t="s">
        <v>50</v>
      </c>
      <c r="S209" s="35" t="n">
        <f>56955.5</f>
        <v>56955.5</v>
      </c>
      <c r="T209" s="32" t="n">
        <f>25648</f>
        <v>25648.0</v>
      </c>
      <c r="U209" s="32" t="str">
        <f>"－"</f>
        <v>－</v>
      </c>
      <c r="V209" s="32" t="n">
        <f>1473053410</f>
        <v>1.47305341E9</v>
      </c>
      <c r="W209" s="32" t="str">
        <f>"－"</f>
        <v>－</v>
      </c>
      <c r="X209" s="36" t="n">
        <f>20</f>
        <v>20.0</v>
      </c>
    </row>
    <row r="210">
      <c r="A210" s="27" t="s">
        <v>42</v>
      </c>
      <c r="B210" s="27" t="s">
        <v>680</v>
      </c>
      <c r="C210" s="27" t="s">
        <v>681</v>
      </c>
      <c r="D210" s="27" t="s">
        <v>682</v>
      </c>
      <c r="E210" s="28" t="s">
        <v>46</v>
      </c>
      <c r="F210" s="29" t="s">
        <v>46</v>
      </c>
      <c r="G210" s="30" t="s">
        <v>46</v>
      </c>
      <c r="H210" s="31"/>
      <c r="I210" s="31" t="s">
        <v>47</v>
      </c>
      <c r="J210" s="32" t="n">
        <v>1.0</v>
      </c>
      <c r="K210" s="33" t="n">
        <f>8675</f>
        <v>8675.0</v>
      </c>
      <c r="L210" s="34" t="s">
        <v>48</v>
      </c>
      <c r="M210" s="33" t="n">
        <f>9188</f>
        <v>9188.0</v>
      </c>
      <c r="N210" s="34" t="s">
        <v>69</v>
      </c>
      <c r="O210" s="33" t="n">
        <f>8666</f>
        <v>8666.0</v>
      </c>
      <c r="P210" s="34" t="s">
        <v>79</v>
      </c>
      <c r="Q210" s="33" t="n">
        <f>9115</f>
        <v>9115.0</v>
      </c>
      <c r="R210" s="34" t="s">
        <v>50</v>
      </c>
      <c r="S210" s="35" t="n">
        <f>8861.35</f>
        <v>8861.35</v>
      </c>
      <c r="T210" s="32" t="n">
        <f>348349</f>
        <v>348349.0</v>
      </c>
      <c r="U210" s="32" t="n">
        <f>306720</f>
        <v>306720.0</v>
      </c>
      <c r="V210" s="32" t="n">
        <f>3055008028</f>
        <v>3.055008028E9</v>
      </c>
      <c r="W210" s="32" t="n">
        <f>2683581864</f>
        <v>2.683581864E9</v>
      </c>
      <c r="X210" s="36" t="n">
        <f>20</f>
        <v>20.0</v>
      </c>
    </row>
    <row r="211">
      <c r="A211" s="27" t="s">
        <v>42</v>
      </c>
      <c r="B211" s="27" t="s">
        <v>683</v>
      </c>
      <c r="C211" s="27" t="s">
        <v>684</v>
      </c>
      <c r="D211" s="27" t="s">
        <v>685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12725</f>
        <v>12725.0</v>
      </c>
      <c r="L211" s="34" t="s">
        <v>48</v>
      </c>
      <c r="M211" s="33" t="n">
        <f>12745</f>
        <v>12745.0</v>
      </c>
      <c r="N211" s="34" t="s">
        <v>79</v>
      </c>
      <c r="O211" s="33" t="n">
        <f>11295</f>
        <v>11295.0</v>
      </c>
      <c r="P211" s="34" t="s">
        <v>69</v>
      </c>
      <c r="Q211" s="33" t="n">
        <f>11460</f>
        <v>11460.0</v>
      </c>
      <c r="R211" s="34" t="s">
        <v>50</v>
      </c>
      <c r="S211" s="35" t="n">
        <f>12212.25</f>
        <v>12212.25</v>
      </c>
      <c r="T211" s="32" t="n">
        <f>27380</f>
        <v>27380.0</v>
      </c>
      <c r="U211" s="32" t="str">
        <f>"－"</f>
        <v>－</v>
      </c>
      <c r="V211" s="32" t="n">
        <f>333105700</f>
        <v>3.331057E8</v>
      </c>
      <c r="W211" s="32" t="str">
        <f>"－"</f>
        <v>－</v>
      </c>
      <c r="X211" s="36" t="n">
        <f>20</f>
        <v>20.0</v>
      </c>
    </row>
    <row r="212">
      <c r="A212" s="27" t="s">
        <v>42</v>
      </c>
      <c r="B212" s="27" t="s">
        <v>686</v>
      </c>
      <c r="C212" s="27" t="s">
        <v>687</v>
      </c>
      <c r="D212" s="27" t="s">
        <v>688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8723</f>
        <v>8723.0</v>
      </c>
      <c r="L212" s="34" t="s">
        <v>48</v>
      </c>
      <c r="M212" s="33" t="n">
        <f>9211</f>
        <v>9211.0</v>
      </c>
      <c r="N212" s="34" t="s">
        <v>69</v>
      </c>
      <c r="O212" s="33" t="n">
        <f>8712</f>
        <v>8712.0</v>
      </c>
      <c r="P212" s="34" t="s">
        <v>79</v>
      </c>
      <c r="Q212" s="33" t="n">
        <f>9158</f>
        <v>9158.0</v>
      </c>
      <c r="R212" s="34" t="s">
        <v>50</v>
      </c>
      <c r="S212" s="35" t="n">
        <f>8903.8</f>
        <v>8903.8</v>
      </c>
      <c r="T212" s="32" t="n">
        <f>149930</f>
        <v>149930.0</v>
      </c>
      <c r="U212" s="32" t="n">
        <f>143500</f>
        <v>143500.0</v>
      </c>
      <c r="V212" s="32" t="n">
        <f>1360641534</f>
        <v>1.360641534E9</v>
      </c>
      <c r="W212" s="32" t="n">
        <f>1303477504</f>
        <v>1.303477504E9</v>
      </c>
      <c r="X212" s="36" t="n">
        <f>20</f>
        <v>20.0</v>
      </c>
    </row>
    <row r="213">
      <c r="A213" s="27" t="s">
        <v>42</v>
      </c>
      <c r="B213" s="27" t="s">
        <v>689</v>
      </c>
      <c r="C213" s="27" t="s">
        <v>690</v>
      </c>
      <c r="D213" s="27" t="s">
        <v>691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578</f>
        <v>578.0</v>
      </c>
      <c r="L213" s="34" t="s">
        <v>48</v>
      </c>
      <c r="M213" s="33" t="n">
        <f>579.9</f>
        <v>579.9</v>
      </c>
      <c r="N213" s="34" t="s">
        <v>90</v>
      </c>
      <c r="O213" s="33" t="n">
        <f>559.3</f>
        <v>559.3</v>
      </c>
      <c r="P213" s="34" t="s">
        <v>69</v>
      </c>
      <c r="Q213" s="33" t="n">
        <f>562.5</f>
        <v>562.5</v>
      </c>
      <c r="R213" s="34" t="s">
        <v>50</v>
      </c>
      <c r="S213" s="35" t="n">
        <f>567.3</f>
        <v>567.3</v>
      </c>
      <c r="T213" s="32" t="n">
        <f>96300</f>
        <v>96300.0</v>
      </c>
      <c r="U213" s="32" t="str">
        <f>"－"</f>
        <v>－</v>
      </c>
      <c r="V213" s="32" t="n">
        <f>54670132</f>
        <v>5.4670132E7</v>
      </c>
      <c r="W213" s="32" t="str">
        <f>"－"</f>
        <v>－</v>
      </c>
      <c r="X213" s="36" t="n">
        <f>20</f>
        <v>20.0</v>
      </c>
    </row>
    <row r="214">
      <c r="A214" s="27" t="s">
        <v>42</v>
      </c>
      <c r="B214" s="27" t="s">
        <v>692</v>
      </c>
      <c r="C214" s="27" t="s">
        <v>693</v>
      </c>
      <c r="D214" s="27" t="s">
        <v>694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517.2</f>
        <v>517.2</v>
      </c>
      <c r="L214" s="34" t="s">
        <v>48</v>
      </c>
      <c r="M214" s="33" t="n">
        <f>521.2</f>
        <v>521.2</v>
      </c>
      <c r="N214" s="34" t="s">
        <v>60</v>
      </c>
      <c r="O214" s="33" t="n">
        <f>493.6</f>
        <v>493.6</v>
      </c>
      <c r="P214" s="34" t="s">
        <v>69</v>
      </c>
      <c r="Q214" s="33" t="n">
        <f>495.1</f>
        <v>495.1</v>
      </c>
      <c r="R214" s="34" t="s">
        <v>50</v>
      </c>
      <c r="S214" s="35" t="n">
        <f>507.69</f>
        <v>507.69</v>
      </c>
      <c r="T214" s="32" t="n">
        <f>26090</f>
        <v>26090.0</v>
      </c>
      <c r="U214" s="32" t="str">
        <f>"－"</f>
        <v>－</v>
      </c>
      <c r="V214" s="32" t="n">
        <f>13236741</f>
        <v>1.3236741E7</v>
      </c>
      <c r="W214" s="32" t="str">
        <f>"－"</f>
        <v>－</v>
      </c>
      <c r="X214" s="36" t="n">
        <f>20</f>
        <v>20.0</v>
      </c>
    </row>
    <row r="215">
      <c r="A215" s="27" t="s">
        <v>42</v>
      </c>
      <c r="B215" s="27" t="s">
        <v>695</v>
      </c>
      <c r="C215" s="27" t="s">
        <v>696</v>
      </c>
      <c r="D215" s="27" t="s">
        <v>697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1276</f>
        <v>1276.0</v>
      </c>
      <c r="L215" s="34" t="s">
        <v>48</v>
      </c>
      <c r="M215" s="33" t="n">
        <f>1301</f>
        <v>1301.0</v>
      </c>
      <c r="N215" s="34" t="s">
        <v>60</v>
      </c>
      <c r="O215" s="33" t="n">
        <f>1177</f>
        <v>1177.0</v>
      </c>
      <c r="P215" s="34" t="s">
        <v>221</v>
      </c>
      <c r="Q215" s="33" t="n">
        <f>1224</f>
        <v>1224.0</v>
      </c>
      <c r="R215" s="34" t="s">
        <v>50</v>
      </c>
      <c r="S215" s="35" t="n">
        <f>1243.4</f>
        <v>1243.4</v>
      </c>
      <c r="T215" s="32" t="n">
        <f>1907192</f>
        <v>1907192.0</v>
      </c>
      <c r="U215" s="32" t="n">
        <f>435958</f>
        <v>435958.0</v>
      </c>
      <c r="V215" s="32" t="n">
        <f>2416503102</f>
        <v>2.416503102E9</v>
      </c>
      <c r="W215" s="32" t="n">
        <f>560461391</f>
        <v>5.60461391E8</v>
      </c>
      <c r="X215" s="36" t="n">
        <f>20</f>
        <v>20.0</v>
      </c>
    </row>
    <row r="216">
      <c r="A216" s="27" t="s">
        <v>42</v>
      </c>
      <c r="B216" s="27" t="s">
        <v>698</v>
      </c>
      <c r="C216" s="27" t="s">
        <v>699</v>
      </c>
      <c r="D216" s="27" t="s">
        <v>700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1415</f>
        <v>1415.0</v>
      </c>
      <c r="L216" s="34" t="s">
        <v>48</v>
      </c>
      <c r="M216" s="33" t="n">
        <f>1579</f>
        <v>1579.0</v>
      </c>
      <c r="N216" s="34" t="s">
        <v>246</v>
      </c>
      <c r="O216" s="33" t="n">
        <f>1340</f>
        <v>1340.0</v>
      </c>
      <c r="P216" s="34" t="s">
        <v>221</v>
      </c>
      <c r="Q216" s="33" t="n">
        <f>1373</f>
        <v>1373.0</v>
      </c>
      <c r="R216" s="34" t="s">
        <v>50</v>
      </c>
      <c r="S216" s="35" t="n">
        <f>1405.35</f>
        <v>1405.35</v>
      </c>
      <c r="T216" s="32" t="n">
        <f>977133</f>
        <v>977133.0</v>
      </c>
      <c r="U216" s="32" t="n">
        <f>347000</f>
        <v>347000.0</v>
      </c>
      <c r="V216" s="32" t="n">
        <f>1387017909</f>
        <v>1.387017909E9</v>
      </c>
      <c r="W216" s="32" t="n">
        <f>500131100</f>
        <v>5.001311E8</v>
      </c>
      <c r="X216" s="36" t="n">
        <f>20</f>
        <v>20.0</v>
      </c>
    </row>
    <row r="217">
      <c r="A217" s="27" t="s">
        <v>42</v>
      </c>
      <c r="B217" s="27" t="s">
        <v>701</v>
      </c>
      <c r="C217" s="27" t="s">
        <v>702</v>
      </c>
      <c r="D217" s="27" t="s">
        <v>703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778.6</f>
        <v>778.6</v>
      </c>
      <c r="L217" s="34" t="s">
        <v>48</v>
      </c>
      <c r="M217" s="33" t="n">
        <f>879.1</f>
        <v>879.1</v>
      </c>
      <c r="N217" s="34" t="s">
        <v>221</v>
      </c>
      <c r="O217" s="33" t="n">
        <f>764.3</f>
        <v>764.3</v>
      </c>
      <c r="P217" s="34" t="s">
        <v>50</v>
      </c>
      <c r="Q217" s="33" t="n">
        <f>764.3</f>
        <v>764.3</v>
      </c>
      <c r="R217" s="34" t="s">
        <v>50</v>
      </c>
      <c r="S217" s="35" t="n">
        <f>779.59</f>
        <v>779.59</v>
      </c>
      <c r="T217" s="32" t="n">
        <f>369740</f>
        <v>369740.0</v>
      </c>
      <c r="U217" s="32" t="n">
        <f>75000</f>
        <v>75000.0</v>
      </c>
      <c r="V217" s="32" t="n">
        <f>286907058</f>
        <v>2.86907058E8</v>
      </c>
      <c r="W217" s="32" t="n">
        <f>58545000</f>
        <v>5.8545E7</v>
      </c>
      <c r="X217" s="36" t="n">
        <f>18</f>
        <v>18.0</v>
      </c>
    </row>
    <row r="218">
      <c r="A218" s="27" t="s">
        <v>42</v>
      </c>
      <c r="B218" s="27" t="s">
        <v>704</v>
      </c>
      <c r="C218" s="27" t="s">
        <v>705</v>
      </c>
      <c r="D218" s="27" t="s">
        <v>706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780.1</f>
        <v>780.1</v>
      </c>
      <c r="L218" s="34" t="s">
        <v>48</v>
      </c>
      <c r="M218" s="33" t="n">
        <f>805</f>
        <v>805.0</v>
      </c>
      <c r="N218" s="34" t="s">
        <v>48</v>
      </c>
      <c r="O218" s="33" t="n">
        <f>762.1</f>
        <v>762.1</v>
      </c>
      <c r="P218" s="34" t="s">
        <v>50</v>
      </c>
      <c r="Q218" s="33" t="n">
        <f>762.1</f>
        <v>762.1</v>
      </c>
      <c r="R218" s="34" t="s">
        <v>50</v>
      </c>
      <c r="S218" s="35" t="n">
        <f>779.91</f>
        <v>779.91</v>
      </c>
      <c r="T218" s="32" t="n">
        <f>446370</f>
        <v>446370.0</v>
      </c>
      <c r="U218" s="32" t="str">
        <f>"－"</f>
        <v>－</v>
      </c>
      <c r="V218" s="32" t="n">
        <f>347768991</f>
        <v>3.47768991E8</v>
      </c>
      <c r="W218" s="32" t="str">
        <f>"－"</f>
        <v>－</v>
      </c>
      <c r="X218" s="36" t="n">
        <f>14</f>
        <v>14.0</v>
      </c>
    </row>
    <row r="219">
      <c r="A219" s="27" t="s">
        <v>42</v>
      </c>
      <c r="B219" s="27" t="s">
        <v>707</v>
      </c>
      <c r="C219" s="27" t="s">
        <v>708</v>
      </c>
      <c r="D219" s="27" t="s">
        <v>709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1.0</v>
      </c>
      <c r="K219" s="33" t="n">
        <f>12295</f>
        <v>12295.0</v>
      </c>
      <c r="L219" s="34" t="s">
        <v>48</v>
      </c>
      <c r="M219" s="33" t="n">
        <f>12430</f>
        <v>12430.0</v>
      </c>
      <c r="N219" s="34" t="s">
        <v>60</v>
      </c>
      <c r="O219" s="33" t="n">
        <f>11925</f>
        <v>11925.0</v>
      </c>
      <c r="P219" s="34" t="s">
        <v>250</v>
      </c>
      <c r="Q219" s="33" t="n">
        <f>12010</f>
        <v>12010.0</v>
      </c>
      <c r="R219" s="34" t="s">
        <v>50</v>
      </c>
      <c r="S219" s="35" t="n">
        <f>12213.25</f>
        <v>12213.25</v>
      </c>
      <c r="T219" s="32" t="n">
        <f>26107</f>
        <v>26107.0</v>
      </c>
      <c r="U219" s="32" t="str">
        <f>"－"</f>
        <v>－</v>
      </c>
      <c r="V219" s="32" t="n">
        <f>319150550</f>
        <v>3.1915055E8</v>
      </c>
      <c r="W219" s="32" t="str">
        <f>"－"</f>
        <v>－</v>
      </c>
      <c r="X219" s="36" t="n">
        <f>20</f>
        <v>20.0</v>
      </c>
    </row>
    <row r="220">
      <c r="A220" s="27" t="s">
        <v>42</v>
      </c>
      <c r="B220" s="27" t="s">
        <v>710</v>
      </c>
      <c r="C220" s="27" t="s">
        <v>711</v>
      </c>
      <c r="D220" s="27" t="s">
        <v>712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36770</f>
        <v>36770.0</v>
      </c>
      <c r="L220" s="34" t="s">
        <v>264</v>
      </c>
      <c r="M220" s="33" t="n">
        <f>37320</f>
        <v>37320.0</v>
      </c>
      <c r="N220" s="34" t="s">
        <v>68</v>
      </c>
      <c r="O220" s="33" t="n">
        <f>35070</f>
        <v>35070.0</v>
      </c>
      <c r="P220" s="34" t="s">
        <v>250</v>
      </c>
      <c r="Q220" s="33" t="n">
        <f>35280</f>
        <v>35280.0</v>
      </c>
      <c r="R220" s="34" t="s">
        <v>50</v>
      </c>
      <c r="S220" s="35" t="n">
        <f>36153.33</f>
        <v>36153.33</v>
      </c>
      <c r="T220" s="32" t="n">
        <f>30837</f>
        <v>30837.0</v>
      </c>
      <c r="U220" s="32" t="n">
        <f>27186</f>
        <v>27186.0</v>
      </c>
      <c r="V220" s="32" t="n">
        <f>1131616980</f>
        <v>1.13161698E9</v>
      </c>
      <c r="W220" s="32" t="n">
        <f>999725730</f>
        <v>9.9972573E8</v>
      </c>
      <c r="X220" s="36" t="n">
        <f>15</f>
        <v>15.0</v>
      </c>
    </row>
    <row r="221">
      <c r="A221" s="27" t="s">
        <v>42</v>
      </c>
      <c r="B221" s="27" t="s">
        <v>713</v>
      </c>
      <c r="C221" s="27" t="s">
        <v>714</v>
      </c>
      <c r="D221" s="27" t="s">
        <v>715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1.0</v>
      </c>
      <c r="K221" s="33" t="n">
        <f>27885</f>
        <v>27885.0</v>
      </c>
      <c r="L221" s="34" t="s">
        <v>48</v>
      </c>
      <c r="M221" s="33" t="n">
        <f>31160</f>
        <v>31160.0</v>
      </c>
      <c r="N221" s="34" t="s">
        <v>69</v>
      </c>
      <c r="O221" s="33" t="n">
        <f>27725</f>
        <v>27725.0</v>
      </c>
      <c r="P221" s="34" t="s">
        <v>79</v>
      </c>
      <c r="Q221" s="33" t="n">
        <f>30650</f>
        <v>30650.0</v>
      </c>
      <c r="R221" s="34" t="s">
        <v>50</v>
      </c>
      <c r="S221" s="35" t="n">
        <f>28998.75</f>
        <v>28998.75</v>
      </c>
      <c r="T221" s="32" t="n">
        <f>12239</f>
        <v>12239.0</v>
      </c>
      <c r="U221" s="32" t="n">
        <f>3590</f>
        <v>3590.0</v>
      </c>
      <c r="V221" s="32" t="n">
        <f>361602771</f>
        <v>3.61602771E8</v>
      </c>
      <c r="W221" s="32" t="n">
        <f>105750271</f>
        <v>1.05750271E8</v>
      </c>
      <c r="X221" s="36" t="n">
        <f>20</f>
        <v>20.0</v>
      </c>
    </row>
    <row r="222">
      <c r="A222" s="27" t="s">
        <v>42</v>
      </c>
      <c r="B222" s="27" t="s">
        <v>716</v>
      </c>
      <c r="C222" s="27" t="s">
        <v>717</v>
      </c>
      <c r="D222" s="27" t="s">
        <v>718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205.6</f>
        <v>205.6</v>
      </c>
      <c r="L222" s="34" t="s">
        <v>48</v>
      </c>
      <c r="M222" s="33" t="n">
        <f>219.9</f>
        <v>219.9</v>
      </c>
      <c r="N222" s="34" t="s">
        <v>246</v>
      </c>
      <c r="O222" s="33" t="n">
        <f>205.5</f>
        <v>205.5</v>
      </c>
      <c r="P222" s="34" t="s">
        <v>50</v>
      </c>
      <c r="Q222" s="33" t="n">
        <f>205.5</f>
        <v>205.5</v>
      </c>
      <c r="R222" s="34" t="s">
        <v>50</v>
      </c>
      <c r="S222" s="35" t="n">
        <f>209.3</f>
        <v>209.3</v>
      </c>
      <c r="T222" s="32" t="n">
        <f>107670</f>
        <v>107670.0</v>
      </c>
      <c r="U222" s="32" t="str">
        <f>"－"</f>
        <v>－</v>
      </c>
      <c r="V222" s="32" t="n">
        <f>22580643</f>
        <v>2.2580643E7</v>
      </c>
      <c r="W222" s="32" t="str">
        <f>"－"</f>
        <v>－</v>
      </c>
      <c r="X222" s="36" t="n">
        <f>20</f>
        <v>20.0</v>
      </c>
    </row>
    <row r="223">
      <c r="A223" s="27" t="s">
        <v>42</v>
      </c>
      <c r="B223" s="27" t="s">
        <v>719</v>
      </c>
      <c r="C223" s="27" t="s">
        <v>720</v>
      </c>
      <c r="D223" s="27" t="s">
        <v>721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765.9</f>
        <v>765.9</v>
      </c>
      <c r="L223" s="34" t="s">
        <v>48</v>
      </c>
      <c r="M223" s="33" t="n">
        <f>780.5</f>
        <v>780.5</v>
      </c>
      <c r="N223" s="34" t="s">
        <v>68</v>
      </c>
      <c r="O223" s="33" t="n">
        <f>762.4</f>
        <v>762.4</v>
      </c>
      <c r="P223" s="34" t="s">
        <v>221</v>
      </c>
      <c r="Q223" s="33" t="n">
        <f>777.8</f>
        <v>777.8</v>
      </c>
      <c r="R223" s="34" t="s">
        <v>50</v>
      </c>
      <c r="S223" s="35" t="n">
        <f>770.96</f>
        <v>770.96</v>
      </c>
      <c r="T223" s="32" t="n">
        <f>7031900</f>
        <v>7031900.0</v>
      </c>
      <c r="U223" s="32" t="n">
        <f>6470000</f>
        <v>6470000.0</v>
      </c>
      <c r="V223" s="32" t="n">
        <f>5429164318</f>
        <v>5.429164318E9</v>
      </c>
      <c r="W223" s="32" t="n">
        <f>4998410000</f>
        <v>4.99841E9</v>
      </c>
      <c r="X223" s="36" t="n">
        <f>20</f>
        <v>20.0</v>
      </c>
    </row>
    <row r="224">
      <c r="A224" s="27" t="s">
        <v>42</v>
      </c>
      <c r="B224" s="27" t="s">
        <v>722</v>
      </c>
      <c r="C224" s="27" t="s">
        <v>723</v>
      </c>
      <c r="D224" s="27" t="s">
        <v>724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1.0</v>
      </c>
      <c r="K224" s="33" t="n">
        <f>1021</f>
        <v>1021.0</v>
      </c>
      <c r="L224" s="34" t="s">
        <v>48</v>
      </c>
      <c r="M224" s="33" t="n">
        <f>1033</f>
        <v>1033.0</v>
      </c>
      <c r="N224" s="34" t="s">
        <v>257</v>
      </c>
      <c r="O224" s="33" t="n">
        <f>976</f>
        <v>976.0</v>
      </c>
      <c r="P224" s="34" t="s">
        <v>221</v>
      </c>
      <c r="Q224" s="33" t="n">
        <f>989</f>
        <v>989.0</v>
      </c>
      <c r="R224" s="34" t="s">
        <v>50</v>
      </c>
      <c r="S224" s="35" t="n">
        <f>1004.1</f>
        <v>1004.1</v>
      </c>
      <c r="T224" s="32" t="n">
        <f>236963</f>
        <v>236963.0</v>
      </c>
      <c r="U224" s="32" t="str">
        <f>"－"</f>
        <v>－</v>
      </c>
      <c r="V224" s="32" t="n">
        <f>237982516</f>
        <v>2.37982516E8</v>
      </c>
      <c r="W224" s="32" t="str">
        <f>"－"</f>
        <v>－</v>
      </c>
      <c r="X224" s="36" t="n">
        <f>20</f>
        <v>20.0</v>
      </c>
    </row>
    <row r="225">
      <c r="A225" s="27" t="s">
        <v>42</v>
      </c>
      <c r="B225" s="27" t="s">
        <v>725</v>
      </c>
      <c r="C225" s="27" t="s">
        <v>726</v>
      </c>
      <c r="D225" s="27" t="s">
        <v>727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1050</f>
        <v>1050.0</v>
      </c>
      <c r="L225" s="34" t="s">
        <v>48</v>
      </c>
      <c r="M225" s="33" t="n">
        <f>1063</f>
        <v>1063.0</v>
      </c>
      <c r="N225" s="34" t="s">
        <v>49</v>
      </c>
      <c r="O225" s="33" t="n">
        <f>1021</f>
        <v>1021.0</v>
      </c>
      <c r="P225" s="34" t="s">
        <v>250</v>
      </c>
      <c r="Q225" s="33" t="n">
        <f>1031</f>
        <v>1031.0</v>
      </c>
      <c r="R225" s="34" t="s">
        <v>50</v>
      </c>
      <c r="S225" s="35" t="n">
        <f>1042.9</f>
        <v>1042.9</v>
      </c>
      <c r="T225" s="32" t="n">
        <f>127021</f>
        <v>127021.0</v>
      </c>
      <c r="U225" s="32" t="str">
        <f>"－"</f>
        <v>－</v>
      </c>
      <c r="V225" s="32" t="n">
        <f>132619643</f>
        <v>1.32619643E8</v>
      </c>
      <c r="W225" s="32" t="str">
        <f>"－"</f>
        <v>－</v>
      </c>
      <c r="X225" s="36" t="n">
        <f>20</f>
        <v>20.0</v>
      </c>
    </row>
    <row r="226">
      <c r="A226" s="27" t="s">
        <v>42</v>
      </c>
      <c r="B226" s="27" t="s">
        <v>728</v>
      </c>
      <c r="C226" s="27" t="s">
        <v>729</v>
      </c>
      <c r="D226" s="27" t="s">
        <v>730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928</f>
        <v>928.0</v>
      </c>
      <c r="L226" s="34" t="s">
        <v>48</v>
      </c>
      <c r="M226" s="33" t="n">
        <f>940</f>
        <v>940.0</v>
      </c>
      <c r="N226" s="34" t="s">
        <v>79</v>
      </c>
      <c r="O226" s="33" t="n">
        <f>862</f>
        <v>862.0</v>
      </c>
      <c r="P226" s="34" t="s">
        <v>221</v>
      </c>
      <c r="Q226" s="33" t="n">
        <f>891</f>
        <v>891.0</v>
      </c>
      <c r="R226" s="34" t="s">
        <v>50</v>
      </c>
      <c r="S226" s="35" t="n">
        <f>896.8</f>
        <v>896.8</v>
      </c>
      <c r="T226" s="32" t="n">
        <f>533869</f>
        <v>533869.0</v>
      </c>
      <c r="U226" s="32" t="str">
        <f>"－"</f>
        <v>－</v>
      </c>
      <c r="V226" s="32" t="n">
        <f>471678685</f>
        <v>4.71678685E8</v>
      </c>
      <c r="W226" s="32" t="str">
        <f>"－"</f>
        <v>－</v>
      </c>
      <c r="X226" s="36" t="n">
        <f>20</f>
        <v>20.0</v>
      </c>
    </row>
    <row r="227">
      <c r="A227" s="27" t="s">
        <v>42</v>
      </c>
      <c r="B227" s="27" t="s">
        <v>731</v>
      </c>
      <c r="C227" s="27" t="s">
        <v>732</v>
      </c>
      <c r="D227" s="27" t="s">
        <v>733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937</f>
        <v>937.0</v>
      </c>
      <c r="L227" s="34" t="s">
        <v>48</v>
      </c>
      <c r="M227" s="33" t="n">
        <f>947</f>
        <v>947.0</v>
      </c>
      <c r="N227" s="34" t="s">
        <v>79</v>
      </c>
      <c r="O227" s="33" t="n">
        <f>925</f>
        <v>925.0</v>
      </c>
      <c r="P227" s="34" t="s">
        <v>523</v>
      </c>
      <c r="Q227" s="33" t="n">
        <f>925.1</f>
        <v>925.1</v>
      </c>
      <c r="R227" s="34" t="s">
        <v>50</v>
      </c>
      <c r="S227" s="35" t="n">
        <f>930.2</f>
        <v>930.2</v>
      </c>
      <c r="T227" s="32" t="n">
        <f>1153630</f>
        <v>1153630.0</v>
      </c>
      <c r="U227" s="32" t="n">
        <f>364010</f>
        <v>364010.0</v>
      </c>
      <c r="V227" s="32" t="n">
        <f>1072641977</f>
        <v>1.072641977E9</v>
      </c>
      <c r="W227" s="32" t="n">
        <f>337544775</f>
        <v>3.37544775E8</v>
      </c>
      <c r="X227" s="36" t="n">
        <f>20</f>
        <v>20.0</v>
      </c>
    </row>
    <row r="228">
      <c r="A228" s="27" t="s">
        <v>42</v>
      </c>
      <c r="B228" s="27" t="s">
        <v>734</v>
      </c>
      <c r="C228" s="27" t="s">
        <v>735</v>
      </c>
      <c r="D228" s="27" t="s">
        <v>736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1046</f>
        <v>1046.0</v>
      </c>
      <c r="L228" s="34" t="s">
        <v>48</v>
      </c>
      <c r="M228" s="33" t="n">
        <f>1049</f>
        <v>1049.0</v>
      </c>
      <c r="N228" s="34" t="s">
        <v>79</v>
      </c>
      <c r="O228" s="33" t="n">
        <f>1014.5</f>
        <v>1014.5</v>
      </c>
      <c r="P228" s="34" t="s">
        <v>69</v>
      </c>
      <c r="Q228" s="33" t="n">
        <f>1018.5</f>
        <v>1018.5</v>
      </c>
      <c r="R228" s="34" t="s">
        <v>50</v>
      </c>
      <c r="S228" s="35" t="n">
        <f>1026.1</f>
        <v>1026.1</v>
      </c>
      <c r="T228" s="32" t="n">
        <f>996860</f>
        <v>996860.0</v>
      </c>
      <c r="U228" s="32" t="n">
        <f>158040</f>
        <v>158040.0</v>
      </c>
      <c r="V228" s="32" t="n">
        <f>1021792068</f>
        <v>1.021792068E9</v>
      </c>
      <c r="W228" s="32" t="n">
        <f>161942958</f>
        <v>1.61942958E8</v>
      </c>
      <c r="X228" s="36" t="n">
        <f>20</f>
        <v>20.0</v>
      </c>
    </row>
    <row r="229">
      <c r="A229" s="27" t="s">
        <v>42</v>
      </c>
      <c r="B229" s="27" t="s">
        <v>737</v>
      </c>
      <c r="C229" s="27" t="s">
        <v>738</v>
      </c>
      <c r="D229" s="27" t="s">
        <v>739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810</f>
        <v>810.0</v>
      </c>
      <c r="L229" s="34" t="s">
        <v>48</v>
      </c>
      <c r="M229" s="33" t="n">
        <f>811.6</f>
        <v>811.6</v>
      </c>
      <c r="N229" s="34" t="s">
        <v>48</v>
      </c>
      <c r="O229" s="33" t="n">
        <f>775.1</f>
        <v>775.1</v>
      </c>
      <c r="P229" s="34" t="s">
        <v>50</v>
      </c>
      <c r="Q229" s="33" t="n">
        <f>775.5</f>
        <v>775.5</v>
      </c>
      <c r="R229" s="34" t="s">
        <v>50</v>
      </c>
      <c r="S229" s="35" t="n">
        <f>789.12</f>
        <v>789.12</v>
      </c>
      <c r="T229" s="32" t="n">
        <f>5384010</f>
        <v>5384010.0</v>
      </c>
      <c r="U229" s="32" t="n">
        <f>5198660</f>
        <v>5198660.0</v>
      </c>
      <c r="V229" s="32" t="n">
        <f>4191480215</f>
        <v>4.191480215E9</v>
      </c>
      <c r="W229" s="32" t="n">
        <f>4045439559</f>
        <v>4.045439559E9</v>
      </c>
      <c r="X229" s="36" t="n">
        <f>20</f>
        <v>20.0</v>
      </c>
    </row>
    <row r="230">
      <c r="A230" s="27" t="s">
        <v>42</v>
      </c>
      <c r="B230" s="27" t="s">
        <v>740</v>
      </c>
      <c r="C230" s="27" t="s">
        <v>741</v>
      </c>
      <c r="D230" s="27" t="s">
        <v>742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1998</f>
        <v>1998.0</v>
      </c>
      <c r="L230" s="34" t="s">
        <v>48</v>
      </c>
      <c r="M230" s="33" t="n">
        <f>2022</f>
        <v>2022.0</v>
      </c>
      <c r="N230" s="34" t="s">
        <v>79</v>
      </c>
      <c r="O230" s="33" t="n">
        <f>1926</f>
        <v>1926.0</v>
      </c>
      <c r="P230" s="34" t="s">
        <v>250</v>
      </c>
      <c r="Q230" s="33" t="n">
        <f>1942</f>
        <v>1942.0</v>
      </c>
      <c r="R230" s="34" t="s">
        <v>50</v>
      </c>
      <c r="S230" s="35" t="n">
        <f>1974.23</f>
        <v>1974.23</v>
      </c>
      <c r="T230" s="32" t="n">
        <f>588980</f>
        <v>588980.0</v>
      </c>
      <c r="U230" s="32" t="n">
        <f>180850</f>
        <v>180850.0</v>
      </c>
      <c r="V230" s="32" t="n">
        <f>1154862598</f>
        <v>1.154862598E9</v>
      </c>
      <c r="W230" s="32" t="n">
        <f>353635983</f>
        <v>3.53635983E8</v>
      </c>
      <c r="X230" s="36" t="n">
        <f>20</f>
        <v>20.0</v>
      </c>
    </row>
    <row r="231">
      <c r="A231" s="27" t="s">
        <v>42</v>
      </c>
      <c r="B231" s="27" t="s">
        <v>743</v>
      </c>
      <c r="C231" s="27" t="s">
        <v>744</v>
      </c>
      <c r="D231" s="27" t="s">
        <v>745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1427.5</f>
        <v>1427.5</v>
      </c>
      <c r="L231" s="34" t="s">
        <v>48</v>
      </c>
      <c r="M231" s="33" t="n">
        <f>1432</f>
        <v>1432.0</v>
      </c>
      <c r="N231" s="34" t="s">
        <v>48</v>
      </c>
      <c r="O231" s="33" t="n">
        <f>1336.5</f>
        <v>1336.5</v>
      </c>
      <c r="P231" s="34" t="s">
        <v>69</v>
      </c>
      <c r="Q231" s="33" t="n">
        <f>1346</f>
        <v>1346.0</v>
      </c>
      <c r="R231" s="34" t="s">
        <v>50</v>
      </c>
      <c r="S231" s="35" t="n">
        <f>1384.73</f>
        <v>1384.73</v>
      </c>
      <c r="T231" s="32" t="n">
        <f>96510</f>
        <v>96510.0</v>
      </c>
      <c r="U231" s="32" t="n">
        <f>26740</f>
        <v>26740.0</v>
      </c>
      <c r="V231" s="32" t="n">
        <f>132965650</f>
        <v>1.3296565E8</v>
      </c>
      <c r="W231" s="32" t="n">
        <f>36250485</f>
        <v>3.6250485E7</v>
      </c>
      <c r="X231" s="36" t="n">
        <f>20</f>
        <v>20.0</v>
      </c>
    </row>
    <row r="232">
      <c r="A232" s="27" t="s">
        <v>42</v>
      </c>
      <c r="B232" s="27" t="s">
        <v>746</v>
      </c>
      <c r="C232" s="27" t="s">
        <v>747</v>
      </c>
      <c r="D232" s="27" t="s">
        <v>748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1250</f>
        <v>1250.0</v>
      </c>
      <c r="L232" s="34" t="s">
        <v>48</v>
      </c>
      <c r="M232" s="33" t="n">
        <f>1266</f>
        <v>1266.0</v>
      </c>
      <c r="N232" s="34" t="s">
        <v>79</v>
      </c>
      <c r="O232" s="33" t="n">
        <f>1165.5</f>
        <v>1165.5</v>
      </c>
      <c r="P232" s="34" t="s">
        <v>69</v>
      </c>
      <c r="Q232" s="33" t="n">
        <f>1177</f>
        <v>1177.0</v>
      </c>
      <c r="R232" s="34" t="s">
        <v>50</v>
      </c>
      <c r="S232" s="35" t="n">
        <f>1219.38</f>
        <v>1219.38</v>
      </c>
      <c r="T232" s="32" t="n">
        <f>688640</f>
        <v>688640.0</v>
      </c>
      <c r="U232" s="32" t="n">
        <f>196700</f>
        <v>196700.0</v>
      </c>
      <c r="V232" s="32" t="n">
        <f>826246912</f>
        <v>8.26246912E8</v>
      </c>
      <c r="W232" s="32" t="n">
        <f>230910377</f>
        <v>2.30910377E8</v>
      </c>
      <c r="X232" s="36" t="n">
        <f>20</f>
        <v>20.0</v>
      </c>
    </row>
    <row r="233">
      <c r="A233" s="27" t="s">
        <v>42</v>
      </c>
      <c r="B233" s="27" t="s">
        <v>749</v>
      </c>
      <c r="C233" s="27" t="s">
        <v>750</v>
      </c>
      <c r="D233" s="27" t="s">
        <v>751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588.9</f>
        <v>588.9</v>
      </c>
      <c r="L233" s="34" t="s">
        <v>48</v>
      </c>
      <c r="M233" s="33" t="n">
        <f>597</f>
        <v>597.0</v>
      </c>
      <c r="N233" s="34" t="s">
        <v>257</v>
      </c>
      <c r="O233" s="33" t="n">
        <f>547.1</f>
        <v>547.1</v>
      </c>
      <c r="P233" s="34" t="s">
        <v>221</v>
      </c>
      <c r="Q233" s="33" t="n">
        <f>564.8</f>
        <v>564.8</v>
      </c>
      <c r="R233" s="34" t="s">
        <v>50</v>
      </c>
      <c r="S233" s="35" t="n">
        <f>573.58</f>
        <v>573.58</v>
      </c>
      <c r="T233" s="32" t="n">
        <f>22443810</f>
        <v>2.244381E7</v>
      </c>
      <c r="U233" s="32" t="n">
        <f>62020</f>
        <v>62020.0</v>
      </c>
      <c r="V233" s="32" t="n">
        <f>12863033421</f>
        <v>1.2863033421E10</v>
      </c>
      <c r="W233" s="32" t="n">
        <f>35312272</f>
        <v>3.5312272E7</v>
      </c>
      <c r="X233" s="36" t="n">
        <f>20</f>
        <v>20.0</v>
      </c>
    </row>
    <row r="234">
      <c r="A234" s="27" t="s">
        <v>42</v>
      </c>
      <c r="B234" s="27" t="s">
        <v>752</v>
      </c>
      <c r="C234" s="27" t="s">
        <v>753</v>
      </c>
      <c r="D234" s="27" t="s">
        <v>754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1141.5</f>
        <v>1141.5</v>
      </c>
      <c r="L234" s="34" t="s">
        <v>48</v>
      </c>
      <c r="M234" s="33" t="n">
        <f>1160</f>
        <v>1160.0</v>
      </c>
      <c r="N234" s="34" t="s">
        <v>60</v>
      </c>
      <c r="O234" s="33" t="n">
        <f>1110</f>
        <v>1110.0</v>
      </c>
      <c r="P234" s="34" t="s">
        <v>69</v>
      </c>
      <c r="Q234" s="33" t="n">
        <f>1124</f>
        <v>1124.0</v>
      </c>
      <c r="R234" s="34" t="s">
        <v>50</v>
      </c>
      <c r="S234" s="35" t="n">
        <f>1135.88</f>
        <v>1135.88</v>
      </c>
      <c r="T234" s="32" t="n">
        <f>531040</f>
        <v>531040.0</v>
      </c>
      <c r="U234" s="32" t="n">
        <f>480000</f>
        <v>480000.0</v>
      </c>
      <c r="V234" s="32" t="n">
        <f>602910257</f>
        <v>6.02910257E8</v>
      </c>
      <c r="W234" s="32" t="n">
        <f>544872752</f>
        <v>5.44872752E8</v>
      </c>
      <c r="X234" s="36" t="n">
        <f>20</f>
        <v>20.0</v>
      </c>
    </row>
    <row r="235">
      <c r="A235" s="27" t="s">
        <v>42</v>
      </c>
      <c r="B235" s="27" t="s">
        <v>755</v>
      </c>
      <c r="C235" s="27" t="s">
        <v>756</v>
      </c>
      <c r="D235" s="27" t="s">
        <v>757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1278</f>
        <v>1278.0</v>
      </c>
      <c r="L235" s="34" t="s">
        <v>48</v>
      </c>
      <c r="M235" s="33" t="n">
        <f>1325</f>
        <v>1325.0</v>
      </c>
      <c r="N235" s="34" t="s">
        <v>86</v>
      </c>
      <c r="O235" s="33" t="n">
        <f>1268</f>
        <v>1268.0</v>
      </c>
      <c r="P235" s="34" t="s">
        <v>50</v>
      </c>
      <c r="Q235" s="33" t="n">
        <f>1268</f>
        <v>1268.0</v>
      </c>
      <c r="R235" s="34" t="s">
        <v>50</v>
      </c>
      <c r="S235" s="35" t="n">
        <f>1296.65</f>
        <v>1296.65</v>
      </c>
      <c r="T235" s="32" t="n">
        <f>81249</f>
        <v>81249.0</v>
      </c>
      <c r="U235" s="32" t="n">
        <f>44002</f>
        <v>44002.0</v>
      </c>
      <c r="V235" s="32" t="n">
        <f>105509050</f>
        <v>1.0550905E8</v>
      </c>
      <c r="W235" s="32" t="n">
        <f>57136600</f>
        <v>5.71366E7</v>
      </c>
      <c r="X235" s="36" t="n">
        <f>20</f>
        <v>20.0</v>
      </c>
    </row>
    <row r="236">
      <c r="A236" s="27" t="s">
        <v>42</v>
      </c>
      <c r="B236" s="27" t="s">
        <v>758</v>
      </c>
      <c r="C236" s="27" t="s">
        <v>759</v>
      </c>
      <c r="D236" s="27" t="s">
        <v>760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986</f>
        <v>986.0</v>
      </c>
      <c r="L236" s="34" t="s">
        <v>48</v>
      </c>
      <c r="M236" s="33" t="n">
        <f>988.8</f>
        <v>988.8</v>
      </c>
      <c r="N236" s="34" t="s">
        <v>79</v>
      </c>
      <c r="O236" s="33" t="n">
        <f>940.1</f>
        <v>940.1</v>
      </c>
      <c r="P236" s="34" t="s">
        <v>50</v>
      </c>
      <c r="Q236" s="33" t="n">
        <f>943</f>
        <v>943.0</v>
      </c>
      <c r="R236" s="34" t="s">
        <v>50</v>
      </c>
      <c r="S236" s="35" t="n">
        <f>958.67</f>
        <v>958.67</v>
      </c>
      <c r="T236" s="32" t="n">
        <f>170270</f>
        <v>170270.0</v>
      </c>
      <c r="U236" s="32" t="n">
        <f>36230</f>
        <v>36230.0</v>
      </c>
      <c r="V236" s="32" t="n">
        <f>163280510</f>
        <v>1.6328051E8</v>
      </c>
      <c r="W236" s="32" t="n">
        <f>34099676</f>
        <v>3.4099676E7</v>
      </c>
      <c r="X236" s="36" t="n">
        <f>20</f>
        <v>20.0</v>
      </c>
    </row>
    <row r="237">
      <c r="A237" s="27" t="s">
        <v>42</v>
      </c>
      <c r="B237" s="27" t="s">
        <v>761</v>
      </c>
      <c r="C237" s="27" t="s">
        <v>762</v>
      </c>
      <c r="D237" s="27" t="s">
        <v>763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1262.5</f>
        <v>1262.5</v>
      </c>
      <c r="L237" s="34" t="s">
        <v>48</v>
      </c>
      <c r="M237" s="33" t="n">
        <f>1286</f>
        <v>1286.0</v>
      </c>
      <c r="N237" s="34" t="s">
        <v>257</v>
      </c>
      <c r="O237" s="33" t="n">
        <f>1208.5</f>
        <v>1208.5</v>
      </c>
      <c r="P237" s="34" t="s">
        <v>49</v>
      </c>
      <c r="Q237" s="33" t="n">
        <f>1236</f>
        <v>1236.0</v>
      </c>
      <c r="R237" s="34" t="s">
        <v>50</v>
      </c>
      <c r="S237" s="35" t="n">
        <f>1245.55</f>
        <v>1245.55</v>
      </c>
      <c r="T237" s="32" t="n">
        <f>85170</f>
        <v>85170.0</v>
      </c>
      <c r="U237" s="32" t="str">
        <f>"－"</f>
        <v>－</v>
      </c>
      <c r="V237" s="32" t="n">
        <f>106344240</f>
        <v>1.0634424E8</v>
      </c>
      <c r="W237" s="32" t="str">
        <f>"－"</f>
        <v>－</v>
      </c>
      <c r="X237" s="36" t="n">
        <f>20</f>
        <v>20.0</v>
      </c>
    </row>
    <row r="238">
      <c r="A238" s="27" t="s">
        <v>42</v>
      </c>
      <c r="B238" s="27" t="s">
        <v>764</v>
      </c>
      <c r="C238" s="27" t="s">
        <v>765</v>
      </c>
      <c r="D238" s="27" t="s">
        <v>766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1472</f>
        <v>1472.0</v>
      </c>
      <c r="L238" s="34" t="s">
        <v>48</v>
      </c>
      <c r="M238" s="33" t="n">
        <f>1474.5</f>
        <v>1474.5</v>
      </c>
      <c r="N238" s="34" t="s">
        <v>79</v>
      </c>
      <c r="O238" s="33" t="n">
        <f>1386.5</f>
        <v>1386.5</v>
      </c>
      <c r="P238" s="34" t="s">
        <v>69</v>
      </c>
      <c r="Q238" s="33" t="n">
        <f>1397.5</f>
        <v>1397.5</v>
      </c>
      <c r="R238" s="34" t="s">
        <v>50</v>
      </c>
      <c r="S238" s="35" t="n">
        <f>1441.1</f>
        <v>1441.1</v>
      </c>
      <c r="T238" s="32" t="n">
        <f>7380840</f>
        <v>7380840.0</v>
      </c>
      <c r="U238" s="32" t="n">
        <f>4674310</f>
        <v>4674310.0</v>
      </c>
      <c r="V238" s="32" t="n">
        <f>10431320862</f>
        <v>1.0431320862E10</v>
      </c>
      <c r="W238" s="32" t="n">
        <f>6526012147</f>
        <v>6.526012147E9</v>
      </c>
      <c r="X238" s="36" t="n">
        <f>20</f>
        <v>20.0</v>
      </c>
    </row>
    <row r="239">
      <c r="A239" s="27" t="s">
        <v>42</v>
      </c>
      <c r="B239" s="27" t="s">
        <v>767</v>
      </c>
      <c r="C239" s="27" t="s">
        <v>768</v>
      </c>
      <c r="D239" s="27" t="s">
        <v>769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4440</f>
        <v>4440.0</v>
      </c>
      <c r="L239" s="34" t="s">
        <v>48</v>
      </c>
      <c r="M239" s="33" t="n">
        <f>4490</f>
        <v>4490.0</v>
      </c>
      <c r="N239" s="34" t="s">
        <v>264</v>
      </c>
      <c r="O239" s="33" t="n">
        <f>4215</f>
        <v>4215.0</v>
      </c>
      <c r="P239" s="34" t="s">
        <v>221</v>
      </c>
      <c r="Q239" s="33" t="n">
        <f>4320</f>
        <v>4320.0</v>
      </c>
      <c r="R239" s="34" t="s">
        <v>50</v>
      </c>
      <c r="S239" s="35" t="n">
        <f>4370.75</f>
        <v>4370.75</v>
      </c>
      <c r="T239" s="32" t="n">
        <f>25323</f>
        <v>25323.0</v>
      </c>
      <c r="U239" s="32" t="str">
        <f>"－"</f>
        <v>－</v>
      </c>
      <c r="V239" s="32" t="n">
        <f>112163240</f>
        <v>1.1216324E8</v>
      </c>
      <c r="W239" s="32" t="str">
        <f>"－"</f>
        <v>－</v>
      </c>
      <c r="X239" s="36" t="n">
        <f>20</f>
        <v>20.0</v>
      </c>
    </row>
    <row r="240">
      <c r="A240" s="27" t="s">
        <v>42</v>
      </c>
      <c r="B240" s="27" t="s">
        <v>770</v>
      </c>
      <c r="C240" s="27" t="s">
        <v>771</v>
      </c>
      <c r="D240" s="27" t="s">
        <v>772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10.0</v>
      </c>
      <c r="K240" s="33" t="n">
        <f>1885.5</f>
        <v>1885.5</v>
      </c>
      <c r="L240" s="34" t="s">
        <v>257</v>
      </c>
      <c r="M240" s="33" t="n">
        <f>1940</f>
        <v>1940.0</v>
      </c>
      <c r="N240" s="34" t="s">
        <v>609</v>
      </c>
      <c r="O240" s="33" t="n">
        <f>1855.5</f>
        <v>1855.5</v>
      </c>
      <c r="P240" s="34" t="s">
        <v>60</v>
      </c>
      <c r="Q240" s="33" t="n">
        <f>1940</f>
        <v>1940.0</v>
      </c>
      <c r="R240" s="34" t="s">
        <v>250</v>
      </c>
      <c r="S240" s="35" t="n">
        <f>1896.1</f>
        <v>1896.1</v>
      </c>
      <c r="T240" s="32" t="n">
        <f>210</f>
        <v>210.0</v>
      </c>
      <c r="U240" s="32" t="str">
        <f>"－"</f>
        <v>－</v>
      </c>
      <c r="V240" s="32" t="n">
        <f>400720</f>
        <v>400720.0</v>
      </c>
      <c r="W240" s="32" t="str">
        <f>"－"</f>
        <v>－</v>
      </c>
      <c r="X240" s="36" t="n">
        <f>5</f>
        <v>5.0</v>
      </c>
    </row>
    <row r="241">
      <c r="A241" s="27" t="s">
        <v>42</v>
      </c>
      <c r="B241" s="27" t="s">
        <v>773</v>
      </c>
      <c r="C241" s="27" t="s">
        <v>774</v>
      </c>
      <c r="D241" s="27" t="s">
        <v>775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2389.5</f>
        <v>2389.5</v>
      </c>
      <c r="L241" s="34" t="s">
        <v>48</v>
      </c>
      <c r="M241" s="33" t="n">
        <f>2483</f>
        <v>2483.0</v>
      </c>
      <c r="N241" s="34" t="s">
        <v>49</v>
      </c>
      <c r="O241" s="33" t="n">
        <f>2388.5</f>
        <v>2388.5</v>
      </c>
      <c r="P241" s="34" t="s">
        <v>50</v>
      </c>
      <c r="Q241" s="33" t="n">
        <f>2388.5</f>
        <v>2388.5</v>
      </c>
      <c r="R241" s="34" t="s">
        <v>50</v>
      </c>
      <c r="S241" s="35" t="n">
        <f>2425.78</f>
        <v>2425.78</v>
      </c>
      <c r="T241" s="32" t="n">
        <f>1196660</f>
        <v>1196660.0</v>
      </c>
      <c r="U241" s="32" t="n">
        <f>100010</f>
        <v>100010.0</v>
      </c>
      <c r="V241" s="32" t="n">
        <f>2901780375</f>
        <v>2.901780375E9</v>
      </c>
      <c r="W241" s="32" t="n">
        <f>242633960</f>
        <v>2.4263396E8</v>
      </c>
      <c r="X241" s="36" t="n">
        <f>20</f>
        <v>20.0</v>
      </c>
    </row>
    <row r="242">
      <c r="A242" s="27" t="s">
        <v>42</v>
      </c>
      <c r="B242" s="27" t="s">
        <v>776</v>
      </c>
      <c r="C242" s="27" t="s">
        <v>777</v>
      </c>
      <c r="D242" s="27" t="s">
        <v>778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32820</f>
        <v>32820.0</v>
      </c>
      <c r="L242" s="34" t="s">
        <v>48</v>
      </c>
      <c r="M242" s="33" t="n">
        <f>33960</f>
        <v>33960.0</v>
      </c>
      <c r="N242" s="34" t="s">
        <v>49</v>
      </c>
      <c r="O242" s="33" t="n">
        <f>32260</f>
        <v>32260.0</v>
      </c>
      <c r="P242" s="34" t="s">
        <v>69</v>
      </c>
      <c r="Q242" s="33" t="n">
        <f>32330</f>
        <v>32330.0</v>
      </c>
      <c r="R242" s="34" t="s">
        <v>50</v>
      </c>
      <c r="S242" s="35" t="n">
        <f>33053.16</f>
        <v>33053.16</v>
      </c>
      <c r="T242" s="32" t="n">
        <f>215606</f>
        <v>215606.0</v>
      </c>
      <c r="U242" s="32" t="n">
        <f>98490</f>
        <v>98490.0</v>
      </c>
      <c r="V242" s="32" t="n">
        <f>7117924727</f>
        <v>7.117924727E9</v>
      </c>
      <c r="W242" s="32" t="n">
        <f>3237525317</f>
        <v>3.237525317E9</v>
      </c>
      <c r="X242" s="36" t="n">
        <f>19</f>
        <v>19.0</v>
      </c>
    </row>
    <row r="243">
      <c r="A243" s="27" t="s">
        <v>42</v>
      </c>
      <c r="B243" s="27" t="s">
        <v>779</v>
      </c>
      <c r="C243" s="27" t="s">
        <v>780</v>
      </c>
      <c r="D243" s="27" t="s">
        <v>781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21445</f>
        <v>21445.0</v>
      </c>
      <c r="L243" s="34" t="s">
        <v>48</v>
      </c>
      <c r="M243" s="33" t="n">
        <f>21890</f>
        <v>21890.0</v>
      </c>
      <c r="N243" s="34" t="s">
        <v>60</v>
      </c>
      <c r="O243" s="33" t="n">
        <f>21445</f>
        <v>21445.0</v>
      </c>
      <c r="P243" s="34" t="s">
        <v>48</v>
      </c>
      <c r="Q243" s="33" t="n">
        <f>21745</f>
        <v>21745.0</v>
      </c>
      <c r="R243" s="34" t="s">
        <v>86</v>
      </c>
      <c r="S243" s="35" t="n">
        <f>21700.83</f>
        <v>21700.83</v>
      </c>
      <c r="T243" s="32" t="n">
        <f>62</f>
        <v>62.0</v>
      </c>
      <c r="U243" s="32" t="str">
        <f>"－"</f>
        <v>－</v>
      </c>
      <c r="V243" s="32" t="n">
        <f>1343705</f>
        <v>1343705.0</v>
      </c>
      <c r="W243" s="32" t="str">
        <f>"－"</f>
        <v>－</v>
      </c>
      <c r="X243" s="36" t="n">
        <f>6</f>
        <v>6.0</v>
      </c>
    </row>
    <row r="244">
      <c r="A244" s="27" t="s">
        <v>42</v>
      </c>
      <c r="B244" s="27" t="s">
        <v>782</v>
      </c>
      <c r="C244" s="27" t="s">
        <v>783</v>
      </c>
      <c r="D244" s="27" t="s">
        <v>784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1155</f>
        <v>1155.0</v>
      </c>
      <c r="L244" s="34" t="s">
        <v>48</v>
      </c>
      <c r="M244" s="33" t="n">
        <f>1169</f>
        <v>1169.0</v>
      </c>
      <c r="N244" s="34" t="s">
        <v>257</v>
      </c>
      <c r="O244" s="33" t="n">
        <f>1124.5</f>
        <v>1124.5</v>
      </c>
      <c r="P244" s="34" t="s">
        <v>69</v>
      </c>
      <c r="Q244" s="33" t="n">
        <f>1127.5</f>
        <v>1127.5</v>
      </c>
      <c r="R244" s="34" t="s">
        <v>50</v>
      </c>
      <c r="S244" s="35" t="n">
        <f>1145.79</f>
        <v>1145.79</v>
      </c>
      <c r="T244" s="32" t="n">
        <f>2493390</f>
        <v>2493390.0</v>
      </c>
      <c r="U244" s="32" t="n">
        <f>338310</f>
        <v>338310.0</v>
      </c>
      <c r="V244" s="32" t="n">
        <f>2874286602</f>
        <v>2.874286602E9</v>
      </c>
      <c r="W244" s="32" t="n">
        <f>383680527</f>
        <v>3.83680527E8</v>
      </c>
      <c r="X244" s="36" t="n">
        <f>17</f>
        <v>17.0</v>
      </c>
    </row>
    <row r="245">
      <c r="A245" s="27" t="s">
        <v>42</v>
      </c>
      <c r="B245" s="27" t="s">
        <v>785</v>
      </c>
      <c r="C245" s="27" t="s">
        <v>786</v>
      </c>
      <c r="D245" s="27" t="s">
        <v>787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1158</f>
        <v>1158.0</v>
      </c>
      <c r="L245" s="34" t="s">
        <v>79</v>
      </c>
      <c r="M245" s="33" t="n">
        <f>1169</f>
        <v>1169.0</v>
      </c>
      <c r="N245" s="34" t="s">
        <v>60</v>
      </c>
      <c r="O245" s="33" t="n">
        <f>1109</f>
        <v>1109.0</v>
      </c>
      <c r="P245" s="34" t="s">
        <v>69</v>
      </c>
      <c r="Q245" s="33" t="n">
        <f>1109</f>
        <v>1109.0</v>
      </c>
      <c r="R245" s="34" t="s">
        <v>69</v>
      </c>
      <c r="S245" s="35" t="n">
        <f>1132.18</f>
        <v>1132.18</v>
      </c>
      <c r="T245" s="32" t="n">
        <f>395860</f>
        <v>395860.0</v>
      </c>
      <c r="U245" s="32" t="n">
        <f>178010</f>
        <v>178010.0</v>
      </c>
      <c r="V245" s="32" t="n">
        <f>448120230</f>
        <v>4.4812023E8</v>
      </c>
      <c r="W245" s="32" t="n">
        <f>198027580</f>
        <v>1.9802758E8</v>
      </c>
      <c r="X245" s="36" t="n">
        <f>17</f>
        <v>17.0</v>
      </c>
    </row>
    <row r="246">
      <c r="A246" s="27" t="s">
        <v>42</v>
      </c>
      <c r="B246" s="27" t="s">
        <v>788</v>
      </c>
      <c r="C246" s="27" t="s">
        <v>789</v>
      </c>
      <c r="D246" s="27" t="s">
        <v>790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1470</f>
        <v>1470.0</v>
      </c>
      <c r="L246" s="34" t="s">
        <v>48</v>
      </c>
      <c r="M246" s="33" t="n">
        <f>1572</f>
        <v>1572.0</v>
      </c>
      <c r="N246" s="34" t="s">
        <v>67</v>
      </c>
      <c r="O246" s="33" t="n">
        <f>1470</f>
        <v>1470.0</v>
      </c>
      <c r="P246" s="34" t="s">
        <v>48</v>
      </c>
      <c r="Q246" s="33" t="n">
        <f>1524</f>
        <v>1524.0</v>
      </c>
      <c r="R246" s="34" t="s">
        <v>50</v>
      </c>
      <c r="S246" s="35" t="n">
        <f>1527.45</f>
        <v>1527.45</v>
      </c>
      <c r="T246" s="32" t="n">
        <f>1227983</f>
        <v>1227983.0</v>
      </c>
      <c r="U246" s="32" t="n">
        <f>699618</f>
        <v>699618.0</v>
      </c>
      <c r="V246" s="32" t="n">
        <f>1878839824</f>
        <v>1.878839824E9</v>
      </c>
      <c r="W246" s="32" t="n">
        <f>1072967585</f>
        <v>1.072967585E9</v>
      </c>
      <c r="X246" s="36" t="n">
        <f>20</f>
        <v>20.0</v>
      </c>
    </row>
    <row r="247">
      <c r="A247" s="27" t="s">
        <v>42</v>
      </c>
      <c r="B247" s="27" t="s">
        <v>791</v>
      </c>
      <c r="C247" s="27" t="s">
        <v>792</v>
      </c>
      <c r="D247" s="27" t="s">
        <v>793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13495</f>
        <v>13495.0</v>
      </c>
      <c r="L247" s="34" t="s">
        <v>48</v>
      </c>
      <c r="M247" s="33" t="n">
        <f>13575</f>
        <v>13575.0</v>
      </c>
      <c r="N247" s="34" t="s">
        <v>79</v>
      </c>
      <c r="O247" s="33" t="n">
        <f>12980</f>
        <v>12980.0</v>
      </c>
      <c r="P247" s="34" t="s">
        <v>220</v>
      </c>
      <c r="Q247" s="33" t="n">
        <f>13430</f>
        <v>13430.0</v>
      </c>
      <c r="R247" s="34" t="s">
        <v>50</v>
      </c>
      <c r="S247" s="35" t="n">
        <f>13262.5</f>
        <v>13262.5</v>
      </c>
      <c r="T247" s="32" t="n">
        <f>675</f>
        <v>675.0</v>
      </c>
      <c r="U247" s="32" t="str">
        <f>"－"</f>
        <v>－</v>
      </c>
      <c r="V247" s="32" t="n">
        <f>8964040</f>
        <v>8964040.0</v>
      </c>
      <c r="W247" s="32" t="str">
        <f>"－"</f>
        <v>－</v>
      </c>
      <c r="X247" s="36" t="n">
        <f>20</f>
        <v>20.0</v>
      </c>
    </row>
    <row r="248">
      <c r="A248" s="27" t="s">
        <v>42</v>
      </c>
      <c r="B248" s="27" t="s">
        <v>794</v>
      </c>
      <c r="C248" s="27" t="s">
        <v>795</v>
      </c>
      <c r="D248" s="27" t="s">
        <v>796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2034</f>
        <v>2034.0</v>
      </c>
      <c r="L248" s="34" t="s">
        <v>48</v>
      </c>
      <c r="M248" s="33" t="n">
        <f>2067</f>
        <v>2067.0</v>
      </c>
      <c r="N248" s="34" t="s">
        <v>60</v>
      </c>
      <c r="O248" s="33" t="n">
        <f>1982</f>
        <v>1982.0</v>
      </c>
      <c r="P248" s="34" t="s">
        <v>69</v>
      </c>
      <c r="Q248" s="33" t="n">
        <f>2004</f>
        <v>2004.0</v>
      </c>
      <c r="R248" s="34" t="s">
        <v>50</v>
      </c>
      <c r="S248" s="35" t="n">
        <f>2024.25</f>
        <v>2024.25</v>
      </c>
      <c r="T248" s="32" t="n">
        <f>426026</f>
        <v>426026.0</v>
      </c>
      <c r="U248" s="32" t="n">
        <f>385072</f>
        <v>385072.0</v>
      </c>
      <c r="V248" s="32" t="n">
        <f>860708278</f>
        <v>8.60708278E8</v>
      </c>
      <c r="W248" s="32" t="n">
        <f>777999900</f>
        <v>7.779999E8</v>
      </c>
      <c r="X248" s="36" t="n">
        <f>20</f>
        <v>20.0</v>
      </c>
    </row>
    <row r="249">
      <c r="A249" s="27" t="s">
        <v>42</v>
      </c>
      <c r="B249" s="27" t="s">
        <v>797</v>
      </c>
      <c r="C249" s="27" t="s">
        <v>798</v>
      </c>
      <c r="D249" s="27" t="s">
        <v>799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1596.5</f>
        <v>1596.5</v>
      </c>
      <c r="L249" s="34" t="s">
        <v>79</v>
      </c>
      <c r="M249" s="33" t="n">
        <f>1596.5</f>
        <v>1596.5</v>
      </c>
      <c r="N249" s="34" t="s">
        <v>79</v>
      </c>
      <c r="O249" s="33" t="n">
        <f>1516.5</f>
        <v>1516.5</v>
      </c>
      <c r="P249" s="34" t="s">
        <v>86</v>
      </c>
      <c r="Q249" s="33" t="n">
        <f>1570</f>
        <v>1570.0</v>
      </c>
      <c r="R249" s="34" t="s">
        <v>67</v>
      </c>
      <c r="S249" s="35" t="n">
        <f>1544.43</f>
        <v>1544.43</v>
      </c>
      <c r="T249" s="32" t="n">
        <f>420</f>
        <v>420.0</v>
      </c>
      <c r="U249" s="32" t="str">
        <f>"－"</f>
        <v>－</v>
      </c>
      <c r="V249" s="32" t="n">
        <f>647535</f>
        <v>647535.0</v>
      </c>
      <c r="W249" s="32" t="str">
        <f>"－"</f>
        <v>－</v>
      </c>
      <c r="X249" s="36" t="n">
        <f>7</f>
        <v>7.0</v>
      </c>
    </row>
    <row r="250">
      <c r="A250" s="27" t="s">
        <v>42</v>
      </c>
      <c r="B250" s="27" t="s">
        <v>800</v>
      </c>
      <c r="C250" s="27" t="s">
        <v>801</v>
      </c>
      <c r="D250" s="27" t="s">
        <v>802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10.0</v>
      </c>
      <c r="K250" s="33" t="n">
        <f>825.1</f>
        <v>825.1</v>
      </c>
      <c r="L250" s="34" t="s">
        <v>48</v>
      </c>
      <c r="M250" s="33" t="n">
        <f>825.1</f>
        <v>825.1</v>
      </c>
      <c r="N250" s="34" t="s">
        <v>48</v>
      </c>
      <c r="O250" s="33" t="n">
        <f>800</f>
        <v>800.0</v>
      </c>
      <c r="P250" s="34" t="s">
        <v>69</v>
      </c>
      <c r="Q250" s="33" t="n">
        <f>800.2</f>
        <v>800.2</v>
      </c>
      <c r="R250" s="34" t="s">
        <v>50</v>
      </c>
      <c r="S250" s="35" t="n">
        <f>810.58</f>
        <v>810.58</v>
      </c>
      <c r="T250" s="32" t="n">
        <f>450890</f>
        <v>450890.0</v>
      </c>
      <c r="U250" s="32" t="n">
        <f>75720</f>
        <v>75720.0</v>
      </c>
      <c r="V250" s="32" t="n">
        <f>365487976</f>
        <v>3.65487976E8</v>
      </c>
      <c r="W250" s="32" t="n">
        <f>60591144</f>
        <v>6.0591144E7</v>
      </c>
      <c r="X250" s="36" t="n">
        <f>20</f>
        <v>20.0</v>
      </c>
    </row>
    <row r="251">
      <c r="A251" s="27" t="s">
        <v>42</v>
      </c>
      <c r="B251" s="27" t="s">
        <v>803</v>
      </c>
      <c r="C251" s="27" t="s">
        <v>804</v>
      </c>
      <c r="D251" s="27" t="s">
        <v>805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1944.5</f>
        <v>1944.5</v>
      </c>
      <c r="L251" s="34" t="s">
        <v>48</v>
      </c>
      <c r="M251" s="33" t="n">
        <f>1979</f>
        <v>1979.0</v>
      </c>
      <c r="N251" s="34" t="s">
        <v>60</v>
      </c>
      <c r="O251" s="33" t="n">
        <f>1897.5</f>
        <v>1897.5</v>
      </c>
      <c r="P251" s="34" t="s">
        <v>69</v>
      </c>
      <c r="Q251" s="33" t="n">
        <f>1917.5</f>
        <v>1917.5</v>
      </c>
      <c r="R251" s="34" t="s">
        <v>50</v>
      </c>
      <c r="S251" s="35" t="n">
        <f>1937.68</f>
        <v>1937.68</v>
      </c>
      <c r="T251" s="32" t="n">
        <f>874190</f>
        <v>874190.0</v>
      </c>
      <c r="U251" s="32" t="n">
        <f>579480</f>
        <v>579480.0</v>
      </c>
      <c r="V251" s="32" t="n">
        <f>1687252922</f>
        <v>1.687252922E9</v>
      </c>
      <c r="W251" s="32" t="n">
        <f>1120676457</f>
        <v>1.120676457E9</v>
      </c>
      <c r="X251" s="36" t="n">
        <f>20</f>
        <v>20.0</v>
      </c>
    </row>
    <row r="252">
      <c r="A252" s="27" t="s">
        <v>42</v>
      </c>
      <c r="B252" s="27" t="s">
        <v>806</v>
      </c>
      <c r="C252" s="27" t="s">
        <v>807</v>
      </c>
      <c r="D252" s="27" t="s">
        <v>808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1943</f>
        <v>1943.0</v>
      </c>
      <c r="L252" s="34" t="s">
        <v>48</v>
      </c>
      <c r="M252" s="33" t="n">
        <f>1978</f>
        <v>1978.0</v>
      </c>
      <c r="N252" s="34" t="s">
        <v>60</v>
      </c>
      <c r="O252" s="33" t="n">
        <f>1895.5</f>
        <v>1895.5</v>
      </c>
      <c r="P252" s="34" t="s">
        <v>69</v>
      </c>
      <c r="Q252" s="33" t="n">
        <f>1918.5</f>
        <v>1918.5</v>
      </c>
      <c r="R252" s="34" t="s">
        <v>50</v>
      </c>
      <c r="S252" s="35" t="n">
        <f>1938.03</f>
        <v>1938.03</v>
      </c>
      <c r="T252" s="32" t="n">
        <f>1403650</f>
        <v>1403650.0</v>
      </c>
      <c r="U252" s="32" t="n">
        <f>996340</f>
        <v>996340.0</v>
      </c>
      <c r="V252" s="32" t="n">
        <f>2720490483</f>
        <v>2.720490483E9</v>
      </c>
      <c r="W252" s="32" t="n">
        <f>1925974028</f>
        <v>1.925974028E9</v>
      </c>
      <c r="X252" s="36" t="n">
        <f>20</f>
        <v>20.0</v>
      </c>
    </row>
    <row r="253">
      <c r="A253" s="27" t="s">
        <v>42</v>
      </c>
      <c r="B253" s="27" t="s">
        <v>809</v>
      </c>
      <c r="C253" s="27" t="s">
        <v>810</v>
      </c>
      <c r="D253" s="27" t="s">
        <v>811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2351.5</f>
        <v>2351.5</v>
      </c>
      <c r="L253" s="34" t="s">
        <v>48</v>
      </c>
      <c r="M253" s="33" t="n">
        <f>2463</f>
        <v>2463.0</v>
      </c>
      <c r="N253" s="34" t="s">
        <v>49</v>
      </c>
      <c r="O253" s="33" t="n">
        <f>2351.5</f>
        <v>2351.5</v>
      </c>
      <c r="P253" s="34" t="s">
        <v>48</v>
      </c>
      <c r="Q253" s="33" t="n">
        <f>2368</f>
        <v>2368.0</v>
      </c>
      <c r="R253" s="34" t="s">
        <v>50</v>
      </c>
      <c r="S253" s="35" t="n">
        <f>2405.05</f>
        <v>2405.05</v>
      </c>
      <c r="T253" s="32" t="n">
        <f>5064340</f>
        <v>5064340.0</v>
      </c>
      <c r="U253" s="32" t="n">
        <f>3640500</f>
        <v>3640500.0</v>
      </c>
      <c r="V253" s="32" t="n">
        <f>12177380635</f>
        <v>1.2177380635E10</v>
      </c>
      <c r="W253" s="32" t="n">
        <f>8747238650</f>
        <v>8.74723865E9</v>
      </c>
      <c r="X253" s="36" t="n">
        <f>20</f>
        <v>20.0</v>
      </c>
    </row>
    <row r="254">
      <c r="A254" s="27" t="s">
        <v>42</v>
      </c>
      <c r="B254" s="27" t="s">
        <v>812</v>
      </c>
      <c r="C254" s="27" t="s">
        <v>813</v>
      </c>
      <c r="D254" s="27" t="s">
        <v>814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18880</f>
        <v>18880.0</v>
      </c>
      <c r="L254" s="34" t="s">
        <v>48</v>
      </c>
      <c r="M254" s="33" t="n">
        <f>19190</f>
        <v>19190.0</v>
      </c>
      <c r="N254" s="34" t="s">
        <v>49</v>
      </c>
      <c r="O254" s="33" t="n">
        <f>18350</f>
        <v>18350.0</v>
      </c>
      <c r="P254" s="34" t="s">
        <v>250</v>
      </c>
      <c r="Q254" s="33" t="n">
        <f>18485</f>
        <v>18485.0</v>
      </c>
      <c r="R254" s="34" t="s">
        <v>50</v>
      </c>
      <c r="S254" s="35" t="n">
        <f>18799.25</f>
        <v>18799.25</v>
      </c>
      <c r="T254" s="32" t="n">
        <f>686622</f>
        <v>686622.0</v>
      </c>
      <c r="U254" s="32" t="n">
        <f>14886</f>
        <v>14886.0</v>
      </c>
      <c r="V254" s="32" t="n">
        <f>12915856360</f>
        <v>1.291585636E10</v>
      </c>
      <c r="W254" s="32" t="n">
        <f>280660980</f>
        <v>2.8066098E8</v>
      </c>
      <c r="X254" s="36" t="n">
        <f>20</f>
        <v>20.0</v>
      </c>
    </row>
    <row r="255">
      <c r="A255" s="27" t="s">
        <v>42</v>
      </c>
      <c r="B255" s="27" t="s">
        <v>815</v>
      </c>
      <c r="C255" s="27" t="s">
        <v>816</v>
      </c>
      <c r="D255" s="27" t="s">
        <v>817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16490</f>
        <v>16490.0</v>
      </c>
      <c r="L255" s="34" t="s">
        <v>48</v>
      </c>
      <c r="M255" s="33" t="n">
        <f>16765</f>
        <v>16765.0</v>
      </c>
      <c r="N255" s="34" t="s">
        <v>49</v>
      </c>
      <c r="O255" s="33" t="n">
        <f>16115</f>
        <v>16115.0</v>
      </c>
      <c r="P255" s="34" t="s">
        <v>221</v>
      </c>
      <c r="Q255" s="33" t="n">
        <f>16330</f>
        <v>16330.0</v>
      </c>
      <c r="R255" s="34" t="s">
        <v>50</v>
      </c>
      <c r="S255" s="35" t="n">
        <f>16495.75</f>
        <v>16495.75</v>
      </c>
      <c r="T255" s="32" t="n">
        <f>179708</f>
        <v>179708.0</v>
      </c>
      <c r="U255" s="32" t="str">
        <f>"－"</f>
        <v>－</v>
      </c>
      <c r="V255" s="32" t="n">
        <f>2959739555</f>
        <v>2.959739555E9</v>
      </c>
      <c r="W255" s="32" t="str">
        <f>"－"</f>
        <v>－</v>
      </c>
      <c r="X255" s="36" t="n">
        <f>20</f>
        <v>20.0</v>
      </c>
    </row>
    <row r="256">
      <c r="A256" s="27" t="s">
        <v>42</v>
      </c>
      <c r="B256" s="27" t="s">
        <v>818</v>
      </c>
      <c r="C256" s="27" t="s">
        <v>819</v>
      </c>
      <c r="D256" s="27" t="s">
        <v>820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31500</f>
        <v>31500.0</v>
      </c>
      <c r="L256" s="34" t="s">
        <v>257</v>
      </c>
      <c r="M256" s="33" t="n">
        <f>32490</f>
        <v>32490.0</v>
      </c>
      <c r="N256" s="34" t="s">
        <v>86</v>
      </c>
      <c r="O256" s="33" t="n">
        <f>31410</f>
        <v>31410.0</v>
      </c>
      <c r="P256" s="34" t="s">
        <v>86</v>
      </c>
      <c r="Q256" s="33" t="n">
        <f>31660</f>
        <v>31660.0</v>
      </c>
      <c r="R256" s="34" t="s">
        <v>477</v>
      </c>
      <c r="S256" s="35" t="n">
        <f>31769</f>
        <v>31769.0</v>
      </c>
      <c r="T256" s="32" t="n">
        <f>100</f>
        <v>100.0</v>
      </c>
      <c r="U256" s="32" t="str">
        <f>"－"</f>
        <v>－</v>
      </c>
      <c r="V256" s="32" t="n">
        <f>3177000</f>
        <v>3177000.0</v>
      </c>
      <c r="W256" s="32" t="str">
        <f>"－"</f>
        <v>－</v>
      </c>
      <c r="X256" s="36" t="n">
        <f>10</f>
        <v>10.0</v>
      </c>
    </row>
    <row r="257">
      <c r="A257" s="27" t="s">
        <v>42</v>
      </c>
      <c r="B257" s="27" t="s">
        <v>821</v>
      </c>
      <c r="C257" s="27" t="s">
        <v>822</v>
      </c>
      <c r="D257" s="27" t="s">
        <v>823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2470</f>
        <v>2470.0</v>
      </c>
      <c r="L257" s="34" t="s">
        <v>48</v>
      </c>
      <c r="M257" s="33" t="n">
        <f>2478</f>
        <v>2478.0</v>
      </c>
      <c r="N257" s="34" t="s">
        <v>48</v>
      </c>
      <c r="O257" s="33" t="n">
        <f>2447</f>
        <v>2447.0</v>
      </c>
      <c r="P257" s="34" t="s">
        <v>50</v>
      </c>
      <c r="Q257" s="33" t="n">
        <f>2452</f>
        <v>2452.0</v>
      </c>
      <c r="R257" s="34" t="s">
        <v>50</v>
      </c>
      <c r="S257" s="35" t="n">
        <f>2463.45</f>
        <v>2463.45</v>
      </c>
      <c r="T257" s="32" t="n">
        <f>2490155</f>
        <v>2490155.0</v>
      </c>
      <c r="U257" s="32" t="n">
        <f>1719415</f>
        <v>1719415.0</v>
      </c>
      <c r="V257" s="32" t="n">
        <f>6144049871</f>
        <v>6.144049871E9</v>
      </c>
      <c r="W257" s="32" t="n">
        <f>4246310485</f>
        <v>4.246310485E9</v>
      </c>
      <c r="X257" s="36" t="n">
        <f>20</f>
        <v>20.0</v>
      </c>
    </row>
    <row r="258">
      <c r="A258" s="27" t="s">
        <v>42</v>
      </c>
      <c r="B258" s="27" t="s">
        <v>824</v>
      </c>
      <c r="C258" s="27" t="s">
        <v>825</v>
      </c>
      <c r="D258" s="27" t="s">
        <v>826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2805</f>
        <v>2805.0</v>
      </c>
      <c r="L258" s="34" t="s">
        <v>48</v>
      </c>
      <c r="M258" s="33" t="n">
        <f>2820</f>
        <v>2820.0</v>
      </c>
      <c r="N258" s="34" t="s">
        <v>49</v>
      </c>
      <c r="O258" s="33" t="n">
        <f>2692</f>
        <v>2692.0</v>
      </c>
      <c r="P258" s="34" t="s">
        <v>69</v>
      </c>
      <c r="Q258" s="33" t="n">
        <f>2707.5</f>
        <v>2707.5</v>
      </c>
      <c r="R258" s="34" t="s">
        <v>50</v>
      </c>
      <c r="S258" s="35" t="n">
        <f>2771.48</f>
        <v>2771.48</v>
      </c>
      <c r="T258" s="32" t="n">
        <f>645070</f>
        <v>645070.0</v>
      </c>
      <c r="U258" s="32" t="n">
        <f>460410</f>
        <v>460410.0</v>
      </c>
      <c r="V258" s="32" t="n">
        <f>1770522947</f>
        <v>1.770522947E9</v>
      </c>
      <c r="W258" s="32" t="n">
        <f>1257880847</f>
        <v>1.257880847E9</v>
      </c>
      <c r="X258" s="36" t="n">
        <f>20</f>
        <v>20.0</v>
      </c>
    </row>
    <row r="259">
      <c r="A259" s="27" t="s">
        <v>42</v>
      </c>
      <c r="B259" s="27" t="s">
        <v>827</v>
      </c>
      <c r="C259" s="27" t="s">
        <v>828</v>
      </c>
      <c r="D259" s="27" t="s">
        <v>829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273.5</f>
        <v>273.5</v>
      </c>
      <c r="L259" s="34" t="s">
        <v>48</v>
      </c>
      <c r="M259" s="33" t="n">
        <f>274</f>
        <v>274.0</v>
      </c>
      <c r="N259" s="34" t="s">
        <v>79</v>
      </c>
      <c r="O259" s="33" t="n">
        <f>257.6</f>
        <v>257.6</v>
      </c>
      <c r="P259" s="34" t="s">
        <v>69</v>
      </c>
      <c r="Q259" s="33" t="n">
        <f>259.7</f>
        <v>259.7</v>
      </c>
      <c r="R259" s="34" t="s">
        <v>50</v>
      </c>
      <c r="S259" s="35" t="n">
        <f>267.79</f>
        <v>267.79</v>
      </c>
      <c r="T259" s="32" t="n">
        <f>38122920</f>
        <v>3.812292E7</v>
      </c>
      <c r="U259" s="32" t="n">
        <f>6769880</f>
        <v>6769880.0</v>
      </c>
      <c r="V259" s="32" t="n">
        <f>10160531624</f>
        <v>1.0160531624E10</v>
      </c>
      <c r="W259" s="32" t="n">
        <f>1815776228</f>
        <v>1.815776228E9</v>
      </c>
      <c r="X259" s="36" t="n">
        <f>20</f>
        <v>20.0</v>
      </c>
    </row>
    <row r="260">
      <c r="A260" s="27" t="s">
        <v>42</v>
      </c>
      <c r="B260" s="27" t="s">
        <v>830</v>
      </c>
      <c r="C260" s="27" t="s">
        <v>831</v>
      </c>
      <c r="D260" s="27" t="s">
        <v>832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2479</f>
        <v>2479.0</v>
      </c>
      <c r="L260" s="34" t="s">
        <v>48</v>
      </c>
      <c r="M260" s="33" t="n">
        <f>2653</f>
        <v>2653.0</v>
      </c>
      <c r="N260" s="34" t="s">
        <v>67</v>
      </c>
      <c r="O260" s="33" t="n">
        <f>2471</f>
        <v>2471.0</v>
      </c>
      <c r="P260" s="34" t="s">
        <v>48</v>
      </c>
      <c r="Q260" s="33" t="n">
        <f>2535</f>
        <v>2535.0</v>
      </c>
      <c r="R260" s="34" t="s">
        <v>50</v>
      </c>
      <c r="S260" s="35" t="n">
        <f>2574.9</f>
        <v>2574.9</v>
      </c>
      <c r="T260" s="32" t="n">
        <f>4127583</f>
        <v>4127583.0</v>
      </c>
      <c r="U260" s="32" t="n">
        <f>876704</f>
        <v>876704.0</v>
      </c>
      <c r="V260" s="32" t="n">
        <f>10670040546</f>
        <v>1.0670040546E10</v>
      </c>
      <c r="W260" s="32" t="n">
        <f>2293414228</f>
        <v>2.293414228E9</v>
      </c>
      <c r="X260" s="36" t="n">
        <f>20</f>
        <v>20.0</v>
      </c>
    </row>
    <row r="261">
      <c r="A261" s="27" t="s">
        <v>42</v>
      </c>
      <c r="B261" s="27" t="s">
        <v>833</v>
      </c>
      <c r="C261" s="27" t="s">
        <v>834</v>
      </c>
      <c r="D261" s="27" t="s">
        <v>835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971</f>
        <v>971.0</v>
      </c>
      <c r="L261" s="34" t="s">
        <v>48</v>
      </c>
      <c r="M261" s="33" t="n">
        <f>983</f>
        <v>983.0</v>
      </c>
      <c r="N261" s="34" t="s">
        <v>60</v>
      </c>
      <c r="O261" s="33" t="n">
        <f>926</f>
        <v>926.0</v>
      </c>
      <c r="P261" s="34" t="s">
        <v>69</v>
      </c>
      <c r="Q261" s="33" t="n">
        <f>938</f>
        <v>938.0</v>
      </c>
      <c r="R261" s="34" t="s">
        <v>50</v>
      </c>
      <c r="S261" s="35" t="n">
        <f>954.65</f>
        <v>954.65</v>
      </c>
      <c r="T261" s="32" t="n">
        <f>767987</f>
        <v>767987.0</v>
      </c>
      <c r="U261" s="32" t="n">
        <f>4</f>
        <v>4.0</v>
      </c>
      <c r="V261" s="32" t="n">
        <f>729961958</f>
        <v>7.29961958E8</v>
      </c>
      <c r="W261" s="32" t="n">
        <f>3767</f>
        <v>3767.0</v>
      </c>
      <c r="X261" s="36" t="n">
        <f>20</f>
        <v>20.0</v>
      </c>
    </row>
    <row r="262">
      <c r="A262" s="27" t="s">
        <v>42</v>
      </c>
      <c r="B262" s="27" t="s">
        <v>836</v>
      </c>
      <c r="C262" s="27" t="s">
        <v>837</v>
      </c>
      <c r="D262" s="27" t="s">
        <v>838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10.0</v>
      </c>
      <c r="K262" s="33" t="n">
        <f>1070.5</f>
        <v>1070.5</v>
      </c>
      <c r="L262" s="34" t="s">
        <v>48</v>
      </c>
      <c r="M262" s="33" t="n">
        <f>1089</f>
        <v>1089.0</v>
      </c>
      <c r="N262" s="34" t="s">
        <v>60</v>
      </c>
      <c r="O262" s="33" t="n">
        <f>1043</f>
        <v>1043.0</v>
      </c>
      <c r="P262" s="34" t="s">
        <v>69</v>
      </c>
      <c r="Q262" s="33" t="n">
        <f>1053</f>
        <v>1053.0</v>
      </c>
      <c r="R262" s="34" t="s">
        <v>50</v>
      </c>
      <c r="S262" s="35" t="n">
        <f>1065.35</f>
        <v>1065.35</v>
      </c>
      <c r="T262" s="32" t="n">
        <f>434210</f>
        <v>434210.0</v>
      </c>
      <c r="U262" s="32" t="n">
        <f>200000</f>
        <v>200000.0</v>
      </c>
      <c r="V262" s="32" t="n">
        <f>461310600</f>
        <v>4.613106E8</v>
      </c>
      <c r="W262" s="32" t="n">
        <f>212577800</f>
        <v>2.125778E8</v>
      </c>
      <c r="X262" s="36" t="n">
        <f>20</f>
        <v>20.0</v>
      </c>
    </row>
    <row r="263">
      <c r="A263" s="27" t="s">
        <v>42</v>
      </c>
      <c r="B263" s="27" t="s">
        <v>839</v>
      </c>
      <c r="C263" s="27" t="s">
        <v>840</v>
      </c>
      <c r="D263" s="27" t="s">
        <v>841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310.1</f>
        <v>310.1</v>
      </c>
      <c r="L263" s="34" t="s">
        <v>48</v>
      </c>
      <c r="M263" s="33" t="n">
        <f>344.6</f>
        <v>344.6</v>
      </c>
      <c r="N263" s="34" t="s">
        <v>68</v>
      </c>
      <c r="O263" s="33" t="n">
        <f>310.1</f>
        <v>310.1</v>
      </c>
      <c r="P263" s="34" t="s">
        <v>48</v>
      </c>
      <c r="Q263" s="33" t="n">
        <f>314.6</f>
        <v>314.6</v>
      </c>
      <c r="R263" s="34" t="s">
        <v>50</v>
      </c>
      <c r="S263" s="35" t="n">
        <f>324.32</f>
        <v>324.32</v>
      </c>
      <c r="T263" s="32" t="n">
        <f>20100</f>
        <v>20100.0</v>
      </c>
      <c r="U263" s="32" t="str">
        <f>"－"</f>
        <v>－</v>
      </c>
      <c r="V263" s="32" t="n">
        <f>6446049</f>
        <v>6446049.0</v>
      </c>
      <c r="W263" s="32" t="str">
        <f>"－"</f>
        <v>－</v>
      </c>
      <c r="X263" s="36" t="n">
        <f>20</f>
        <v>20.0</v>
      </c>
    </row>
    <row r="264">
      <c r="A264" s="27" t="s">
        <v>42</v>
      </c>
      <c r="B264" s="27" t="s">
        <v>842</v>
      </c>
      <c r="C264" s="27" t="s">
        <v>843</v>
      </c>
      <c r="D264" s="27" t="s">
        <v>844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3878</f>
        <v>3878.0</v>
      </c>
      <c r="L264" s="34" t="s">
        <v>48</v>
      </c>
      <c r="M264" s="33" t="n">
        <f>3939</f>
        <v>3939.0</v>
      </c>
      <c r="N264" s="34" t="s">
        <v>49</v>
      </c>
      <c r="O264" s="33" t="n">
        <f>3724</f>
        <v>3724.0</v>
      </c>
      <c r="P264" s="34" t="s">
        <v>221</v>
      </c>
      <c r="Q264" s="33" t="n">
        <f>3779</f>
        <v>3779.0</v>
      </c>
      <c r="R264" s="34" t="s">
        <v>50</v>
      </c>
      <c r="S264" s="35" t="n">
        <f>3845.2</f>
        <v>3845.2</v>
      </c>
      <c r="T264" s="32" t="n">
        <f>1928340</f>
        <v>1928340.0</v>
      </c>
      <c r="U264" s="32" t="str">
        <f>"－"</f>
        <v>－</v>
      </c>
      <c r="V264" s="32" t="n">
        <f>7406337320</f>
        <v>7.40633732E9</v>
      </c>
      <c r="W264" s="32" t="str">
        <f>"－"</f>
        <v>－</v>
      </c>
      <c r="X264" s="36" t="n">
        <f>20</f>
        <v>20.0</v>
      </c>
    </row>
    <row r="265">
      <c r="A265" s="27" t="s">
        <v>42</v>
      </c>
      <c r="B265" s="27" t="s">
        <v>845</v>
      </c>
      <c r="C265" s="27" t="s">
        <v>846</v>
      </c>
      <c r="D265" s="27" t="s">
        <v>847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2585</f>
        <v>2585.0</v>
      </c>
      <c r="L265" s="34" t="s">
        <v>48</v>
      </c>
      <c r="M265" s="33" t="n">
        <f>2589</f>
        <v>2589.0</v>
      </c>
      <c r="N265" s="34" t="s">
        <v>48</v>
      </c>
      <c r="O265" s="33" t="n">
        <f>2414</f>
        <v>2414.0</v>
      </c>
      <c r="P265" s="34" t="s">
        <v>69</v>
      </c>
      <c r="Q265" s="33" t="n">
        <f>2443</f>
        <v>2443.0</v>
      </c>
      <c r="R265" s="34" t="s">
        <v>50</v>
      </c>
      <c r="S265" s="35" t="n">
        <f>2519.93</f>
        <v>2519.93</v>
      </c>
      <c r="T265" s="32" t="n">
        <f>1607410</f>
        <v>1607410.0</v>
      </c>
      <c r="U265" s="32" t="n">
        <f>329350</f>
        <v>329350.0</v>
      </c>
      <c r="V265" s="32" t="n">
        <f>4046608297</f>
        <v>4.046608297E9</v>
      </c>
      <c r="W265" s="32" t="n">
        <f>829646292</f>
        <v>8.29646292E8</v>
      </c>
      <c r="X265" s="36" t="n">
        <f>20</f>
        <v>20.0</v>
      </c>
    </row>
    <row r="266">
      <c r="A266" s="27" t="s">
        <v>42</v>
      </c>
      <c r="B266" s="27" t="s">
        <v>848</v>
      </c>
      <c r="C266" s="27" t="s">
        <v>849</v>
      </c>
      <c r="D266" s="27" t="s">
        <v>850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324.3</f>
        <v>324.3</v>
      </c>
      <c r="L266" s="34" t="s">
        <v>48</v>
      </c>
      <c r="M266" s="33" t="n">
        <f>333</f>
        <v>333.0</v>
      </c>
      <c r="N266" s="34" t="s">
        <v>50</v>
      </c>
      <c r="O266" s="33" t="n">
        <f>323.8</f>
        <v>323.8</v>
      </c>
      <c r="P266" s="34" t="s">
        <v>48</v>
      </c>
      <c r="Q266" s="33" t="n">
        <f>332.3</f>
        <v>332.3</v>
      </c>
      <c r="R266" s="34" t="s">
        <v>50</v>
      </c>
      <c r="S266" s="35" t="n">
        <f>328.7</f>
        <v>328.7</v>
      </c>
      <c r="T266" s="32" t="n">
        <f>88444560</f>
        <v>8.844456E7</v>
      </c>
      <c r="U266" s="32" t="n">
        <f>75035340</f>
        <v>7.503534E7</v>
      </c>
      <c r="V266" s="32" t="n">
        <f>28906558269</f>
        <v>2.8906558269E10</v>
      </c>
      <c r="W266" s="32" t="n">
        <f>24490595346</f>
        <v>2.4490595346E10</v>
      </c>
      <c r="X266" s="36" t="n">
        <f>20</f>
        <v>20.0</v>
      </c>
    </row>
    <row r="267">
      <c r="A267" s="27" t="s">
        <v>42</v>
      </c>
      <c r="B267" s="27" t="s">
        <v>851</v>
      </c>
      <c r="C267" s="27" t="s">
        <v>852</v>
      </c>
      <c r="D267" s="27" t="s">
        <v>853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1350</f>
        <v>1350.0</v>
      </c>
      <c r="L267" s="34" t="s">
        <v>48</v>
      </c>
      <c r="M267" s="33" t="n">
        <f>1352</f>
        <v>1352.0</v>
      </c>
      <c r="N267" s="34" t="s">
        <v>48</v>
      </c>
      <c r="O267" s="33" t="n">
        <f>1230</f>
        <v>1230.0</v>
      </c>
      <c r="P267" s="34" t="s">
        <v>50</v>
      </c>
      <c r="Q267" s="33" t="n">
        <f>1236</f>
        <v>1236.0</v>
      </c>
      <c r="R267" s="34" t="s">
        <v>50</v>
      </c>
      <c r="S267" s="35" t="n">
        <f>1298.1</f>
        <v>1298.1</v>
      </c>
      <c r="T267" s="32" t="n">
        <f>14970266</f>
        <v>1.4970266E7</v>
      </c>
      <c r="U267" s="32" t="n">
        <f>69611</f>
        <v>69611.0</v>
      </c>
      <c r="V267" s="32" t="n">
        <f>19353767626</f>
        <v>1.9353767626E10</v>
      </c>
      <c r="W267" s="32" t="n">
        <f>86868018</f>
        <v>8.6868018E7</v>
      </c>
      <c r="X267" s="36" t="n">
        <f>20</f>
        <v>20.0</v>
      </c>
    </row>
    <row r="268">
      <c r="A268" s="27" t="s">
        <v>42</v>
      </c>
      <c r="B268" s="27" t="s">
        <v>854</v>
      </c>
      <c r="C268" s="27" t="s">
        <v>855</v>
      </c>
      <c r="D268" s="27" t="s">
        <v>856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1784</f>
        <v>1784.0</v>
      </c>
      <c r="L268" s="34" t="s">
        <v>48</v>
      </c>
      <c r="M268" s="33" t="n">
        <f>1784</f>
        <v>1784.0</v>
      </c>
      <c r="N268" s="34" t="s">
        <v>48</v>
      </c>
      <c r="O268" s="33" t="n">
        <f>1714</f>
        <v>1714.0</v>
      </c>
      <c r="P268" s="34" t="s">
        <v>50</v>
      </c>
      <c r="Q268" s="33" t="n">
        <f>1722</f>
        <v>1722.0</v>
      </c>
      <c r="R268" s="34" t="s">
        <v>50</v>
      </c>
      <c r="S268" s="35" t="n">
        <f>1755.75</f>
        <v>1755.75</v>
      </c>
      <c r="T268" s="32" t="n">
        <f>36719</f>
        <v>36719.0</v>
      </c>
      <c r="U268" s="32" t="n">
        <f>4</f>
        <v>4.0</v>
      </c>
      <c r="V268" s="32" t="n">
        <f>64220861</f>
        <v>6.4220861E7</v>
      </c>
      <c r="W268" s="32" t="n">
        <f>7015</f>
        <v>7015.0</v>
      </c>
      <c r="X268" s="36" t="n">
        <f>20</f>
        <v>20.0</v>
      </c>
    </row>
    <row r="269">
      <c r="A269" s="27" t="s">
        <v>42</v>
      </c>
      <c r="B269" s="27" t="s">
        <v>857</v>
      </c>
      <c r="C269" s="27" t="s">
        <v>858</v>
      </c>
      <c r="D269" s="27" t="s">
        <v>859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2096</f>
        <v>2096.0</v>
      </c>
      <c r="L269" s="34" t="s">
        <v>48</v>
      </c>
      <c r="M269" s="33" t="n">
        <f>2096</f>
        <v>2096.0</v>
      </c>
      <c r="N269" s="34" t="s">
        <v>48</v>
      </c>
      <c r="O269" s="33" t="n">
        <f>2057</f>
        <v>2057.0</v>
      </c>
      <c r="P269" s="34" t="s">
        <v>50</v>
      </c>
      <c r="Q269" s="33" t="n">
        <f>2057</f>
        <v>2057.0</v>
      </c>
      <c r="R269" s="34" t="s">
        <v>50</v>
      </c>
      <c r="S269" s="35" t="n">
        <f>2076.55</f>
        <v>2076.55</v>
      </c>
      <c r="T269" s="32" t="n">
        <f>529495</f>
        <v>529495.0</v>
      </c>
      <c r="U269" s="32" t="n">
        <f>528000</f>
        <v>528000.0</v>
      </c>
      <c r="V269" s="32" t="n">
        <f>1103615191</f>
        <v>1.103615191E9</v>
      </c>
      <c r="W269" s="32" t="n">
        <f>1100510000</f>
        <v>1.10051E9</v>
      </c>
      <c r="X269" s="36" t="n">
        <f>20</f>
        <v>20.0</v>
      </c>
    </row>
    <row r="270">
      <c r="A270" s="27" t="s">
        <v>42</v>
      </c>
      <c r="B270" s="27" t="s">
        <v>860</v>
      </c>
      <c r="C270" s="27" t="s">
        <v>861</v>
      </c>
      <c r="D270" s="27" t="s">
        <v>862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3265</f>
        <v>3265.0</v>
      </c>
      <c r="L270" s="34" t="s">
        <v>48</v>
      </c>
      <c r="M270" s="33" t="n">
        <f>3375</f>
        <v>3375.0</v>
      </c>
      <c r="N270" s="34" t="s">
        <v>49</v>
      </c>
      <c r="O270" s="33" t="n">
        <f>3200</f>
        <v>3200.0</v>
      </c>
      <c r="P270" s="34" t="s">
        <v>69</v>
      </c>
      <c r="Q270" s="33" t="n">
        <f>3220</f>
        <v>3220.0</v>
      </c>
      <c r="R270" s="34" t="s">
        <v>50</v>
      </c>
      <c r="S270" s="35" t="n">
        <f>3288</f>
        <v>3288.0</v>
      </c>
      <c r="T270" s="32" t="n">
        <f>947087</f>
        <v>947087.0</v>
      </c>
      <c r="U270" s="32" t="n">
        <f>440001</f>
        <v>440001.0</v>
      </c>
      <c r="V270" s="32" t="n">
        <f>3120380855</f>
        <v>3.120380855E9</v>
      </c>
      <c r="W270" s="32" t="n">
        <f>1459751255</f>
        <v>1.459751255E9</v>
      </c>
      <c r="X270" s="36" t="n">
        <f>20</f>
        <v>20.0</v>
      </c>
    </row>
    <row r="271">
      <c r="A271" s="27" t="s">
        <v>42</v>
      </c>
      <c r="B271" s="27" t="s">
        <v>863</v>
      </c>
      <c r="C271" s="27" t="s">
        <v>864</v>
      </c>
      <c r="D271" s="27" t="s">
        <v>865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2329</f>
        <v>2329.0</v>
      </c>
      <c r="L271" s="34" t="s">
        <v>48</v>
      </c>
      <c r="M271" s="33" t="n">
        <f>2440</f>
        <v>2440.0</v>
      </c>
      <c r="N271" s="34" t="s">
        <v>49</v>
      </c>
      <c r="O271" s="33" t="n">
        <f>2329</f>
        <v>2329.0</v>
      </c>
      <c r="P271" s="34" t="s">
        <v>48</v>
      </c>
      <c r="Q271" s="33" t="n">
        <f>2348</f>
        <v>2348.0</v>
      </c>
      <c r="R271" s="34" t="s">
        <v>50</v>
      </c>
      <c r="S271" s="35" t="n">
        <f>2384.2</f>
        <v>2384.2</v>
      </c>
      <c r="T271" s="32" t="n">
        <f>2018848</f>
        <v>2018848.0</v>
      </c>
      <c r="U271" s="32" t="n">
        <f>1408367</f>
        <v>1408367.0</v>
      </c>
      <c r="V271" s="32" t="n">
        <f>4788896758</f>
        <v>4.788896758E9</v>
      </c>
      <c r="W271" s="32" t="n">
        <f>3334874582</f>
        <v>3.334874582E9</v>
      </c>
      <c r="X271" s="36" t="n">
        <f>20</f>
        <v>20.0</v>
      </c>
    </row>
    <row r="272">
      <c r="A272" s="27" t="s">
        <v>42</v>
      </c>
      <c r="B272" s="27" t="s">
        <v>866</v>
      </c>
      <c r="C272" s="27" t="s">
        <v>867</v>
      </c>
      <c r="D272" s="27" t="s">
        <v>868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2034</f>
        <v>2034.0</v>
      </c>
      <c r="L272" s="34" t="s">
        <v>48</v>
      </c>
      <c r="M272" s="33" t="n">
        <f>2077</f>
        <v>2077.0</v>
      </c>
      <c r="N272" s="34" t="s">
        <v>246</v>
      </c>
      <c r="O272" s="33" t="n">
        <f>1987</f>
        <v>1987.0</v>
      </c>
      <c r="P272" s="34" t="s">
        <v>221</v>
      </c>
      <c r="Q272" s="33" t="n">
        <f>1998</f>
        <v>1998.0</v>
      </c>
      <c r="R272" s="34" t="s">
        <v>50</v>
      </c>
      <c r="S272" s="35" t="n">
        <f>2032.15</f>
        <v>2032.15</v>
      </c>
      <c r="T272" s="32" t="n">
        <f>25472</f>
        <v>25472.0</v>
      </c>
      <c r="U272" s="32" t="str">
        <f>"－"</f>
        <v>－</v>
      </c>
      <c r="V272" s="32" t="n">
        <f>51893418</f>
        <v>5.1893418E7</v>
      </c>
      <c r="W272" s="32" t="str">
        <f>"－"</f>
        <v>－</v>
      </c>
      <c r="X272" s="36" t="n">
        <f>20</f>
        <v>20.0</v>
      </c>
    </row>
    <row r="273">
      <c r="A273" s="27" t="s">
        <v>42</v>
      </c>
      <c r="B273" s="27" t="s">
        <v>869</v>
      </c>
      <c r="C273" s="27" t="s">
        <v>870</v>
      </c>
      <c r="D273" s="27" t="s">
        <v>871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1333</f>
        <v>1333.0</v>
      </c>
      <c r="L273" s="34" t="s">
        <v>48</v>
      </c>
      <c r="M273" s="33" t="n">
        <f>1351</f>
        <v>1351.0</v>
      </c>
      <c r="N273" s="34" t="s">
        <v>60</v>
      </c>
      <c r="O273" s="33" t="n">
        <f>1231</f>
        <v>1231.0</v>
      </c>
      <c r="P273" s="34" t="s">
        <v>250</v>
      </c>
      <c r="Q273" s="33" t="n">
        <f>1251</f>
        <v>1251.0</v>
      </c>
      <c r="R273" s="34" t="s">
        <v>50</v>
      </c>
      <c r="S273" s="35" t="n">
        <f>1286.25</f>
        <v>1286.25</v>
      </c>
      <c r="T273" s="32" t="n">
        <f>30901</f>
        <v>30901.0</v>
      </c>
      <c r="U273" s="32" t="n">
        <f>23000</f>
        <v>23000.0</v>
      </c>
      <c r="V273" s="32" t="n">
        <f>40078453</f>
        <v>4.0078453E7</v>
      </c>
      <c r="W273" s="32" t="n">
        <f>29962639</f>
        <v>2.9962639E7</v>
      </c>
      <c r="X273" s="36" t="n">
        <f>20</f>
        <v>20.0</v>
      </c>
    </row>
    <row r="274">
      <c r="A274" s="27" t="s">
        <v>42</v>
      </c>
      <c r="B274" s="27" t="s">
        <v>872</v>
      </c>
      <c r="C274" s="27" t="s">
        <v>873</v>
      </c>
      <c r="D274" s="27" t="s">
        <v>874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1883</f>
        <v>1883.0</v>
      </c>
      <c r="L274" s="34" t="s">
        <v>48</v>
      </c>
      <c r="M274" s="33" t="n">
        <f>1979</f>
        <v>1979.0</v>
      </c>
      <c r="N274" s="34" t="s">
        <v>79</v>
      </c>
      <c r="O274" s="33" t="n">
        <f>1780</f>
        <v>1780.0</v>
      </c>
      <c r="P274" s="34" t="s">
        <v>221</v>
      </c>
      <c r="Q274" s="33" t="n">
        <f>1879</f>
        <v>1879.0</v>
      </c>
      <c r="R274" s="34" t="s">
        <v>50</v>
      </c>
      <c r="S274" s="35" t="n">
        <f>1855.4</f>
        <v>1855.4</v>
      </c>
      <c r="T274" s="32" t="n">
        <f>17484</f>
        <v>17484.0</v>
      </c>
      <c r="U274" s="32" t="str">
        <f>"－"</f>
        <v>－</v>
      </c>
      <c r="V274" s="32" t="n">
        <f>32513504</f>
        <v>3.2513504E7</v>
      </c>
      <c r="W274" s="32" t="str">
        <f>"－"</f>
        <v>－</v>
      </c>
      <c r="X274" s="36" t="n">
        <f>20</f>
        <v>20.0</v>
      </c>
    </row>
    <row r="275">
      <c r="A275" s="27" t="s">
        <v>42</v>
      </c>
      <c r="B275" s="27" t="s">
        <v>875</v>
      </c>
      <c r="C275" s="27" t="s">
        <v>876</v>
      </c>
      <c r="D275" s="27" t="s">
        <v>877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2375</f>
        <v>2375.0</v>
      </c>
      <c r="L275" s="34" t="s">
        <v>48</v>
      </c>
      <c r="M275" s="33" t="n">
        <f>2548</f>
        <v>2548.0</v>
      </c>
      <c r="N275" s="34" t="s">
        <v>79</v>
      </c>
      <c r="O275" s="33" t="n">
        <f>2363</f>
        <v>2363.0</v>
      </c>
      <c r="P275" s="34" t="s">
        <v>221</v>
      </c>
      <c r="Q275" s="33" t="n">
        <f>2444</f>
        <v>2444.0</v>
      </c>
      <c r="R275" s="34" t="s">
        <v>50</v>
      </c>
      <c r="S275" s="35" t="n">
        <f>2430.95</f>
        <v>2430.95</v>
      </c>
      <c r="T275" s="32" t="n">
        <f>2325</f>
        <v>2325.0</v>
      </c>
      <c r="U275" s="32" t="str">
        <f>"－"</f>
        <v>－</v>
      </c>
      <c r="V275" s="32" t="n">
        <f>5660478</f>
        <v>5660478.0</v>
      </c>
      <c r="W275" s="32" t="str">
        <f>"－"</f>
        <v>－</v>
      </c>
      <c r="X275" s="36" t="n">
        <f>20</f>
        <v>20.0</v>
      </c>
    </row>
    <row r="276">
      <c r="A276" s="27" t="s">
        <v>42</v>
      </c>
      <c r="B276" s="27" t="s">
        <v>878</v>
      </c>
      <c r="C276" s="27" t="s">
        <v>879</v>
      </c>
      <c r="D276" s="27" t="s">
        <v>880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10860</f>
        <v>10860.0</v>
      </c>
      <c r="L276" s="34" t="s">
        <v>48</v>
      </c>
      <c r="M276" s="33" t="n">
        <f>10880</f>
        <v>10880.0</v>
      </c>
      <c r="N276" s="34" t="s">
        <v>79</v>
      </c>
      <c r="O276" s="33" t="n">
        <f>10235</f>
        <v>10235.0</v>
      </c>
      <c r="P276" s="34" t="s">
        <v>69</v>
      </c>
      <c r="Q276" s="33" t="n">
        <f>10315</f>
        <v>10315.0</v>
      </c>
      <c r="R276" s="34" t="s">
        <v>50</v>
      </c>
      <c r="S276" s="35" t="n">
        <f>10635.75</f>
        <v>10635.75</v>
      </c>
      <c r="T276" s="32" t="n">
        <f>268907</f>
        <v>268907.0</v>
      </c>
      <c r="U276" s="32" t="n">
        <f>101500</f>
        <v>101500.0</v>
      </c>
      <c r="V276" s="32" t="n">
        <f>2851177560</f>
        <v>2.85117756E9</v>
      </c>
      <c r="W276" s="32" t="n">
        <f>1064145850</f>
        <v>1.06414585E9</v>
      </c>
      <c r="X276" s="36" t="n">
        <f>20</f>
        <v>20.0</v>
      </c>
    </row>
    <row r="277">
      <c r="A277" s="27" t="s">
        <v>42</v>
      </c>
      <c r="B277" s="27" t="s">
        <v>881</v>
      </c>
      <c r="C277" s="27" t="s">
        <v>882</v>
      </c>
      <c r="D277" s="27" t="s">
        <v>883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16215</f>
        <v>16215.0</v>
      </c>
      <c r="L277" s="34" t="s">
        <v>48</v>
      </c>
      <c r="M277" s="33" t="n">
        <f>16470</f>
        <v>16470.0</v>
      </c>
      <c r="N277" s="34" t="s">
        <v>49</v>
      </c>
      <c r="O277" s="33" t="n">
        <f>15570</f>
        <v>15570.0</v>
      </c>
      <c r="P277" s="34" t="s">
        <v>221</v>
      </c>
      <c r="Q277" s="33" t="n">
        <f>15800</f>
        <v>15800.0</v>
      </c>
      <c r="R277" s="34" t="s">
        <v>50</v>
      </c>
      <c r="S277" s="35" t="n">
        <f>16077.75</f>
        <v>16077.75</v>
      </c>
      <c r="T277" s="32" t="n">
        <f>635657</f>
        <v>635657.0</v>
      </c>
      <c r="U277" s="32" t="n">
        <f>55000</f>
        <v>55000.0</v>
      </c>
      <c r="V277" s="32" t="n">
        <f>10217889145</f>
        <v>1.0217889145E10</v>
      </c>
      <c r="W277" s="32" t="n">
        <f>875759500</f>
        <v>8.757595E8</v>
      </c>
      <c r="X277" s="36" t="n">
        <f>20</f>
        <v>20.0</v>
      </c>
    </row>
    <row r="278">
      <c r="A278" s="27" t="s">
        <v>42</v>
      </c>
      <c r="B278" s="27" t="s">
        <v>884</v>
      </c>
      <c r="C278" s="27" t="s">
        <v>885</v>
      </c>
      <c r="D278" s="27" t="s">
        <v>886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10845</f>
        <v>10845.0</v>
      </c>
      <c r="L278" s="34" t="s">
        <v>48</v>
      </c>
      <c r="M278" s="33" t="n">
        <f>10860</f>
        <v>10860.0</v>
      </c>
      <c r="N278" s="34" t="s">
        <v>48</v>
      </c>
      <c r="O278" s="33" t="n">
        <f>10130</f>
        <v>10130.0</v>
      </c>
      <c r="P278" s="34" t="s">
        <v>69</v>
      </c>
      <c r="Q278" s="33" t="n">
        <f>10255</f>
        <v>10255.0</v>
      </c>
      <c r="R278" s="34" t="s">
        <v>50</v>
      </c>
      <c r="S278" s="35" t="n">
        <f>10576.25</f>
        <v>10576.25</v>
      </c>
      <c r="T278" s="32" t="n">
        <f>182958</f>
        <v>182958.0</v>
      </c>
      <c r="U278" s="32" t="str">
        <f>"－"</f>
        <v>－</v>
      </c>
      <c r="V278" s="32" t="n">
        <f>1936002185</f>
        <v>1.936002185E9</v>
      </c>
      <c r="W278" s="32" t="str">
        <f>"－"</f>
        <v>－</v>
      </c>
      <c r="X278" s="36" t="n">
        <f>20</f>
        <v>20.0</v>
      </c>
    </row>
    <row r="279">
      <c r="A279" s="27" t="s">
        <v>42</v>
      </c>
      <c r="B279" s="27" t="s">
        <v>887</v>
      </c>
      <c r="C279" s="27" t="s">
        <v>888</v>
      </c>
      <c r="D279" s="27" t="s">
        <v>889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10.0</v>
      </c>
      <c r="K279" s="33" t="n">
        <f>3039</f>
        <v>3039.0</v>
      </c>
      <c r="L279" s="34" t="s">
        <v>48</v>
      </c>
      <c r="M279" s="33" t="n">
        <f>3077</f>
        <v>3077.0</v>
      </c>
      <c r="N279" s="34" t="s">
        <v>60</v>
      </c>
      <c r="O279" s="33" t="n">
        <f>2935</f>
        <v>2935.0</v>
      </c>
      <c r="P279" s="34" t="s">
        <v>250</v>
      </c>
      <c r="Q279" s="33" t="n">
        <f>2955</f>
        <v>2955.0</v>
      </c>
      <c r="R279" s="34" t="s">
        <v>50</v>
      </c>
      <c r="S279" s="35" t="n">
        <f>3011.2</f>
        <v>3011.2</v>
      </c>
      <c r="T279" s="32" t="n">
        <f>965740</f>
        <v>965740.0</v>
      </c>
      <c r="U279" s="32" t="n">
        <f>74500</f>
        <v>74500.0</v>
      </c>
      <c r="V279" s="32" t="n">
        <f>2909986743</f>
        <v>2.909986743E9</v>
      </c>
      <c r="W279" s="32" t="n">
        <f>226014508</f>
        <v>2.26014508E8</v>
      </c>
      <c r="X279" s="36" t="n">
        <f>20</f>
        <v>20.0</v>
      </c>
    </row>
    <row r="280">
      <c r="A280" s="27" t="s">
        <v>42</v>
      </c>
      <c r="B280" s="27" t="s">
        <v>890</v>
      </c>
      <c r="C280" s="27" t="s">
        <v>891</v>
      </c>
      <c r="D280" s="27" t="s">
        <v>892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2141.5</f>
        <v>2141.5</v>
      </c>
      <c r="L280" s="34" t="s">
        <v>48</v>
      </c>
      <c r="M280" s="33" t="n">
        <f>2145</f>
        <v>2145.0</v>
      </c>
      <c r="N280" s="34" t="s">
        <v>79</v>
      </c>
      <c r="O280" s="33" t="n">
        <f>2002.5</f>
        <v>2002.5</v>
      </c>
      <c r="P280" s="34" t="s">
        <v>69</v>
      </c>
      <c r="Q280" s="33" t="n">
        <f>2018.5</f>
        <v>2018.5</v>
      </c>
      <c r="R280" s="34" t="s">
        <v>50</v>
      </c>
      <c r="S280" s="35" t="n">
        <f>2084.68</f>
        <v>2084.68</v>
      </c>
      <c r="T280" s="32" t="n">
        <f>920550</f>
        <v>920550.0</v>
      </c>
      <c r="U280" s="32" t="n">
        <f>125000</f>
        <v>125000.0</v>
      </c>
      <c r="V280" s="32" t="n">
        <f>1910109180</f>
        <v>1.91010918E9</v>
      </c>
      <c r="W280" s="32" t="n">
        <f>257080000</f>
        <v>2.5708E8</v>
      </c>
      <c r="X280" s="36" t="n">
        <f>20</f>
        <v>20.0</v>
      </c>
    </row>
    <row r="281">
      <c r="A281" s="27" t="s">
        <v>42</v>
      </c>
      <c r="B281" s="27" t="s">
        <v>893</v>
      </c>
      <c r="C281" s="27" t="s">
        <v>894</v>
      </c>
      <c r="D281" s="27" t="s">
        <v>895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3197</f>
        <v>3197.0</v>
      </c>
      <c r="L281" s="34" t="s">
        <v>48</v>
      </c>
      <c r="M281" s="33" t="n">
        <f>3211</f>
        <v>3211.0</v>
      </c>
      <c r="N281" s="34" t="s">
        <v>60</v>
      </c>
      <c r="O281" s="33" t="n">
        <f>3055</f>
        <v>3055.0</v>
      </c>
      <c r="P281" s="34" t="s">
        <v>250</v>
      </c>
      <c r="Q281" s="33" t="n">
        <f>3074</f>
        <v>3074.0</v>
      </c>
      <c r="R281" s="34" t="s">
        <v>50</v>
      </c>
      <c r="S281" s="35" t="n">
        <f>3138.6</f>
        <v>3138.6</v>
      </c>
      <c r="T281" s="32" t="n">
        <f>7210</f>
        <v>7210.0</v>
      </c>
      <c r="U281" s="32" t="n">
        <f>20</f>
        <v>20.0</v>
      </c>
      <c r="V281" s="32" t="n">
        <f>22793510</f>
        <v>2.279351E7</v>
      </c>
      <c r="W281" s="32" t="n">
        <f>62390</f>
        <v>62390.0</v>
      </c>
      <c r="X281" s="36" t="n">
        <f>20</f>
        <v>20.0</v>
      </c>
    </row>
    <row r="282">
      <c r="A282" s="27" t="s">
        <v>42</v>
      </c>
      <c r="B282" s="27" t="s">
        <v>896</v>
      </c>
      <c r="C282" s="27" t="s">
        <v>897</v>
      </c>
      <c r="D282" s="27" t="s">
        <v>898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2804</f>
        <v>2804.0</v>
      </c>
      <c r="L282" s="34" t="s">
        <v>48</v>
      </c>
      <c r="M282" s="33" t="n">
        <f>2876</f>
        <v>2876.0</v>
      </c>
      <c r="N282" s="34" t="s">
        <v>49</v>
      </c>
      <c r="O282" s="33" t="n">
        <f>2709</f>
        <v>2709.0</v>
      </c>
      <c r="P282" s="34" t="s">
        <v>250</v>
      </c>
      <c r="Q282" s="33" t="n">
        <f>2724</f>
        <v>2724.0</v>
      </c>
      <c r="R282" s="34" t="s">
        <v>50</v>
      </c>
      <c r="S282" s="35" t="n">
        <f>2795.4</f>
        <v>2795.4</v>
      </c>
      <c r="T282" s="32" t="n">
        <f>36365</f>
        <v>36365.0</v>
      </c>
      <c r="U282" s="32" t="str">
        <f>"－"</f>
        <v>－</v>
      </c>
      <c r="V282" s="32" t="n">
        <f>102488610</f>
        <v>1.0248861E8</v>
      </c>
      <c r="W282" s="32" t="str">
        <f>"－"</f>
        <v>－</v>
      </c>
      <c r="X282" s="36" t="n">
        <f>20</f>
        <v>20.0</v>
      </c>
    </row>
    <row r="283">
      <c r="A283" s="27" t="s">
        <v>42</v>
      </c>
      <c r="B283" s="27" t="s">
        <v>899</v>
      </c>
      <c r="C283" s="27" t="s">
        <v>900</v>
      </c>
      <c r="D283" s="27" t="s">
        <v>901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1557</f>
        <v>1557.0</v>
      </c>
      <c r="L283" s="34" t="s">
        <v>48</v>
      </c>
      <c r="M283" s="33" t="n">
        <f>1594</f>
        <v>1594.0</v>
      </c>
      <c r="N283" s="34" t="s">
        <v>60</v>
      </c>
      <c r="O283" s="33" t="n">
        <f>1488</f>
        <v>1488.0</v>
      </c>
      <c r="P283" s="34" t="s">
        <v>250</v>
      </c>
      <c r="Q283" s="33" t="n">
        <f>1493</f>
        <v>1493.0</v>
      </c>
      <c r="R283" s="34" t="s">
        <v>50</v>
      </c>
      <c r="S283" s="35" t="n">
        <f>1541.75</f>
        <v>1541.75</v>
      </c>
      <c r="T283" s="32" t="n">
        <f>59099</f>
        <v>59099.0</v>
      </c>
      <c r="U283" s="32" t="str">
        <f>"－"</f>
        <v>－</v>
      </c>
      <c r="V283" s="32" t="n">
        <f>91601412</f>
        <v>9.1601412E7</v>
      </c>
      <c r="W283" s="32" t="str">
        <f>"－"</f>
        <v>－</v>
      </c>
      <c r="X283" s="36" t="n">
        <f>20</f>
        <v>20.0</v>
      </c>
    </row>
    <row r="284">
      <c r="A284" s="27" t="s">
        <v>42</v>
      </c>
      <c r="B284" s="27" t="s">
        <v>902</v>
      </c>
      <c r="C284" s="27" t="s">
        <v>903</v>
      </c>
      <c r="D284" s="27" t="s">
        <v>904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2007</f>
        <v>2007.0</v>
      </c>
      <c r="L284" s="34" t="s">
        <v>48</v>
      </c>
      <c r="M284" s="33" t="n">
        <f>2063</f>
        <v>2063.0</v>
      </c>
      <c r="N284" s="34" t="s">
        <v>246</v>
      </c>
      <c r="O284" s="33" t="n">
        <f>1915</f>
        <v>1915.0</v>
      </c>
      <c r="P284" s="34" t="s">
        <v>50</v>
      </c>
      <c r="Q284" s="33" t="n">
        <f>1919</f>
        <v>1919.0</v>
      </c>
      <c r="R284" s="34" t="s">
        <v>50</v>
      </c>
      <c r="S284" s="35" t="n">
        <f>1984.7</f>
        <v>1984.7</v>
      </c>
      <c r="T284" s="32" t="n">
        <f>83286</f>
        <v>83286.0</v>
      </c>
      <c r="U284" s="32" t="n">
        <f>14298</f>
        <v>14298.0</v>
      </c>
      <c r="V284" s="32" t="n">
        <f>165429263</f>
        <v>1.65429263E8</v>
      </c>
      <c r="W284" s="32" t="n">
        <f>27852504</f>
        <v>2.7852504E7</v>
      </c>
      <c r="X284" s="36" t="n">
        <f>20</f>
        <v>20.0</v>
      </c>
    </row>
    <row r="285">
      <c r="A285" s="27" t="s">
        <v>42</v>
      </c>
      <c r="B285" s="27" t="s">
        <v>905</v>
      </c>
      <c r="C285" s="27" t="s">
        <v>906</v>
      </c>
      <c r="D285" s="27" t="s">
        <v>907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1618</f>
        <v>1618.0</v>
      </c>
      <c r="L285" s="34" t="s">
        <v>48</v>
      </c>
      <c r="M285" s="33" t="n">
        <f>1628</f>
        <v>1628.0</v>
      </c>
      <c r="N285" s="34" t="s">
        <v>60</v>
      </c>
      <c r="O285" s="33" t="n">
        <f>1540</f>
        <v>1540.0</v>
      </c>
      <c r="P285" s="34" t="s">
        <v>250</v>
      </c>
      <c r="Q285" s="33" t="n">
        <f>1545</f>
        <v>1545.0</v>
      </c>
      <c r="R285" s="34" t="s">
        <v>50</v>
      </c>
      <c r="S285" s="35" t="n">
        <f>1589.9</f>
        <v>1589.9</v>
      </c>
      <c r="T285" s="32" t="n">
        <f>4937</f>
        <v>4937.0</v>
      </c>
      <c r="U285" s="32" t="str">
        <f>"－"</f>
        <v>－</v>
      </c>
      <c r="V285" s="32" t="n">
        <f>7883172</f>
        <v>7883172.0</v>
      </c>
      <c r="W285" s="32" t="str">
        <f>"－"</f>
        <v>－</v>
      </c>
      <c r="X285" s="36" t="n">
        <f>20</f>
        <v>20.0</v>
      </c>
    </row>
    <row r="286">
      <c r="A286" s="27" t="s">
        <v>42</v>
      </c>
      <c r="B286" s="27" t="s">
        <v>908</v>
      </c>
      <c r="C286" s="27" t="s">
        <v>909</v>
      </c>
      <c r="D286" s="27" t="s">
        <v>910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2854</f>
        <v>2854.0</v>
      </c>
      <c r="L286" s="34" t="s">
        <v>48</v>
      </c>
      <c r="M286" s="33" t="n">
        <f>2890</f>
        <v>2890.0</v>
      </c>
      <c r="N286" s="34" t="s">
        <v>264</v>
      </c>
      <c r="O286" s="33" t="n">
        <f>2657</f>
        <v>2657.0</v>
      </c>
      <c r="P286" s="34" t="s">
        <v>221</v>
      </c>
      <c r="Q286" s="33" t="n">
        <f>2710</f>
        <v>2710.0</v>
      </c>
      <c r="R286" s="34" t="s">
        <v>50</v>
      </c>
      <c r="S286" s="35" t="n">
        <f>2784.8</f>
        <v>2784.8</v>
      </c>
      <c r="T286" s="32" t="n">
        <f>51134</f>
        <v>51134.0</v>
      </c>
      <c r="U286" s="32" t="n">
        <f>1198</f>
        <v>1198.0</v>
      </c>
      <c r="V286" s="32" t="n">
        <f>140957847</f>
        <v>1.40957847E8</v>
      </c>
      <c r="W286" s="32" t="n">
        <f>3246181</f>
        <v>3246181.0</v>
      </c>
      <c r="X286" s="36" t="n">
        <f>20</f>
        <v>20.0</v>
      </c>
    </row>
    <row r="287">
      <c r="A287" s="27" t="s">
        <v>42</v>
      </c>
      <c r="B287" s="27" t="s">
        <v>911</v>
      </c>
      <c r="C287" s="27" t="s">
        <v>912</v>
      </c>
      <c r="D287" s="27" t="s">
        <v>913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2548</f>
        <v>2548.0</v>
      </c>
      <c r="L287" s="34" t="s">
        <v>48</v>
      </c>
      <c r="M287" s="33" t="n">
        <f>2850</f>
        <v>2850.0</v>
      </c>
      <c r="N287" s="34" t="s">
        <v>246</v>
      </c>
      <c r="O287" s="33" t="n">
        <f>2541</f>
        <v>2541.0</v>
      </c>
      <c r="P287" s="34" t="s">
        <v>50</v>
      </c>
      <c r="Q287" s="33" t="n">
        <f>2541</f>
        <v>2541.0</v>
      </c>
      <c r="R287" s="34" t="s">
        <v>50</v>
      </c>
      <c r="S287" s="35" t="n">
        <f>2608.1</f>
        <v>2608.1</v>
      </c>
      <c r="T287" s="32" t="n">
        <f>365347</f>
        <v>365347.0</v>
      </c>
      <c r="U287" s="32" t="n">
        <f>5</f>
        <v>5.0</v>
      </c>
      <c r="V287" s="32" t="n">
        <f>964008251</f>
        <v>9.64008251E8</v>
      </c>
      <c r="W287" s="32" t="n">
        <f>13069</f>
        <v>13069.0</v>
      </c>
      <c r="X287" s="36" t="n">
        <f>20</f>
        <v>20.0</v>
      </c>
    </row>
    <row r="288">
      <c r="A288" s="27" t="s">
        <v>42</v>
      </c>
      <c r="B288" s="27" t="s">
        <v>914</v>
      </c>
      <c r="C288" s="27" t="s">
        <v>915</v>
      </c>
      <c r="D288" s="27" t="s">
        <v>916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30950</f>
        <v>30950.0</v>
      </c>
      <c r="L288" s="34" t="s">
        <v>48</v>
      </c>
      <c r="M288" s="33" t="n">
        <f>32180</f>
        <v>32180.0</v>
      </c>
      <c r="N288" s="34" t="s">
        <v>67</v>
      </c>
      <c r="O288" s="33" t="n">
        <f>30950</f>
        <v>30950.0</v>
      </c>
      <c r="P288" s="34" t="s">
        <v>48</v>
      </c>
      <c r="Q288" s="33" t="n">
        <f>31100</f>
        <v>31100.0</v>
      </c>
      <c r="R288" s="34" t="s">
        <v>250</v>
      </c>
      <c r="S288" s="35" t="n">
        <f>31395.38</f>
        <v>31395.38</v>
      </c>
      <c r="T288" s="32" t="n">
        <f>91</f>
        <v>91.0</v>
      </c>
      <c r="U288" s="32" t="str">
        <f>"－"</f>
        <v>－</v>
      </c>
      <c r="V288" s="32" t="n">
        <f>2858260</f>
        <v>2858260.0</v>
      </c>
      <c r="W288" s="32" t="str">
        <f>"－"</f>
        <v>－</v>
      </c>
      <c r="X288" s="36" t="n">
        <f>13</f>
        <v>13.0</v>
      </c>
    </row>
    <row r="289">
      <c r="A289" s="27" t="s">
        <v>42</v>
      </c>
      <c r="B289" s="27" t="s">
        <v>917</v>
      </c>
      <c r="C289" s="27" t="s">
        <v>918</v>
      </c>
      <c r="D289" s="27" t="s">
        <v>919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2391</f>
        <v>2391.0</v>
      </c>
      <c r="L289" s="34" t="s">
        <v>48</v>
      </c>
      <c r="M289" s="33" t="n">
        <f>2468</f>
        <v>2468.0</v>
      </c>
      <c r="N289" s="34" t="s">
        <v>49</v>
      </c>
      <c r="O289" s="33" t="n">
        <f>2373</f>
        <v>2373.0</v>
      </c>
      <c r="P289" s="34" t="s">
        <v>50</v>
      </c>
      <c r="Q289" s="33" t="n">
        <f>2373</f>
        <v>2373.0</v>
      </c>
      <c r="R289" s="34" t="s">
        <v>50</v>
      </c>
      <c r="S289" s="35" t="n">
        <f>2413.63</f>
        <v>2413.63</v>
      </c>
      <c r="T289" s="32" t="n">
        <f>443</f>
        <v>443.0</v>
      </c>
      <c r="U289" s="32" t="str">
        <f>"－"</f>
        <v>－</v>
      </c>
      <c r="V289" s="32" t="n">
        <f>1066006</f>
        <v>1066006.0</v>
      </c>
      <c r="W289" s="32" t="str">
        <f>"－"</f>
        <v>－</v>
      </c>
      <c r="X289" s="36" t="n">
        <f>16</f>
        <v>16.0</v>
      </c>
    </row>
    <row r="290">
      <c r="A290" s="27" t="s">
        <v>42</v>
      </c>
      <c r="B290" s="27" t="s">
        <v>920</v>
      </c>
      <c r="C290" s="27" t="s">
        <v>921</v>
      </c>
      <c r="D290" s="27" t="s">
        <v>922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3230</f>
        <v>3230.0</v>
      </c>
      <c r="L290" s="34" t="s">
        <v>48</v>
      </c>
      <c r="M290" s="33" t="n">
        <f>3265</f>
        <v>3265.0</v>
      </c>
      <c r="N290" s="34" t="s">
        <v>60</v>
      </c>
      <c r="O290" s="33" t="n">
        <f>2936</f>
        <v>2936.0</v>
      </c>
      <c r="P290" s="34" t="s">
        <v>221</v>
      </c>
      <c r="Q290" s="33" t="n">
        <f>3095</f>
        <v>3095.0</v>
      </c>
      <c r="R290" s="34" t="s">
        <v>50</v>
      </c>
      <c r="S290" s="35" t="n">
        <f>3098.95</f>
        <v>3098.95</v>
      </c>
      <c r="T290" s="32" t="n">
        <f>1166226</f>
        <v>1166226.0</v>
      </c>
      <c r="U290" s="32" t="n">
        <f>119</f>
        <v>119.0</v>
      </c>
      <c r="V290" s="32" t="n">
        <f>3604879333</f>
        <v>3.604879333E9</v>
      </c>
      <c r="W290" s="32" t="n">
        <f>364075</f>
        <v>364075.0</v>
      </c>
      <c r="X290" s="36" t="n">
        <f>20</f>
        <v>20.0</v>
      </c>
    </row>
    <row r="291">
      <c r="A291" s="27" t="s">
        <v>42</v>
      </c>
      <c r="B291" s="27" t="s">
        <v>923</v>
      </c>
      <c r="C291" s="27" t="s">
        <v>924</v>
      </c>
      <c r="D291" s="27" t="s">
        <v>925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1966</f>
        <v>1966.0</v>
      </c>
      <c r="L291" s="34" t="s">
        <v>48</v>
      </c>
      <c r="M291" s="33" t="n">
        <f>2005</f>
        <v>2005.0</v>
      </c>
      <c r="N291" s="34" t="s">
        <v>60</v>
      </c>
      <c r="O291" s="33" t="n">
        <f>1876</f>
        <v>1876.0</v>
      </c>
      <c r="P291" s="34" t="s">
        <v>69</v>
      </c>
      <c r="Q291" s="33" t="n">
        <f>1882</f>
        <v>1882.0</v>
      </c>
      <c r="R291" s="34" t="s">
        <v>50</v>
      </c>
      <c r="S291" s="35" t="n">
        <f>1949.5</f>
        <v>1949.5</v>
      </c>
      <c r="T291" s="32" t="n">
        <f>13505</f>
        <v>13505.0</v>
      </c>
      <c r="U291" s="32" t="str">
        <f>"－"</f>
        <v>－</v>
      </c>
      <c r="V291" s="32" t="n">
        <f>26694136</f>
        <v>2.6694136E7</v>
      </c>
      <c r="W291" s="32" t="str">
        <f>"－"</f>
        <v>－</v>
      </c>
      <c r="X291" s="36" t="n">
        <f>20</f>
        <v>20.0</v>
      </c>
    </row>
    <row r="292">
      <c r="A292" s="27" t="s">
        <v>42</v>
      </c>
      <c r="B292" s="27" t="s">
        <v>926</v>
      </c>
      <c r="C292" s="27" t="s">
        <v>927</v>
      </c>
      <c r="D292" s="27" t="s">
        <v>928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1712</f>
        <v>1712.0</v>
      </c>
      <c r="L292" s="34" t="s">
        <v>48</v>
      </c>
      <c r="M292" s="33" t="n">
        <f>1847</f>
        <v>1847.0</v>
      </c>
      <c r="N292" s="34" t="s">
        <v>246</v>
      </c>
      <c r="O292" s="33" t="n">
        <f>1712</f>
        <v>1712.0</v>
      </c>
      <c r="P292" s="34" t="s">
        <v>48</v>
      </c>
      <c r="Q292" s="33" t="n">
        <f>1736</f>
        <v>1736.0</v>
      </c>
      <c r="R292" s="34" t="s">
        <v>50</v>
      </c>
      <c r="S292" s="35" t="n">
        <f>1782</f>
        <v>1782.0</v>
      </c>
      <c r="T292" s="32" t="n">
        <f>7944</f>
        <v>7944.0</v>
      </c>
      <c r="U292" s="32" t="str">
        <f>"－"</f>
        <v>－</v>
      </c>
      <c r="V292" s="32" t="n">
        <f>14322181</f>
        <v>1.4322181E7</v>
      </c>
      <c r="W292" s="32" t="str">
        <f>"－"</f>
        <v>－</v>
      </c>
      <c r="X292" s="36" t="n">
        <f>20</f>
        <v>20.0</v>
      </c>
    </row>
    <row r="293">
      <c r="A293" s="27" t="s">
        <v>42</v>
      </c>
      <c r="B293" s="27" t="s">
        <v>929</v>
      </c>
      <c r="C293" s="27" t="s">
        <v>930</v>
      </c>
      <c r="D293" s="27" t="s">
        <v>931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5385</f>
        <v>5385.0</v>
      </c>
      <c r="L293" s="34" t="s">
        <v>48</v>
      </c>
      <c r="M293" s="33" t="n">
        <f>5398</f>
        <v>5398.0</v>
      </c>
      <c r="N293" s="34" t="s">
        <v>257</v>
      </c>
      <c r="O293" s="33" t="n">
        <f>5292</f>
        <v>5292.0</v>
      </c>
      <c r="P293" s="34" t="s">
        <v>221</v>
      </c>
      <c r="Q293" s="33" t="n">
        <f>5329</f>
        <v>5329.0</v>
      </c>
      <c r="R293" s="34" t="s">
        <v>50</v>
      </c>
      <c r="S293" s="35" t="n">
        <f>5354.79</f>
        <v>5354.79</v>
      </c>
      <c r="T293" s="32" t="n">
        <f>13550</f>
        <v>13550.0</v>
      </c>
      <c r="U293" s="32" t="n">
        <f>11300</f>
        <v>11300.0</v>
      </c>
      <c r="V293" s="32" t="n">
        <f>72025415</f>
        <v>7.2025415E7</v>
      </c>
      <c r="W293" s="32" t="n">
        <f>59996375</f>
        <v>5.9996375E7</v>
      </c>
      <c r="X293" s="36" t="n">
        <f>14</f>
        <v>14.0</v>
      </c>
    </row>
    <row r="294">
      <c r="A294" s="27" t="s">
        <v>42</v>
      </c>
      <c r="B294" s="27" t="s">
        <v>932</v>
      </c>
      <c r="C294" s="27" t="s">
        <v>933</v>
      </c>
      <c r="D294" s="27" t="s">
        <v>934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3918</f>
        <v>3918.0</v>
      </c>
      <c r="L294" s="34" t="s">
        <v>48</v>
      </c>
      <c r="M294" s="33" t="n">
        <f>3918</f>
        <v>3918.0</v>
      </c>
      <c r="N294" s="34" t="s">
        <v>48</v>
      </c>
      <c r="O294" s="33" t="n">
        <f>3737</f>
        <v>3737.0</v>
      </c>
      <c r="P294" s="34" t="s">
        <v>69</v>
      </c>
      <c r="Q294" s="33" t="n">
        <f>3746</f>
        <v>3746.0</v>
      </c>
      <c r="R294" s="34" t="s">
        <v>50</v>
      </c>
      <c r="S294" s="35" t="n">
        <f>3821.45</f>
        <v>3821.45</v>
      </c>
      <c r="T294" s="32" t="n">
        <f>1734610</f>
        <v>1734610.0</v>
      </c>
      <c r="U294" s="32" t="n">
        <f>1488400</f>
        <v>1488400.0</v>
      </c>
      <c r="V294" s="32" t="n">
        <f>6579664401</f>
        <v>6.579664401E9</v>
      </c>
      <c r="W294" s="32" t="n">
        <f>5649851711</f>
        <v>5.649851711E9</v>
      </c>
      <c r="X294" s="36" t="n">
        <f>20</f>
        <v>20.0</v>
      </c>
    </row>
    <row r="295">
      <c r="A295" s="27" t="s">
        <v>42</v>
      </c>
      <c r="B295" s="27" t="s">
        <v>935</v>
      </c>
      <c r="C295" s="27" t="s">
        <v>936</v>
      </c>
      <c r="D295" s="27" t="s">
        <v>937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10.0</v>
      </c>
      <c r="K295" s="33" t="n">
        <f>657.8</f>
        <v>657.8</v>
      </c>
      <c r="L295" s="34" t="s">
        <v>48</v>
      </c>
      <c r="M295" s="33" t="n">
        <f>658</f>
        <v>658.0</v>
      </c>
      <c r="N295" s="34" t="s">
        <v>48</v>
      </c>
      <c r="O295" s="33" t="n">
        <f>633.4</f>
        <v>633.4</v>
      </c>
      <c r="P295" s="34" t="s">
        <v>69</v>
      </c>
      <c r="Q295" s="33" t="n">
        <f>633.4</f>
        <v>633.4</v>
      </c>
      <c r="R295" s="34" t="s">
        <v>50</v>
      </c>
      <c r="S295" s="35" t="n">
        <f>647.02</f>
        <v>647.02</v>
      </c>
      <c r="T295" s="32" t="n">
        <f>14080</f>
        <v>14080.0</v>
      </c>
      <c r="U295" s="32" t="str">
        <f>"－"</f>
        <v>－</v>
      </c>
      <c r="V295" s="32" t="n">
        <f>9065277</f>
        <v>9065277.0</v>
      </c>
      <c r="W295" s="32" t="str">
        <f>"－"</f>
        <v>－</v>
      </c>
      <c r="X295" s="36" t="n">
        <f>20</f>
        <v>20.0</v>
      </c>
    </row>
    <row r="296">
      <c r="A296" s="27" t="s">
        <v>42</v>
      </c>
      <c r="B296" s="27" t="s">
        <v>938</v>
      </c>
      <c r="C296" s="27" t="s">
        <v>939</v>
      </c>
      <c r="D296" s="27" t="s">
        <v>940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2169</f>
        <v>2169.0</v>
      </c>
      <c r="L296" s="34" t="s">
        <v>48</v>
      </c>
      <c r="M296" s="33" t="n">
        <f>2242</f>
        <v>2242.0</v>
      </c>
      <c r="N296" s="34" t="s">
        <v>60</v>
      </c>
      <c r="O296" s="33" t="n">
        <f>2133</f>
        <v>2133.0</v>
      </c>
      <c r="P296" s="34" t="s">
        <v>221</v>
      </c>
      <c r="Q296" s="33" t="n">
        <f>2150</f>
        <v>2150.0</v>
      </c>
      <c r="R296" s="34" t="s">
        <v>50</v>
      </c>
      <c r="S296" s="35" t="n">
        <f>2190</f>
        <v>2190.0</v>
      </c>
      <c r="T296" s="32" t="n">
        <f>5515</f>
        <v>5515.0</v>
      </c>
      <c r="U296" s="32" t="str">
        <f>"－"</f>
        <v>－</v>
      </c>
      <c r="V296" s="32" t="n">
        <f>12091659</f>
        <v>1.2091659E7</v>
      </c>
      <c r="W296" s="32" t="str">
        <f>"－"</f>
        <v>－</v>
      </c>
      <c r="X296" s="36" t="n">
        <f>20</f>
        <v>20.0</v>
      </c>
    </row>
    <row r="297">
      <c r="A297" s="27" t="s">
        <v>42</v>
      </c>
      <c r="B297" s="27" t="s">
        <v>941</v>
      </c>
      <c r="C297" s="27" t="s">
        <v>942</v>
      </c>
      <c r="D297" s="27" t="s">
        <v>943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2137</f>
        <v>2137.0</v>
      </c>
      <c r="L297" s="34" t="s">
        <v>48</v>
      </c>
      <c r="M297" s="33" t="n">
        <f>2170</f>
        <v>2170.0</v>
      </c>
      <c r="N297" s="34" t="s">
        <v>60</v>
      </c>
      <c r="O297" s="33" t="n">
        <f>2004</f>
        <v>2004.0</v>
      </c>
      <c r="P297" s="34" t="s">
        <v>221</v>
      </c>
      <c r="Q297" s="33" t="n">
        <f>2026</f>
        <v>2026.0</v>
      </c>
      <c r="R297" s="34" t="s">
        <v>50</v>
      </c>
      <c r="S297" s="35" t="n">
        <f>2081.85</f>
        <v>2081.85</v>
      </c>
      <c r="T297" s="32" t="n">
        <f>12533</f>
        <v>12533.0</v>
      </c>
      <c r="U297" s="32" t="str">
        <f>"－"</f>
        <v>－</v>
      </c>
      <c r="V297" s="32" t="n">
        <f>25997040</f>
        <v>2.599704E7</v>
      </c>
      <c r="W297" s="32" t="str">
        <f>"－"</f>
        <v>－</v>
      </c>
      <c r="X297" s="36" t="n">
        <f>20</f>
        <v>20.0</v>
      </c>
    </row>
    <row r="298">
      <c r="A298" s="27" t="s">
        <v>42</v>
      </c>
      <c r="B298" s="27" t="s">
        <v>944</v>
      </c>
      <c r="C298" s="27" t="s">
        <v>945</v>
      </c>
      <c r="D298" s="27" t="s">
        <v>946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8008</f>
        <v>8008.0</v>
      </c>
      <c r="L298" s="34" t="s">
        <v>48</v>
      </c>
      <c r="M298" s="33" t="n">
        <f>8048</f>
        <v>8048.0</v>
      </c>
      <c r="N298" s="34" t="s">
        <v>467</v>
      </c>
      <c r="O298" s="33" t="n">
        <f>7910</f>
        <v>7910.0</v>
      </c>
      <c r="P298" s="34" t="s">
        <v>221</v>
      </c>
      <c r="Q298" s="33" t="n">
        <f>7957</f>
        <v>7957.0</v>
      </c>
      <c r="R298" s="34" t="s">
        <v>50</v>
      </c>
      <c r="S298" s="35" t="n">
        <f>7997.7</f>
        <v>7997.7</v>
      </c>
      <c r="T298" s="32" t="n">
        <f>33899</f>
        <v>33899.0</v>
      </c>
      <c r="U298" s="32" t="n">
        <f>16308</f>
        <v>16308.0</v>
      </c>
      <c r="V298" s="32" t="n">
        <f>271662259</f>
        <v>2.71662259E8</v>
      </c>
      <c r="W298" s="32" t="n">
        <f>130701743</f>
        <v>1.30701743E8</v>
      </c>
      <c r="X298" s="36" t="n">
        <f>20</f>
        <v>20.0</v>
      </c>
    </row>
    <row r="299">
      <c r="A299" s="27" t="s">
        <v>42</v>
      </c>
      <c r="B299" s="27" t="s">
        <v>947</v>
      </c>
      <c r="C299" s="27" t="s">
        <v>948</v>
      </c>
      <c r="D299" s="27" t="s">
        <v>949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5786</f>
        <v>5786.0</v>
      </c>
      <c r="L299" s="34" t="s">
        <v>48</v>
      </c>
      <c r="M299" s="33" t="n">
        <f>5788</f>
        <v>5788.0</v>
      </c>
      <c r="N299" s="34" t="s">
        <v>48</v>
      </c>
      <c r="O299" s="33" t="n">
        <f>5566</f>
        <v>5566.0</v>
      </c>
      <c r="P299" s="34" t="s">
        <v>69</v>
      </c>
      <c r="Q299" s="33" t="n">
        <f>5580</f>
        <v>5580.0</v>
      </c>
      <c r="R299" s="34" t="s">
        <v>50</v>
      </c>
      <c r="S299" s="35" t="n">
        <f>5686.4</f>
        <v>5686.4</v>
      </c>
      <c r="T299" s="32" t="n">
        <f>5236</f>
        <v>5236.0</v>
      </c>
      <c r="U299" s="32" t="str">
        <f>"－"</f>
        <v>－</v>
      </c>
      <c r="V299" s="32" t="n">
        <f>29533772</f>
        <v>2.9533772E7</v>
      </c>
      <c r="W299" s="32" t="str">
        <f>"－"</f>
        <v>－</v>
      </c>
      <c r="X299" s="36" t="n">
        <f>20</f>
        <v>20.0</v>
      </c>
    </row>
    <row r="300">
      <c r="A300" s="27" t="s">
        <v>42</v>
      </c>
      <c r="B300" s="27" t="s">
        <v>950</v>
      </c>
      <c r="C300" s="27" t="s">
        <v>951</v>
      </c>
      <c r="D300" s="27" t="s">
        <v>952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21055</f>
        <v>21055.0</v>
      </c>
      <c r="L300" s="34" t="s">
        <v>48</v>
      </c>
      <c r="M300" s="33" t="n">
        <f>21355</f>
        <v>21355.0</v>
      </c>
      <c r="N300" s="34" t="s">
        <v>60</v>
      </c>
      <c r="O300" s="33" t="n">
        <f>20175</f>
        <v>20175.0</v>
      </c>
      <c r="P300" s="34" t="s">
        <v>221</v>
      </c>
      <c r="Q300" s="33" t="n">
        <f>20485</f>
        <v>20485.0</v>
      </c>
      <c r="R300" s="34" t="s">
        <v>50</v>
      </c>
      <c r="S300" s="35" t="n">
        <f>20843.75</f>
        <v>20843.75</v>
      </c>
      <c r="T300" s="32" t="n">
        <f>330590</f>
        <v>330590.0</v>
      </c>
      <c r="U300" s="32" t="str">
        <f>"－"</f>
        <v>－</v>
      </c>
      <c r="V300" s="32" t="n">
        <f>6921000785</f>
        <v>6.921000785E9</v>
      </c>
      <c r="W300" s="32" t="str">
        <f>"－"</f>
        <v>－</v>
      </c>
      <c r="X300" s="36" t="n">
        <f>20</f>
        <v>20.0</v>
      </c>
    </row>
    <row r="301">
      <c r="A301" s="27" t="s">
        <v>42</v>
      </c>
      <c r="B301" s="27" t="s">
        <v>953</v>
      </c>
      <c r="C301" s="27" t="s">
        <v>954</v>
      </c>
      <c r="D301" s="27" t="s">
        <v>955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10225</f>
        <v>10225.0</v>
      </c>
      <c r="L301" s="34" t="s">
        <v>48</v>
      </c>
      <c r="M301" s="33" t="n">
        <f>10235</f>
        <v>10235.0</v>
      </c>
      <c r="N301" s="34" t="s">
        <v>48</v>
      </c>
      <c r="O301" s="33" t="n">
        <f>9532</f>
        <v>9532.0</v>
      </c>
      <c r="P301" s="34" t="s">
        <v>69</v>
      </c>
      <c r="Q301" s="33" t="n">
        <f>9648</f>
        <v>9648.0</v>
      </c>
      <c r="R301" s="34" t="s">
        <v>50</v>
      </c>
      <c r="S301" s="35" t="n">
        <f>9956.85</f>
        <v>9956.85</v>
      </c>
      <c r="T301" s="32" t="n">
        <f>598695</f>
        <v>598695.0</v>
      </c>
      <c r="U301" s="32" t="n">
        <f>190301</f>
        <v>190301.0</v>
      </c>
      <c r="V301" s="32" t="n">
        <f>5922535110</f>
        <v>5.92253511E9</v>
      </c>
      <c r="W301" s="32" t="n">
        <f>1847708624</f>
        <v>1.847708624E9</v>
      </c>
      <c r="X301" s="36" t="n">
        <f>20</f>
        <v>20.0</v>
      </c>
    </row>
    <row r="302">
      <c r="A302" s="27" t="s">
        <v>42</v>
      </c>
      <c r="B302" s="27" t="s">
        <v>956</v>
      </c>
      <c r="C302" s="27" t="s">
        <v>957</v>
      </c>
      <c r="D302" s="27" t="s">
        <v>958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23500</f>
        <v>23500.0</v>
      </c>
      <c r="L302" s="34" t="s">
        <v>48</v>
      </c>
      <c r="M302" s="33" t="n">
        <f>25070</f>
        <v>25070.0</v>
      </c>
      <c r="N302" s="34" t="s">
        <v>69</v>
      </c>
      <c r="O302" s="33" t="n">
        <f>23465</f>
        <v>23465.0</v>
      </c>
      <c r="P302" s="34" t="s">
        <v>48</v>
      </c>
      <c r="Q302" s="33" t="n">
        <f>24780</f>
        <v>24780.0</v>
      </c>
      <c r="R302" s="34" t="s">
        <v>50</v>
      </c>
      <c r="S302" s="35" t="n">
        <f>24089.75</f>
        <v>24089.75</v>
      </c>
      <c r="T302" s="32" t="n">
        <f>342476</f>
        <v>342476.0</v>
      </c>
      <c r="U302" s="32" t="n">
        <f>126000</f>
        <v>126000.0</v>
      </c>
      <c r="V302" s="32" t="n">
        <f>8292870435</f>
        <v>8.292870435E9</v>
      </c>
      <c r="W302" s="32" t="n">
        <f>3042438000</f>
        <v>3.042438E9</v>
      </c>
      <c r="X302" s="36" t="n">
        <f>20</f>
        <v>20.0</v>
      </c>
    </row>
    <row r="303">
      <c r="A303" s="27" t="s">
        <v>42</v>
      </c>
      <c r="B303" s="27" t="s">
        <v>959</v>
      </c>
      <c r="C303" s="27" t="s">
        <v>960</v>
      </c>
      <c r="D303" s="27" t="s">
        <v>961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4229</f>
        <v>4229.0</v>
      </c>
      <c r="L303" s="34" t="s">
        <v>79</v>
      </c>
      <c r="M303" s="33" t="n">
        <f>4229</f>
        <v>4229.0</v>
      </c>
      <c r="N303" s="34" t="s">
        <v>79</v>
      </c>
      <c r="O303" s="33" t="n">
        <f>4094</f>
        <v>4094.0</v>
      </c>
      <c r="P303" s="34" t="s">
        <v>50</v>
      </c>
      <c r="Q303" s="33" t="n">
        <f>4094</f>
        <v>4094.0</v>
      </c>
      <c r="R303" s="34" t="s">
        <v>50</v>
      </c>
      <c r="S303" s="35" t="n">
        <f>4174.64</f>
        <v>4174.64</v>
      </c>
      <c r="T303" s="32" t="n">
        <f>385880</f>
        <v>385880.0</v>
      </c>
      <c r="U303" s="32" t="n">
        <f>364900</f>
        <v>364900.0</v>
      </c>
      <c r="V303" s="32" t="n">
        <f>1610154449</f>
        <v>1.610154449E9</v>
      </c>
      <c r="W303" s="32" t="n">
        <f>1523091059</f>
        <v>1.523091059E9</v>
      </c>
      <c r="X303" s="36" t="n">
        <f>14</f>
        <v>14.0</v>
      </c>
    </row>
    <row r="304">
      <c r="A304" s="27" t="s">
        <v>42</v>
      </c>
      <c r="B304" s="27" t="s">
        <v>962</v>
      </c>
      <c r="C304" s="27" t="s">
        <v>963</v>
      </c>
      <c r="D304" s="27" t="s">
        <v>964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5048</f>
        <v>5048.0</v>
      </c>
      <c r="L304" s="34" t="s">
        <v>48</v>
      </c>
      <c r="M304" s="33" t="n">
        <f>5048</f>
        <v>5048.0</v>
      </c>
      <c r="N304" s="34" t="s">
        <v>48</v>
      </c>
      <c r="O304" s="33" t="n">
        <f>4890</f>
        <v>4890.0</v>
      </c>
      <c r="P304" s="34" t="s">
        <v>69</v>
      </c>
      <c r="Q304" s="33" t="n">
        <f>4930</f>
        <v>4930.0</v>
      </c>
      <c r="R304" s="34" t="s">
        <v>50</v>
      </c>
      <c r="S304" s="35" t="n">
        <f>4951.33</f>
        <v>4951.33</v>
      </c>
      <c r="T304" s="32" t="n">
        <f>6320</f>
        <v>6320.0</v>
      </c>
      <c r="U304" s="32" t="n">
        <f>4030</f>
        <v>4030.0</v>
      </c>
      <c r="V304" s="32" t="n">
        <f>31290921</f>
        <v>3.1290921E7</v>
      </c>
      <c r="W304" s="32" t="n">
        <f>19958971</f>
        <v>1.9958971E7</v>
      </c>
      <c r="X304" s="36" t="n">
        <f>18</f>
        <v>18.0</v>
      </c>
    </row>
    <row r="305">
      <c r="A305" s="27" t="s">
        <v>42</v>
      </c>
      <c r="B305" s="27" t="s">
        <v>965</v>
      </c>
      <c r="C305" s="27" t="s">
        <v>966</v>
      </c>
      <c r="D305" s="27" t="s">
        <v>967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2130.5</f>
        <v>2130.5</v>
      </c>
      <c r="L305" s="34" t="s">
        <v>48</v>
      </c>
      <c r="M305" s="33" t="n">
        <f>2134</f>
        <v>2134.0</v>
      </c>
      <c r="N305" s="34" t="s">
        <v>48</v>
      </c>
      <c r="O305" s="33" t="n">
        <f>1989</f>
        <v>1989.0</v>
      </c>
      <c r="P305" s="34" t="s">
        <v>69</v>
      </c>
      <c r="Q305" s="33" t="n">
        <f>2014</f>
        <v>2014.0</v>
      </c>
      <c r="R305" s="34" t="s">
        <v>50</v>
      </c>
      <c r="S305" s="35" t="n">
        <f>2077.5</f>
        <v>2077.5</v>
      </c>
      <c r="T305" s="32" t="n">
        <f>1657500</f>
        <v>1657500.0</v>
      </c>
      <c r="U305" s="32" t="str">
        <f>"－"</f>
        <v>－</v>
      </c>
      <c r="V305" s="32" t="n">
        <f>3434582425</f>
        <v>3.434582425E9</v>
      </c>
      <c r="W305" s="32" t="str">
        <f>"－"</f>
        <v>－</v>
      </c>
      <c r="X305" s="36" t="n">
        <f>20</f>
        <v>20.0</v>
      </c>
    </row>
    <row r="306">
      <c r="A306" s="27" t="s">
        <v>42</v>
      </c>
      <c r="B306" s="27" t="s">
        <v>968</v>
      </c>
      <c r="C306" s="27" t="s">
        <v>969</v>
      </c>
      <c r="D306" s="27" t="s">
        <v>970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10.0</v>
      </c>
      <c r="K306" s="33" t="n">
        <f>1931.5</f>
        <v>1931.5</v>
      </c>
      <c r="L306" s="34" t="s">
        <v>48</v>
      </c>
      <c r="M306" s="33" t="n">
        <f>1939.5</f>
        <v>1939.5</v>
      </c>
      <c r="N306" s="34" t="s">
        <v>49</v>
      </c>
      <c r="O306" s="33" t="n">
        <f>1850.5</f>
        <v>1850.5</v>
      </c>
      <c r="P306" s="34" t="s">
        <v>69</v>
      </c>
      <c r="Q306" s="33" t="n">
        <f>1860</f>
        <v>1860.0</v>
      </c>
      <c r="R306" s="34" t="s">
        <v>50</v>
      </c>
      <c r="S306" s="35" t="n">
        <f>1905.53</f>
        <v>1905.53</v>
      </c>
      <c r="T306" s="32" t="n">
        <f>1122520</f>
        <v>1122520.0</v>
      </c>
      <c r="U306" s="32" t="str">
        <f>"－"</f>
        <v>－</v>
      </c>
      <c r="V306" s="32" t="n">
        <f>2141256970</f>
        <v>2.14125697E9</v>
      </c>
      <c r="W306" s="32" t="str">
        <f>"－"</f>
        <v>－</v>
      </c>
      <c r="X306" s="36" t="n">
        <f>20</f>
        <v>20.0</v>
      </c>
    </row>
    <row r="307">
      <c r="A307" s="27" t="s">
        <v>42</v>
      </c>
      <c r="B307" s="27" t="s">
        <v>971</v>
      </c>
      <c r="C307" s="27" t="s">
        <v>972</v>
      </c>
      <c r="D307" s="27" t="s">
        <v>973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1744</f>
        <v>1744.0</v>
      </c>
      <c r="L307" s="34" t="s">
        <v>48</v>
      </c>
      <c r="M307" s="33" t="n">
        <f>1819</f>
        <v>1819.0</v>
      </c>
      <c r="N307" s="34" t="s">
        <v>246</v>
      </c>
      <c r="O307" s="33" t="n">
        <f>1711</f>
        <v>1711.0</v>
      </c>
      <c r="P307" s="34" t="s">
        <v>68</v>
      </c>
      <c r="Q307" s="33" t="n">
        <f>1769</f>
        <v>1769.0</v>
      </c>
      <c r="R307" s="34" t="s">
        <v>50</v>
      </c>
      <c r="S307" s="35" t="n">
        <f>1767.25</f>
        <v>1767.25</v>
      </c>
      <c r="T307" s="32" t="n">
        <f>15359</f>
        <v>15359.0</v>
      </c>
      <c r="U307" s="32" t="str">
        <f>"－"</f>
        <v>－</v>
      </c>
      <c r="V307" s="32" t="n">
        <f>26959300</f>
        <v>2.69593E7</v>
      </c>
      <c r="W307" s="32" t="str">
        <f>"－"</f>
        <v>－</v>
      </c>
      <c r="X307" s="36" t="n">
        <f>20</f>
        <v>20.0</v>
      </c>
    </row>
    <row r="308">
      <c r="A308" s="27" t="s">
        <v>42</v>
      </c>
      <c r="B308" s="27" t="s">
        <v>974</v>
      </c>
      <c r="C308" s="27" t="s">
        <v>975</v>
      </c>
      <c r="D308" s="27" t="s">
        <v>976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1815</f>
        <v>1815.0</v>
      </c>
      <c r="L308" s="34" t="s">
        <v>48</v>
      </c>
      <c r="M308" s="33" t="n">
        <f>1879</f>
        <v>1879.0</v>
      </c>
      <c r="N308" s="34" t="s">
        <v>49</v>
      </c>
      <c r="O308" s="33" t="n">
        <f>1793</f>
        <v>1793.0</v>
      </c>
      <c r="P308" s="34" t="s">
        <v>69</v>
      </c>
      <c r="Q308" s="33" t="n">
        <f>1798</f>
        <v>1798.0</v>
      </c>
      <c r="R308" s="34" t="s">
        <v>50</v>
      </c>
      <c r="S308" s="35" t="n">
        <f>1833.39</f>
        <v>1833.39</v>
      </c>
      <c r="T308" s="32" t="n">
        <f>619</f>
        <v>619.0</v>
      </c>
      <c r="U308" s="32" t="str">
        <f>"－"</f>
        <v>－</v>
      </c>
      <c r="V308" s="32" t="n">
        <f>1137582</f>
        <v>1137582.0</v>
      </c>
      <c r="W308" s="32" t="str">
        <f>"－"</f>
        <v>－</v>
      </c>
      <c r="X308" s="36" t="n">
        <f>18</f>
        <v>18.0</v>
      </c>
    </row>
    <row r="309">
      <c r="A309" s="27" t="s">
        <v>42</v>
      </c>
      <c r="B309" s="27" t="s">
        <v>977</v>
      </c>
      <c r="C309" s="27" t="s">
        <v>978</v>
      </c>
      <c r="D309" s="27" t="s">
        <v>979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3870</f>
        <v>3870.0</v>
      </c>
      <c r="L309" s="34" t="s">
        <v>48</v>
      </c>
      <c r="M309" s="33" t="n">
        <f>4030</f>
        <v>4030.0</v>
      </c>
      <c r="N309" s="34" t="s">
        <v>49</v>
      </c>
      <c r="O309" s="33" t="n">
        <f>3865</f>
        <v>3865.0</v>
      </c>
      <c r="P309" s="34" t="s">
        <v>50</v>
      </c>
      <c r="Q309" s="33" t="n">
        <f>3865</f>
        <v>3865.0</v>
      </c>
      <c r="R309" s="34" t="s">
        <v>50</v>
      </c>
      <c r="S309" s="35" t="n">
        <f>3925.25</f>
        <v>3925.25</v>
      </c>
      <c r="T309" s="32" t="n">
        <f>33580</f>
        <v>33580.0</v>
      </c>
      <c r="U309" s="32" t="n">
        <f>28</f>
        <v>28.0</v>
      </c>
      <c r="V309" s="32" t="n">
        <f>132303265</f>
        <v>1.32303265E8</v>
      </c>
      <c r="W309" s="32" t="n">
        <f>109480</f>
        <v>109480.0</v>
      </c>
      <c r="X309" s="36" t="n">
        <f>20</f>
        <v>20.0</v>
      </c>
    </row>
    <row r="310">
      <c r="A310" s="27" t="s">
        <v>42</v>
      </c>
      <c r="B310" s="27" t="s">
        <v>980</v>
      </c>
      <c r="C310" s="27" t="s">
        <v>981</v>
      </c>
      <c r="D310" s="27" t="s">
        <v>982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2327.5</f>
        <v>2327.5</v>
      </c>
      <c r="L310" s="34" t="s">
        <v>86</v>
      </c>
      <c r="M310" s="33" t="n">
        <f>2379.5</f>
        <v>2379.5</v>
      </c>
      <c r="N310" s="34" t="s">
        <v>246</v>
      </c>
      <c r="O310" s="33" t="n">
        <f>2301</f>
        <v>2301.0</v>
      </c>
      <c r="P310" s="34" t="s">
        <v>50</v>
      </c>
      <c r="Q310" s="33" t="n">
        <f>2301</f>
        <v>2301.0</v>
      </c>
      <c r="R310" s="34" t="s">
        <v>50</v>
      </c>
      <c r="S310" s="35" t="n">
        <f>2331.83</f>
        <v>2331.83</v>
      </c>
      <c r="T310" s="32" t="n">
        <f>690</f>
        <v>690.0</v>
      </c>
      <c r="U310" s="32" t="str">
        <f>"－"</f>
        <v>－</v>
      </c>
      <c r="V310" s="32" t="n">
        <f>1618940</f>
        <v>1618940.0</v>
      </c>
      <c r="W310" s="32" t="str">
        <f>"－"</f>
        <v>－</v>
      </c>
      <c r="X310" s="36" t="n">
        <f>6</f>
        <v>6.0</v>
      </c>
    </row>
    <row r="311">
      <c r="A311" s="27" t="s">
        <v>42</v>
      </c>
      <c r="B311" s="27" t="s">
        <v>983</v>
      </c>
      <c r="C311" s="27" t="s">
        <v>984</v>
      </c>
      <c r="D311" s="27" t="s">
        <v>985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10.0</v>
      </c>
      <c r="K311" s="33" t="n">
        <f>229</f>
        <v>229.0</v>
      </c>
      <c r="L311" s="34" t="s">
        <v>48</v>
      </c>
      <c r="M311" s="33" t="n">
        <f>237.9</f>
        <v>237.9</v>
      </c>
      <c r="N311" s="34" t="s">
        <v>69</v>
      </c>
      <c r="O311" s="33" t="n">
        <f>225.1</f>
        <v>225.1</v>
      </c>
      <c r="P311" s="34" t="s">
        <v>50</v>
      </c>
      <c r="Q311" s="33" t="n">
        <f>228.9</f>
        <v>228.9</v>
      </c>
      <c r="R311" s="34" t="s">
        <v>50</v>
      </c>
      <c r="S311" s="35" t="n">
        <f>232.11</f>
        <v>232.11</v>
      </c>
      <c r="T311" s="32" t="n">
        <f>12900</f>
        <v>12900.0</v>
      </c>
      <c r="U311" s="32" t="str">
        <f>"－"</f>
        <v>－</v>
      </c>
      <c r="V311" s="32" t="n">
        <f>2995402</f>
        <v>2995402.0</v>
      </c>
      <c r="W311" s="32" t="str">
        <f>"－"</f>
        <v>－</v>
      </c>
      <c r="X311" s="36" t="n">
        <f>20</f>
        <v>20.0</v>
      </c>
    </row>
    <row r="312">
      <c r="A312" s="27" t="s">
        <v>42</v>
      </c>
      <c r="B312" s="27" t="s">
        <v>986</v>
      </c>
      <c r="C312" s="27" t="s">
        <v>987</v>
      </c>
      <c r="D312" s="27" t="s">
        <v>988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10.0</v>
      </c>
      <c r="K312" s="33" t="n">
        <f>190</f>
        <v>190.0</v>
      </c>
      <c r="L312" s="34" t="s">
        <v>48</v>
      </c>
      <c r="M312" s="33" t="n">
        <f>191.9</f>
        <v>191.9</v>
      </c>
      <c r="N312" s="34" t="s">
        <v>60</v>
      </c>
      <c r="O312" s="33" t="n">
        <f>183.9</f>
        <v>183.9</v>
      </c>
      <c r="P312" s="34" t="s">
        <v>69</v>
      </c>
      <c r="Q312" s="33" t="n">
        <f>186.2</f>
        <v>186.2</v>
      </c>
      <c r="R312" s="34" t="s">
        <v>50</v>
      </c>
      <c r="S312" s="35" t="n">
        <f>187.67</f>
        <v>187.67</v>
      </c>
      <c r="T312" s="32" t="n">
        <f>2738920</f>
        <v>2738920.0</v>
      </c>
      <c r="U312" s="32" t="n">
        <f>2725450</f>
        <v>2725450.0</v>
      </c>
      <c r="V312" s="32" t="n">
        <f>507546325</f>
        <v>5.07546325E8</v>
      </c>
      <c r="W312" s="32" t="n">
        <f>505043700</f>
        <v>5.050437E8</v>
      </c>
      <c r="X312" s="36" t="n">
        <f>20</f>
        <v>20.0</v>
      </c>
    </row>
    <row r="313">
      <c r="A313" s="27" t="s">
        <v>42</v>
      </c>
      <c r="B313" s="27" t="s">
        <v>989</v>
      </c>
      <c r="C313" s="27" t="s">
        <v>990</v>
      </c>
      <c r="D313" s="27" t="s">
        <v>991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10.0</v>
      </c>
      <c r="K313" s="33" t="n">
        <f>687</f>
        <v>687.0</v>
      </c>
      <c r="L313" s="34" t="s">
        <v>264</v>
      </c>
      <c r="M313" s="33" t="n">
        <f>687</f>
        <v>687.0</v>
      </c>
      <c r="N313" s="34" t="s">
        <v>264</v>
      </c>
      <c r="O313" s="33" t="n">
        <f>665.5</f>
        <v>665.5</v>
      </c>
      <c r="P313" s="34" t="s">
        <v>50</v>
      </c>
      <c r="Q313" s="33" t="n">
        <f>668.6</f>
        <v>668.6</v>
      </c>
      <c r="R313" s="34" t="s">
        <v>50</v>
      </c>
      <c r="S313" s="35" t="n">
        <f>677.57</f>
        <v>677.57</v>
      </c>
      <c r="T313" s="32" t="n">
        <f>13040</f>
        <v>13040.0</v>
      </c>
      <c r="U313" s="32" t="n">
        <f>12020</f>
        <v>12020.0</v>
      </c>
      <c r="V313" s="32" t="n">
        <f>8756988</f>
        <v>8756988.0</v>
      </c>
      <c r="W313" s="32" t="n">
        <f>8067824</f>
        <v>8067824.0</v>
      </c>
      <c r="X313" s="36" t="n">
        <f>11</f>
        <v>11.0</v>
      </c>
    </row>
    <row r="314">
      <c r="A314" s="27" t="s">
        <v>42</v>
      </c>
      <c r="B314" s="27" t="s">
        <v>992</v>
      </c>
      <c r="C314" s="27" t="s">
        <v>993</v>
      </c>
      <c r="D314" s="27" t="s">
        <v>994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1192</f>
        <v>1192.0</v>
      </c>
      <c r="L314" s="34" t="s">
        <v>48</v>
      </c>
      <c r="M314" s="33" t="n">
        <f>1219</f>
        <v>1219.0</v>
      </c>
      <c r="N314" s="34" t="s">
        <v>60</v>
      </c>
      <c r="O314" s="33" t="n">
        <f>1128</f>
        <v>1128.0</v>
      </c>
      <c r="P314" s="34" t="s">
        <v>250</v>
      </c>
      <c r="Q314" s="33" t="n">
        <f>1145</f>
        <v>1145.0</v>
      </c>
      <c r="R314" s="34" t="s">
        <v>50</v>
      </c>
      <c r="S314" s="35" t="n">
        <f>1177.55</f>
        <v>1177.55</v>
      </c>
      <c r="T314" s="32" t="n">
        <f>97718</f>
        <v>97718.0</v>
      </c>
      <c r="U314" s="32" t="n">
        <f>2</f>
        <v>2.0</v>
      </c>
      <c r="V314" s="32" t="n">
        <f>114827017</f>
        <v>1.14827017E8</v>
      </c>
      <c r="W314" s="32" t="n">
        <f>2382</f>
        <v>2382.0</v>
      </c>
      <c r="X314" s="36" t="n">
        <f>20</f>
        <v>20.0</v>
      </c>
    </row>
    <row r="315">
      <c r="A315" s="27" t="s">
        <v>42</v>
      </c>
      <c r="B315" s="27" t="s">
        <v>995</v>
      </c>
      <c r="C315" s="27" t="s">
        <v>996</v>
      </c>
      <c r="D315" s="27" t="s">
        <v>997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979</f>
        <v>979.0</v>
      </c>
      <c r="L315" s="34" t="s">
        <v>48</v>
      </c>
      <c r="M315" s="33" t="n">
        <f>994</f>
        <v>994.0</v>
      </c>
      <c r="N315" s="34" t="s">
        <v>60</v>
      </c>
      <c r="O315" s="33" t="n">
        <f>947</f>
        <v>947.0</v>
      </c>
      <c r="P315" s="34" t="s">
        <v>69</v>
      </c>
      <c r="Q315" s="33" t="n">
        <f>953</f>
        <v>953.0</v>
      </c>
      <c r="R315" s="34" t="s">
        <v>50</v>
      </c>
      <c r="S315" s="35" t="n">
        <f>968.9</f>
        <v>968.9</v>
      </c>
      <c r="T315" s="32" t="n">
        <f>228126</f>
        <v>228126.0</v>
      </c>
      <c r="U315" s="32" t="n">
        <f>210105</f>
        <v>210105.0</v>
      </c>
      <c r="V315" s="32" t="n">
        <f>217190887</f>
        <v>2.17190887E8</v>
      </c>
      <c r="W315" s="32" t="n">
        <f>199998770</f>
        <v>1.9999877E8</v>
      </c>
      <c r="X315" s="36" t="n">
        <f>20</f>
        <v>20.0</v>
      </c>
    </row>
    <row r="316">
      <c r="A316" s="27" t="s">
        <v>42</v>
      </c>
      <c r="B316" s="27" t="s">
        <v>998</v>
      </c>
      <c r="C316" s="27" t="s">
        <v>999</v>
      </c>
      <c r="D316" s="27" t="s">
        <v>1000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10.0</v>
      </c>
      <c r="K316" s="33" t="n">
        <f>726.7</f>
        <v>726.7</v>
      </c>
      <c r="L316" s="34" t="s">
        <v>48</v>
      </c>
      <c r="M316" s="33" t="n">
        <f>726.8</f>
        <v>726.8</v>
      </c>
      <c r="N316" s="34" t="s">
        <v>467</v>
      </c>
      <c r="O316" s="33" t="n">
        <f>710.2</f>
        <v>710.2</v>
      </c>
      <c r="P316" s="34" t="s">
        <v>69</v>
      </c>
      <c r="Q316" s="33" t="n">
        <f>713.6</f>
        <v>713.6</v>
      </c>
      <c r="R316" s="34" t="s">
        <v>50</v>
      </c>
      <c r="S316" s="35" t="n">
        <f>718.6</f>
        <v>718.6</v>
      </c>
      <c r="T316" s="32" t="n">
        <f>2396920</f>
        <v>2396920.0</v>
      </c>
      <c r="U316" s="32" t="n">
        <f>2068550</f>
        <v>2068550.0</v>
      </c>
      <c r="V316" s="32" t="n">
        <f>1712274659</f>
        <v>1.712274659E9</v>
      </c>
      <c r="W316" s="32" t="n">
        <f>1476381468</f>
        <v>1.476381468E9</v>
      </c>
      <c r="X316" s="36" t="n">
        <f>20</f>
        <v>20.0</v>
      </c>
    </row>
    <row r="317">
      <c r="A317" s="27" t="s">
        <v>42</v>
      </c>
      <c r="B317" s="27" t="s">
        <v>1001</v>
      </c>
      <c r="C317" s="27" t="s">
        <v>1002</v>
      </c>
      <c r="D317" s="27" t="s">
        <v>1003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10.0</v>
      </c>
      <c r="K317" s="33" t="n">
        <f>698.3</f>
        <v>698.3</v>
      </c>
      <c r="L317" s="34" t="s">
        <v>48</v>
      </c>
      <c r="M317" s="33" t="n">
        <f>709</f>
        <v>709.0</v>
      </c>
      <c r="N317" s="34" t="s">
        <v>79</v>
      </c>
      <c r="O317" s="33" t="n">
        <f>681.4</f>
        <v>681.4</v>
      </c>
      <c r="P317" s="34" t="s">
        <v>50</v>
      </c>
      <c r="Q317" s="33" t="n">
        <f>681.7</f>
        <v>681.7</v>
      </c>
      <c r="R317" s="34" t="s">
        <v>50</v>
      </c>
      <c r="S317" s="35" t="n">
        <f>692.57</f>
        <v>692.57</v>
      </c>
      <c r="T317" s="32" t="n">
        <f>8445930</f>
        <v>8445930.0</v>
      </c>
      <c r="U317" s="32" t="n">
        <f>8428620</f>
        <v>8428620.0</v>
      </c>
      <c r="V317" s="32" t="n">
        <f>5829601689</f>
        <v>5.829601689E9</v>
      </c>
      <c r="W317" s="32" t="n">
        <f>5817651517</f>
        <v>5.817651517E9</v>
      </c>
      <c r="X317" s="36" t="n">
        <f>19</f>
        <v>19.0</v>
      </c>
    </row>
    <row r="318">
      <c r="A318" s="27" t="s">
        <v>42</v>
      </c>
      <c r="B318" s="27" t="s">
        <v>1004</v>
      </c>
      <c r="C318" s="27" t="s">
        <v>1005</v>
      </c>
      <c r="D318" s="27" t="s">
        <v>1006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1148</f>
        <v>1148.0</v>
      </c>
      <c r="L318" s="34" t="s">
        <v>48</v>
      </c>
      <c r="M318" s="33" t="n">
        <f>1163</f>
        <v>1163.0</v>
      </c>
      <c r="N318" s="34" t="s">
        <v>49</v>
      </c>
      <c r="O318" s="33" t="n">
        <f>1130</f>
        <v>1130.0</v>
      </c>
      <c r="P318" s="34" t="s">
        <v>250</v>
      </c>
      <c r="Q318" s="33" t="n">
        <f>1133</f>
        <v>1133.0</v>
      </c>
      <c r="R318" s="34" t="s">
        <v>50</v>
      </c>
      <c r="S318" s="35" t="n">
        <f>1147.2</f>
        <v>1147.2</v>
      </c>
      <c r="T318" s="32" t="n">
        <f>30035</f>
        <v>30035.0</v>
      </c>
      <c r="U318" s="32" t="n">
        <f>19</f>
        <v>19.0</v>
      </c>
      <c r="V318" s="32" t="n">
        <f>34450198</f>
        <v>3.4450198E7</v>
      </c>
      <c r="W318" s="32" t="n">
        <f>20237</f>
        <v>20237.0</v>
      </c>
      <c r="X318" s="36" t="n">
        <f>20</f>
        <v>20.0</v>
      </c>
    </row>
    <row r="319">
      <c r="A319" s="27" t="s">
        <v>42</v>
      </c>
      <c r="B319" s="27" t="s">
        <v>1007</v>
      </c>
      <c r="C319" s="27" t="s">
        <v>1008</v>
      </c>
      <c r="D319" s="27" t="s">
        <v>1009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10.0</v>
      </c>
      <c r="K319" s="33" t="n">
        <f>2345</f>
        <v>2345.0</v>
      </c>
      <c r="L319" s="34" t="s">
        <v>48</v>
      </c>
      <c r="M319" s="33" t="n">
        <f>2346</f>
        <v>2346.0</v>
      </c>
      <c r="N319" s="34" t="s">
        <v>49</v>
      </c>
      <c r="O319" s="33" t="n">
        <f>2236</f>
        <v>2236.0</v>
      </c>
      <c r="P319" s="34" t="s">
        <v>250</v>
      </c>
      <c r="Q319" s="33" t="n">
        <f>2258</f>
        <v>2258.0</v>
      </c>
      <c r="R319" s="34" t="s">
        <v>50</v>
      </c>
      <c r="S319" s="35" t="n">
        <f>2299.68</f>
        <v>2299.68</v>
      </c>
      <c r="T319" s="32" t="n">
        <f>254540</f>
        <v>254540.0</v>
      </c>
      <c r="U319" s="32" t="str">
        <f>"－"</f>
        <v>－</v>
      </c>
      <c r="V319" s="32" t="n">
        <f>588283535</f>
        <v>5.88283535E8</v>
      </c>
      <c r="W319" s="32" t="str">
        <f>"－"</f>
        <v>－</v>
      </c>
      <c r="X319" s="36" t="n">
        <f>20</f>
        <v>20.0</v>
      </c>
    </row>
    <row r="320">
      <c r="A320" s="27" t="s">
        <v>42</v>
      </c>
      <c r="B320" s="27" t="s">
        <v>1010</v>
      </c>
      <c r="C320" s="27" t="s">
        <v>1011</v>
      </c>
      <c r="D320" s="27" t="s">
        <v>1012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10.0</v>
      </c>
      <c r="K320" s="33" t="n">
        <f>2374.5</f>
        <v>2374.5</v>
      </c>
      <c r="L320" s="34" t="s">
        <v>48</v>
      </c>
      <c r="M320" s="33" t="n">
        <f>2380.5</f>
        <v>2380.5</v>
      </c>
      <c r="N320" s="34" t="s">
        <v>79</v>
      </c>
      <c r="O320" s="33" t="n">
        <f>2220</f>
        <v>2220.0</v>
      </c>
      <c r="P320" s="34" t="s">
        <v>250</v>
      </c>
      <c r="Q320" s="33" t="n">
        <f>2220</f>
        <v>2220.0</v>
      </c>
      <c r="R320" s="34" t="s">
        <v>69</v>
      </c>
      <c r="S320" s="35" t="n">
        <f>2280.57</f>
        <v>2280.57</v>
      </c>
      <c r="T320" s="32" t="n">
        <f>222140</f>
        <v>222140.0</v>
      </c>
      <c r="U320" s="32" t="n">
        <f>102000</f>
        <v>102000.0</v>
      </c>
      <c r="V320" s="32" t="n">
        <f>515883475</f>
        <v>5.15883475E8</v>
      </c>
      <c r="W320" s="32" t="n">
        <f>237999040</f>
        <v>2.3799904E8</v>
      </c>
      <c r="X320" s="36" t="n">
        <f>15</f>
        <v>15.0</v>
      </c>
    </row>
    <row r="321">
      <c r="A321" s="27" t="s">
        <v>42</v>
      </c>
      <c r="B321" s="27" t="s">
        <v>1013</v>
      </c>
      <c r="C321" s="27" t="s">
        <v>1014</v>
      </c>
      <c r="D321" s="27" t="s">
        <v>1015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5113</f>
        <v>5113.0</v>
      </c>
      <c r="L321" s="34" t="s">
        <v>86</v>
      </c>
      <c r="M321" s="33" t="n">
        <f>5113</f>
        <v>5113.0</v>
      </c>
      <c r="N321" s="34" t="s">
        <v>86</v>
      </c>
      <c r="O321" s="33" t="n">
        <f>5010</f>
        <v>5010.0</v>
      </c>
      <c r="P321" s="34" t="s">
        <v>246</v>
      </c>
      <c r="Q321" s="33" t="n">
        <f>5038</f>
        <v>5038.0</v>
      </c>
      <c r="R321" s="34" t="s">
        <v>221</v>
      </c>
      <c r="S321" s="35" t="n">
        <f>5069</f>
        <v>5069.0</v>
      </c>
      <c r="T321" s="32" t="n">
        <f>340</f>
        <v>340.0</v>
      </c>
      <c r="U321" s="32" t="str">
        <f>"－"</f>
        <v>－</v>
      </c>
      <c r="V321" s="32" t="n">
        <f>1727660</f>
        <v>1727660.0</v>
      </c>
      <c r="W321" s="32" t="str">
        <f>"－"</f>
        <v>－</v>
      </c>
      <c r="X321" s="36" t="n">
        <f>6</f>
        <v>6.0</v>
      </c>
    </row>
    <row r="322">
      <c r="A322" s="27" t="s">
        <v>42</v>
      </c>
      <c r="B322" s="27" t="s">
        <v>1016</v>
      </c>
      <c r="C322" s="27" t="s">
        <v>1017</v>
      </c>
      <c r="D322" s="27" t="s">
        <v>1018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10.0</v>
      </c>
      <c r="K322" s="33" t="n">
        <f>4360</f>
        <v>4360.0</v>
      </c>
      <c r="L322" s="34" t="s">
        <v>48</v>
      </c>
      <c r="M322" s="33" t="n">
        <f>4360</f>
        <v>4360.0</v>
      </c>
      <c r="N322" s="34" t="s">
        <v>48</v>
      </c>
      <c r="O322" s="33" t="n">
        <f>4218</f>
        <v>4218.0</v>
      </c>
      <c r="P322" s="34" t="s">
        <v>69</v>
      </c>
      <c r="Q322" s="33" t="n">
        <f>4218</f>
        <v>4218.0</v>
      </c>
      <c r="R322" s="34" t="s">
        <v>69</v>
      </c>
      <c r="S322" s="35" t="n">
        <f>4285.23</f>
        <v>4285.23</v>
      </c>
      <c r="T322" s="32" t="n">
        <f>164650</f>
        <v>164650.0</v>
      </c>
      <c r="U322" s="32" t="n">
        <f>164290</f>
        <v>164290.0</v>
      </c>
      <c r="V322" s="32" t="n">
        <f>700889091</f>
        <v>7.00889091E8</v>
      </c>
      <c r="W322" s="32" t="n">
        <f>699348041</f>
        <v>6.99348041E8</v>
      </c>
      <c r="X322" s="36" t="n">
        <f>13</f>
        <v>13.0</v>
      </c>
    </row>
    <row r="323">
      <c r="A323" s="27" t="s">
        <v>42</v>
      </c>
      <c r="B323" s="27" t="s">
        <v>1019</v>
      </c>
      <c r="C323" s="27" t="s">
        <v>1020</v>
      </c>
      <c r="D323" s="27" t="s">
        <v>1021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1911.5</f>
        <v>1911.5</v>
      </c>
      <c r="L323" s="34" t="s">
        <v>48</v>
      </c>
      <c r="M323" s="33" t="n">
        <f>1913.5</f>
        <v>1913.5</v>
      </c>
      <c r="N323" s="34" t="s">
        <v>79</v>
      </c>
      <c r="O323" s="33" t="n">
        <f>1838</f>
        <v>1838.0</v>
      </c>
      <c r="P323" s="34" t="s">
        <v>250</v>
      </c>
      <c r="Q323" s="33" t="n">
        <f>1878</f>
        <v>1878.0</v>
      </c>
      <c r="R323" s="34" t="s">
        <v>250</v>
      </c>
      <c r="S323" s="35" t="n">
        <f>1887</f>
        <v>1887.0</v>
      </c>
      <c r="T323" s="32" t="n">
        <f>660</f>
        <v>660.0</v>
      </c>
      <c r="U323" s="32" t="str">
        <f>"－"</f>
        <v>－</v>
      </c>
      <c r="V323" s="32" t="n">
        <f>1242495</f>
        <v>1242495.0</v>
      </c>
      <c r="W323" s="32" t="str">
        <f>"－"</f>
        <v>－</v>
      </c>
      <c r="X323" s="36" t="n">
        <f>11</f>
        <v>11.0</v>
      </c>
    </row>
    <row r="324">
      <c r="A324" s="27" t="s">
        <v>42</v>
      </c>
      <c r="B324" s="27" t="s">
        <v>1022</v>
      </c>
      <c r="C324" s="27" t="s">
        <v>1023</v>
      </c>
      <c r="D324" s="27" t="s">
        <v>1024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1248</f>
        <v>1248.0</v>
      </c>
      <c r="L324" s="34" t="s">
        <v>48</v>
      </c>
      <c r="M324" s="33" t="n">
        <f>1257</f>
        <v>1257.0</v>
      </c>
      <c r="N324" s="34" t="s">
        <v>257</v>
      </c>
      <c r="O324" s="33" t="n">
        <f>1147</f>
        <v>1147.0</v>
      </c>
      <c r="P324" s="34" t="s">
        <v>69</v>
      </c>
      <c r="Q324" s="33" t="n">
        <f>1155</f>
        <v>1155.0</v>
      </c>
      <c r="R324" s="34" t="s">
        <v>50</v>
      </c>
      <c r="S324" s="35" t="n">
        <f>1205.9</f>
        <v>1205.9</v>
      </c>
      <c r="T324" s="32" t="n">
        <f>3269</f>
        <v>3269.0</v>
      </c>
      <c r="U324" s="32" t="str">
        <f>"－"</f>
        <v>－</v>
      </c>
      <c r="V324" s="32" t="n">
        <f>3896629</f>
        <v>3896629.0</v>
      </c>
      <c r="W324" s="32" t="str">
        <f>"－"</f>
        <v>－</v>
      </c>
      <c r="X324" s="36" t="n">
        <f>20</f>
        <v>20.0</v>
      </c>
    </row>
    <row r="325">
      <c r="A325" s="27" t="s">
        <v>42</v>
      </c>
      <c r="B325" s="27" t="s">
        <v>1025</v>
      </c>
      <c r="C325" s="27" t="s">
        <v>1026</v>
      </c>
      <c r="D325" s="27" t="s">
        <v>1027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1113</f>
        <v>1113.0</v>
      </c>
      <c r="L325" s="34" t="s">
        <v>48</v>
      </c>
      <c r="M325" s="33" t="n">
        <f>1130</f>
        <v>1130.0</v>
      </c>
      <c r="N325" s="34" t="s">
        <v>60</v>
      </c>
      <c r="O325" s="33" t="n">
        <f>1076</f>
        <v>1076.0</v>
      </c>
      <c r="P325" s="34" t="s">
        <v>221</v>
      </c>
      <c r="Q325" s="33" t="n">
        <f>1092</f>
        <v>1092.0</v>
      </c>
      <c r="R325" s="34" t="s">
        <v>50</v>
      </c>
      <c r="S325" s="35" t="n">
        <f>1105</f>
        <v>1105.0</v>
      </c>
      <c r="T325" s="32" t="n">
        <f>947899</f>
        <v>947899.0</v>
      </c>
      <c r="U325" s="32" t="n">
        <f>169</f>
        <v>169.0</v>
      </c>
      <c r="V325" s="32" t="n">
        <f>1044538230</f>
        <v>1.04453823E9</v>
      </c>
      <c r="W325" s="32" t="n">
        <f>183660</f>
        <v>183660.0</v>
      </c>
      <c r="X325" s="36" t="n">
        <f>20</f>
        <v>20.0</v>
      </c>
    </row>
    <row r="326">
      <c r="A326" s="27" t="s">
        <v>42</v>
      </c>
      <c r="B326" s="27" t="s">
        <v>1028</v>
      </c>
      <c r="C326" s="27" t="s">
        <v>1029</v>
      </c>
      <c r="D326" s="27" t="s">
        <v>1030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939</f>
        <v>939.0</v>
      </c>
      <c r="L326" s="34" t="s">
        <v>48</v>
      </c>
      <c r="M326" s="33" t="n">
        <f>954</f>
        <v>954.0</v>
      </c>
      <c r="N326" s="34" t="s">
        <v>79</v>
      </c>
      <c r="O326" s="33" t="n">
        <f>929</f>
        <v>929.0</v>
      </c>
      <c r="P326" s="34" t="s">
        <v>48</v>
      </c>
      <c r="Q326" s="33" t="n">
        <f>944</f>
        <v>944.0</v>
      </c>
      <c r="R326" s="34" t="s">
        <v>50</v>
      </c>
      <c r="S326" s="35" t="n">
        <f>942.35</f>
        <v>942.35</v>
      </c>
      <c r="T326" s="32" t="n">
        <f>508190</f>
        <v>508190.0</v>
      </c>
      <c r="U326" s="32" t="str">
        <f>"－"</f>
        <v>－</v>
      </c>
      <c r="V326" s="32" t="n">
        <f>479125784</f>
        <v>4.79125784E8</v>
      </c>
      <c r="W326" s="32" t="str">
        <f>"－"</f>
        <v>－</v>
      </c>
      <c r="X326" s="36" t="n">
        <f>20</f>
        <v>20.0</v>
      </c>
    </row>
    <row r="327">
      <c r="A327" s="27" t="s">
        <v>42</v>
      </c>
      <c r="B327" s="27" t="s">
        <v>1031</v>
      </c>
      <c r="C327" s="27" t="s">
        <v>1032</v>
      </c>
      <c r="D327" s="27" t="s">
        <v>1033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1164</f>
        <v>1164.0</v>
      </c>
      <c r="L327" s="34" t="s">
        <v>48</v>
      </c>
      <c r="M327" s="33" t="n">
        <f>1174</f>
        <v>1174.0</v>
      </c>
      <c r="N327" s="34" t="s">
        <v>60</v>
      </c>
      <c r="O327" s="33" t="n">
        <f>1086</f>
        <v>1086.0</v>
      </c>
      <c r="P327" s="34" t="s">
        <v>250</v>
      </c>
      <c r="Q327" s="33" t="n">
        <f>1108</f>
        <v>1108.0</v>
      </c>
      <c r="R327" s="34" t="s">
        <v>50</v>
      </c>
      <c r="S327" s="35" t="n">
        <f>1135.1</f>
        <v>1135.1</v>
      </c>
      <c r="T327" s="32" t="n">
        <f>34074</f>
        <v>34074.0</v>
      </c>
      <c r="U327" s="32" t="str">
        <f>"－"</f>
        <v>－</v>
      </c>
      <c r="V327" s="32" t="n">
        <f>38481377</f>
        <v>3.8481377E7</v>
      </c>
      <c r="W327" s="32" t="str">
        <f>"－"</f>
        <v>－</v>
      </c>
      <c r="X327" s="36" t="n">
        <f>20</f>
        <v>20.0</v>
      </c>
    </row>
    <row r="328">
      <c r="A328" s="27" t="s">
        <v>42</v>
      </c>
      <c r="B328" s="27" t="s">
        <v>1034</v>
      </c>
      <c r="C328" s="27" t="s">
        <v>1035</v>
      </c>
      <c r="D328" s="27" t="s">
        <v>1036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1014</f>
        <v>1014.0</v>
      </c>
      <c r="L328" s="34" t="s">
        <v>48</v>
      </c>
      <c r="M328" s="33" t="n">
        <f>1029</f>
        <v>1029.0</v>
      </c>
      <c r="N328" s="34" t="s">
        <v>60</v>
      </c>
      <c r="O328" s="33" t="n">
        <f>994</f>
        <v>994.0</v>
      </c>
      <c r="P328" s="34" t="s">
        <v>221</v>
      </c>
      <c r="Q328" s="33" t="n">
        <f>1003</f>
        <v>1003.0</v>
      </c>
      <c r="R328" s="34" t="s">
        <v>50</v>
      </c>
      <c r="S328" s="35" t="n">
        <f>1012.5</f>
        <v>1012.5</v>
      </c>
      <c r="T328" s="32" t="n">
        <f>276554</f>
        <v>276554.0</v>
      </c>
      <c r="U328" s="32" t="n">
        <f>156</f>
        <v>156.0</v>
      </c>
      <c r="V328" s="32" t="n">
        <f>279544155</f>
        <v>2.79544155E8</v>
      </c>
      <c r="W328" s="32" t="n">
        <f>153799</f>
        <v>153799.0</v>
      </c>
      <c r="X328" s="36" t="n">
        <f>20</f>
        <v>20.0</v>
      </c>
    </row>
    <row r="329">
      <c r="A329" s="27" t="s">
        <v>42</v>
      </c>
      <c r="B329" s="27" t="s">
        <v>1037</v>
      </c>
      <c r="C329" s="27" t="s">
        <v>1038</v>
      </c>
      <c r="D329" s="27" t="s">
        <v>1039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30970</f>
        <v>30970.0</v>
      </c>
      <c r="L329" s="34" t="s">
        <v>48</v>
      </c>
      <c r="M329" s="33" t="n">
        <f>31060</f>
        <v>31060.0</v>
      </c>
      <c r="N329" s="34" t="s">
        <v>48</v>
      </c>
      <c r="O329" s="33" t="n">
        <f>26975</f>
        <v>26975.0</v>
      </c>
      <c r="P329" s="34" t="s">
        <v>69</v>
      </c>
      <c r="Q329" s="33" t="n">
        <f>27600</f>
        <v>27600.0</v>
      </c>
      <c r="R329" s="34" t="s">
        <v>50</v>
      </c>
      <c r="S329" s="35" t="n">
        <f>29418</f>
        <v>29418.0</v>
      </c>
      <c r="T329" s="32" t="n">
        <f>344823</f>
        <v>344823.0</v>
      </c>
      <c r="U329" s="32" t="str">
        <f>"－"</f>
        <v>－</v>
      </c>
      <c r="V329" s="32" t="n">
        <f>9982334220</f>
        <v>9.98233422E9</v>
      </c>
      <c r="W329" s="32" t="str">
        <f>"－"</f>
        <v>－</v>
      </c>
      <c r="X329" s="36" t="n">
        <f>20</f>
        <v>20.0</v>
      </c>
    </row>
    <row r="330">
      <c r="A330" s="27" t="s">
        <v>42</v>
      </c>
      <c r="B330" s="27" t="s">
        <v>1040</v>
      </c>
      <c r="C330" s="27" t="s">
        <v>1041</v>
      </c>
      <c r="D330" s="27" t="s">
        <v>1042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32570</f>
        <v>32570.0</v>
      </c>
      <c r="L330" s="34" t="s">
        <v>48</v>
      </c>
      <c r="M330" s="33" t="n">
        <f>37020</f>
        <v>37020.0</v>
      </c>
      <c r="N330" s="34" t="s">
        <v>69</v>
      </c>
      <c r="O330" s="33" t="n">
        <f>32490</f>
        <v>32490.0</v>
      </c>
      <c r="P330" s="34" t="s">
        <v>48</v>
      </c>
      <c r="Q330" s="33" t="n">
        <f>36170</f>
        <v>36170.0</v>
      </c>
      <c r="R330" s="34" t="s">
        <v>50</v>
      </c>
      <c r="S330" s="35" t="n">
        <f>34215</f>
        <v>34215.0</v>
      </c>
      <c r="T330" s="32" t="n">
        <f>295587</f>
        <v>295587.0</v>
      </c>
      <c r="U330" s="32" t="n">
        <f>3032</f>
        <v>3032.0</v>
      </c>
      <c r="V330" s="32" t="n">
        <f>10201852362</f>
        <v>1.0201852362E10</v>
      </c>
      <c r="W330" s="32" t="n">
        <f>106920912</f>
        <v>1.06920912E8</v>
      </c>
      <c r="X330" s="36" t="n">
        <f>20</f>
        <v>20.0</v>
      </c>
    </row>
    <row r="331">
      <c r="A331" s="27" t="s">
        <v>42</v>
      </c>
      <c r="B331" s="27" t="s">
        <v>1043</v>
      </c>
      <c r="C331" s="27" t="s">
        <v>1044</v>
      </c>
      <c r="D331" s="27" t="s">
        <v>1045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116600</f>
        <v>116600.0</v>
      </c>
      <c r="L331" s="34" t="s">
        <v>48</v>
      </c>
      <c r="M331" s="33" t="n">
        <f>120900</f>
        <v>120900.0</v>
      </c>
      <c r="N331" s="34" t="s">
        <v>90</v>
      </c>
      <c r="O331" s="33" t="n">
        <f>116500</f>
        <v>116500.0</v>
      </c>
      <c r="P331" s="34" t="s">
        <v>48</v>
      </c>
      <c r="Q331" s="33" t="n">
        <f>118400</f>
        <v>118400.0</v>
      </c>
      <c r="R331" s="34" t="s">
        <v>50</v>
      </c>
      <c r="S331" s="35" t="n">
        <f>119005</f>
        <v>119005.0</v>
      </c>
      <c r="T331" s="32" t="n">
        <f>14354</f>
        <v>14354.0</v>
      </c>
      <c r="U331" s="32" t="n">
        <f>1851</f>
        <v>1851.0</v>
      </c>
      <c r="V331" s="32" t="n">
        <f>1708028498</f>
        <v>1.708028498E9</v>
      </c>
      <c r="W331" s="32" t="n">
        <f>219822498</f>
        <v>2.19822498E8</v>
      </c>
      <c r="X331" s="36" t="n">
        <f>20</f>
        <v>20.0</v>
      </c>
    </row>
    <row r="332">
      <c r="A332" s="27" t="s">
        <v>42</v>
      </c>
      <c r="B332" s="27" t="s">
        <v>1046</v>
      </c>
      <c r="C332" s="27" t="s">
        <v>1047</v>
      </c>
      <c r="D332" s="27" t="s">
        <v>1048</v>
      </c>
      <c r="E332" s="28" t="s">
        <v>46</v>
      </c>
      <c r="F332" s="29" t="s">
        <v>46</v>
      </c>
      <c r="G332" s="30" t="s">
        <v>46</v>
      </c>
      <c r="H332" s="31"/>
      <c r="I332" s="31" t="s">
        <v>548</v>
      </c>
      <c r="J332" s="32" t="n">
        <v>1.0</v>
      </c>
      <c r="K332" s="33" t="n">
        <f>93100</f>
        <v>93100.0</v>
      </c>
      <c r="L332" s="34" t="s">
        <v>48</v>
      </c>
      <c r="M332" s="33" t="n">
        <f>95500</f>
        <v>95500.0</v>
      </c>
      <c r="N332" s="34" t="s">
        <v>60</v>
      </c>
      <c r="O332" s="33" t="n">
        <f>90000</f>
        <v>90000.0</v>
      </c>
      <c r="P332" s="34" t="s">
        <v>50</v>
      </c>
      <c r="Q332" s="33" t="n">
        <f>91500</f>
        <v>91500.0</v>
      </c>
      <c r="R332" s="34" t="s">
        <v>50</v>
      </c>
      <c r="S332" s="35" t="n">
        <f>93620</f>
        <v>93620.0</v>
      </c>
      <c r="T332" s="32" t="n">
        <f>28768</f>
        <v>28768.0</v>
      </c>
      <c r="U332" s="32" t="n">
        <f>6511</f>
        <v>6511.0</v>
      </c>
      <c r="V332" s="32" t="n">
        <f>2688799172</f>
        <v>2.688799172E9</v>
      </c>
      <c r="W332" s="32" t="n">
        <f>607869872</f>
        <v>6.07869872E8</v>
      </c>
      <c r="X332" s="36" t="n">
        <f>20</f>
        <v>20.0</v>
      </c>
    </row>
    <row r="333">
      <c r="A333" s="27" t="s">
        <v>42</v>
      </c>
      <c r="B333" s="27" t="s">
        <v>1049</v>
      </c>
      <c r="C333" s="27" t="s">
        <v>1050</v>
      </c>
      <c r="D333" s="27" t="s">
        <v>1051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128200</f>
        <v>128200.0</v>
      </c>
      <c r="L333" s="34" t="s">
        <v>48</v>
      </c>
      <c r="M333" s="33" t="n">
        <f>131300</f>
        <v>131300.0</v>
      </c>
      <c r="N333" s="34" t="s">
        <v>257</v>
      </c>
      <c r="O333" s="33" t="n">
        <f>122300</f>
        <v>122300.0</v>
      </c>
      <c r="P333" s="34" t="s">
        <v>69</v>
      </c>
      <c r="Q333" s="33" t="n">
        <f>123500</f>
        <v>123500.0</v>
      </c>
      <c r="R333" s="34" t="s">
        <v>50</v>
      </c>
      <c r="S333" s="35" t="n">
        <f>127070</f>
        <v>127070.0</v>
      </c>
      <c r="T333" s="32" t="n">
        <f>47043</f>
        <v>47043.0</v>
      </c>
      <c r="U333" s="32" t="n">
        <f>9024</f>
        <v>9024.0</v>
      </c>
      <c r="V333" s="32" t="n">
        <f>5964504352</f>
        <v>5.964504352E9</v>
      </c>
      <c r="W333" s="32" t="n">
        <f>1145361352</f>
        <v>1.145361352E9</v>
      </c>
      <c r="X333" s="36" t="n">
        <f>20</f>
        <v>20.0</v>
      </c>
    </row>
    <row r="334">
      <c r="A334" s="27" t="s">
        <v>42</v>
      </c>
      <c r="B334" s="27" t="s">
        <v>1052</v>
      </c>
      <c r="C334" s="27" t="s">
        <v>1053</v>
      </c>
      <c r="D334" s="27" t="s">
        <v>1054</v>
      </c>
      <c r="E334" s="28" t="s">
        <v>46</v>
      </c>
      <c r="F334" s="29" t="s">
        <v>46</v>
      </c>
      <c r="G334" s="30" t="s">
        <v>46</v>
      </c>
      <c r="H334" s="31"/>
      <c r="I334" s="31" t="s">
        <v>548</v>
      </c>
      <c r="J334" s="32" t="n">
        <v>1.0</v>
      </c>
      <c r="K334" s="33" t="n">
        <f>122700</f>
        <v>122700.0</v>
      </c>
      <c r="L334" s="34" t="s">
        <v>48</v>
      </c>
      <c r="M334" s="33" t="n">
        <f>127400</f>
        <v>127400.0</v>
      </c>
      <c r="N334" s="34" t="s">
        <v>90</v>
      </c>
      <c r="O334" s="33" t="n">
        <f>122200</f>
        <v>122200.0</v>
      </c>
      <c r="P334" s="34" t="s">
        <v>48</v>
      </c>
      <c r="Q334" s="33" t="n">
        <f>124000</f>
        <v>124000.0</v>
      </c>
      <c r="R334" s="34" t="s">
        <v>50</v>
      </c>
      <c r="S334" s="35" t="n">
        <f>125265</f>
        <v>125265.0</v>
      </c>
      <c r="T334" s="32" t="n">
        <f>19297</f>
        <v>19297.0</v>
      </c>
      <c r="U334" s="32" t="n">
        <f>1588</f>
        <v>1588.0</v>
      </c>
      <c r="V334" s="32" t="n">
        <f>2412907757</f>
        <v>2.412907757E9</v>
      </c>
      <c r="W334" s="32" t="n">
        <f>198612857</f>
        <v>1.98612857E8</v>
      </c>
      <c r="X334" s="36" t="n">
        <f>20</f>
        <v>20.0</v>
      </c>
    </row>
    <row r="335">
      <c r="A335" s="27" t="s">
        <v>42</v>
      </c>
      <c r="B335" s="27" t="s">
        <v>1055</v>
      </c>
      <c r="C335" s="27" t="s">
        <v>1056</v>
      </c>
      <c r="D335" s="27" t="s">
        <v>1057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655000</f>
        <v>655000.0</v>
      </c>
      <c r="L335" s="34" t="s">
        <v>48</v>
      </c>
      <c r="M335" s="33" t="n">
        <f>667000</f>
        <v>667000.0</v>
      </c>
      <c r="N335" s="34" t="s">
        <v>79</v>
      </c>
      <c r="O335" s="33" t="n">
        <f>618000</f>
        <v>618000.0</v>
      </c>
      <c r="P335" s="34" t="s">
        <v>69</v>
      </c>
      <c r="Q335" s="33" t="n">
        <f>631000</f>
        <v>631000.0</v>
      </c>
      <c r="R335" s="34" t="s">
        <v>50</v>
      </c>
      <c r="S335" s="35" t="n">
        <f>641050</f>
        <v>641050.0</v>
      </c>
      <c r="T335" s="32" t="n">
        <f>26224</f>
        <v>26224.0</v>
      </c>
      <c r="U335" s="32" t="n">
        <f>4945</f>
        <v>4945.0</v>
      </c>
      <c r="V335" s="32" t="n">
        <f>16778328789</f>
        <v>1.6778328789E10</v>
      </c>
      <c r="W335" s="32" t="n">
        <f>3164134789</f>
        <v>3.164134789E9</v>
      </c>
      <c r="X335" s="36" t="n">
        <f>20</f>
        <v>20.0</v>
      </c>
    </row>
    <row r="336">
      <c r="A336" s="27" t="s">
        <v>42</v>
      </c>
      <c r="B336" s="27" t="s">
        <v>1058</v>
      </c>
      <c r="C336" s="27" t="s">
        <v>1059</v>
      </c>
      <c r="D336" s="27" t="s">
        <v>1060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146500</f>
        <v>146500.0</v>
      </c>
      <c r="L336" s="34" t="s">
        <v>48</v>
      </c>
      <c r="M336" s="33" t="n">
        <f>148800</f>
        <v>148800.0</v>
      </c>
      <c r="N336" s="34" t="s">
        <v>60</v>
      </c>
      <c r="O336" s="33" t="n">
        <f>140200</f>
        <v>140200.0</v>
      </c>
      <c r="P336" s="34" t="s">
        <v>69</v>
      </c>
      <c r="Q336" s="33" t="n">
        <f>141700</f>
        <v>141700.0</v>
      </c>
      <c r="R336" s="34" t="s">
        <v>50</v>
      </c>
      <c r="S336" s="35" t="n">
        <f>145575</f>
        <v>145575.0</v>
      </c>
      <c r="T336" s="32" t="n">
        <f>83172</f>
        <v>83172.0</v>
      </c>
      <c r="U336" s="32" t="n">
        <f>16324</f>
        <v>16324.0</v>
      </c>
      <c r="V336" s="32" t="n">
        <f>12083891798</f>
        <v>1.2083891798E10</v>
      </c>
      <c r="W336" s="32" t="n">
        <f>2369334598</f>
        <v>2.369334598E9</v>
      </c>
      <c r="X336" s="36" t="n">
        <f>20</f>
        <v>20.0</v>
      </c>
    </row>
    <row r="337">
      <c r="A337" s="27" t="s">
        <v>42</v>
      </c>
      <c r="B337" s="27" t="s">
        <v>1061</v>
      </c>
      <c r="C337" s="27" t="s">
        <v>1062</v>
      </c>
      <c r="D337" s="27" t="s">
        <v>1063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145400</f>
        <v>145400.0</v>
      </c>
      <c r="L337" s="34" t="s">
        <v>48</v>
      </c>
      <c r="M337" s="33" t="n">
        <f>148100</f>
        <v>148100.0</v>
      </c>
      <c r="N337" s="34" t="s">
        <v>257</v>
      </c>
      <c r="O337" s="33" t="n">
        <f>136400</f>
        <v>136400.0</v>
      </c>
      <c r="P337" s="34" t="s">
        <v>69</v>
      </c>
      <c r="Q337" s="33" t="n">
        <f>138200</f>
        <v>138200.0</v>
      </c>
      <c r="R337" s="34" t="s">
        <v>50</v>
      </c>
      <c r="S337" s="35" t="n">
        <f>143065</f>
        <v>143065.0</v>
      </c>
      <c r="T337" s="32" t="n">
        <f>130574</f>
        <v>130574.0</v>
      </c>
      <c r="U337" s="32" t="n">
        <f>24462</f>
        <v>24462.0</v>
      </c>
      <c r="V337" s="32" t="n">
        <f>18640994491</f>
        <v>1.8640994491E10</v>
      </c>
      <c r="W337" s="32" t="n">
        <f>3497835391</f>
        <v>3.497835391E9</v>
      </c>
      <c r="X337" s="36" t="n">
        <f>20</f>
        <v>20.0</v>
      </c>
    </row>
    <row r="338">
      <c r="A338" s="27" t="s">
        <v>42</v>
      </c>
      <c r="B338" s="27" t="s">
        <v>1064</v>
      </c>
      <c r="C338" s="27" t="s">
        <v>1065</v>
      </c>
      <c r="D338" s="27" t="s">
        <v>1066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349000</f>
        <v>349000.0</v>
      </c>
      <c r="L338" s="34" t="s">
        <v>48</v>
      </c>
      <c r="M338" s="33" t="n">
        <f>353500</f>
        <v>353500.0</v>
      </c>
      <c r="N338" s="34" t="s">
        <v>79</v>
      </c>
      <c r="O338" s="33" t="n">
        <f>329500</f>
        <v>329500.0</v>
      </c>
      <c r="P338" s="34" t="s">
        <v>69</v>
      </c>
      <c r="Q338" s="33" t="n">
        <f>339000</f>
        <v>339000.0</v>
      </c>
      <c r="R338" s="34" t="s">
        <v>50</v>
      </c>
      <c r="S338" s="35" t="n">
        <f>339400</f>
        <v>339400.0</v>
      </c>
      <c r="T338" s="32" t="n">
        <f>135113</f>
        <v>135113.0</v>
      </c>
      <c r="U338" s="32" t="n">
        <f>33929</f>
        <v>33929.0</v>
      </c>
      <c r="V338" s="32" t="n">
        <f>45549086159</f>
        <v>4.5549086159E10</v>
      </c>
      <c r="W338" s="32" t="n">
        <f>11430671659</f>
        <v>1.1430671659E10</v>
      </c>
      <c r="X338" s="36" t="n">
        <f>20</f>
        <v>20.0</v>
      </c>
    </row>
    <row r="339">
      <c r="A339" s="27" t="s">
        <v>42</v>
      </c>
      <c r="B339" s="27" t="s">
        <v>1067</v>
      </c>
      <c r="C339" s="27" t="s">
        <v>1068</v>
      </c>
      <c r="D339" s="27" t="s">
        <v>1069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226400</f>
        <v>226400.0</v>
      </c>
      <c r="L339" s="34" t="s">
        <v>48</v>
      </c>
      <c r="M339" s="33" t="n">
        <f>231400</f>
        <v>231400.0</v>
      </c>
      <c r="N339" s="34" t="s">
        <v>60</v>
      </c>
      <c r="O339" s="33" t="n">
        <f>219500</f>
        <v>219500.0</v>
      </c>
      <c r="P339" s="34" t="s">
        <v>221</v>
      </c>
      <c r="Q339" s="33" t="n">
        <f>228300</f>
        <v>228300.0</v>
      </c>
      <c r="R339" s="34" t="s">
        <v>50</v>
      </c>
      <c r="S339" s="35" t="n">
        <f>226060</f>
        <v>226060.0</v>
      </c>
      <c r="T339" s="32" t="n">
        <f>76781</f>
        <v>76781.0</v>
      </c>
      <c r="U339" s="32" t="n">
        <f>11459</f>
        <v>11459.0</v>
      </c>
      <c r="V339" s="32" t="n">
        <f>17343592881</f>
        <v>1.7343592881E10</v>
      </c>
      <c r="W339" s="32" t="n">
        <f>2589622581</f>
        <v>2.589622581E9</v>
      </c>
      <c r="X339" s="36" t="n">
        <f>20</f>
        <v>20.0</v>
      </c>
    </row>
    <row r="340">
      <c r="A340" s="27" t="s">
        <v>42</v>
      </c>
      <c r="B340" s="27" t="s">
        <v>1070</v>
      </c>
      <c r="C340" s="27" t="s">
        <v>1071</v>
      </c>
      <c r="D340" s="27" t="s">
        <v>1072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409500</f>
        <v>409500.0</v>
      </c>
      <c r="L340" s="34" t="s">
        <v>48</v>
      </c>
      <c r="M340" s="33" t="n">
        <f>418000</f>
        <v>418000.0</v>
      </c>
      <c r="N340" s="34" t="s">
        <v>60</v>
      </c>
      <c r="O340" s="33" t="n">
        <f>407500</f>
        <v>407500.0</v>
      </c>
      <c r="P340" s="34" t="s">
        <v>609</v>
      </c>
      <c r="Q340" s="33" t="n">
        <f>412500</f>
        <v>412500.0</v>
      </c>
      <c r="R340" s="34" t="s">
        <v>50</v>
      </c>
      <c r="S340" s="35" t="n">
        <f>413300</f>
        <v>413300.0</v>
      </c>
      <c r="T340" s="32" t="n">
        <f>33526</f>
        <v>33526.0</v>
      </c>
      <c r="U340" s="32" t="n">
        <f>8088</f>
        <v>8088.0</v>
      </c>
      <c r="V340" s="32" t="n">
        <f>13843293343</f>
        <v>1.3843293343E10</v>
      </c>
      <c r="W340" s="32" t="n">
        <f>3338108343</f>
        <v>3.338108343E9</v>
      </c>
      <c r="X340" s="36" t="n">
        <f>20</f>
        <v>20.0</v>
      </c>
    </row>
    <row r="341">
      <c r="A341" s="27" t="s">
        <v>42</v>
      </c>
      <c r="B341" s="27" t="s">
        <v>1073</v>
      </c>
      <c r="C341" s="27" t="s">
        <v>1074</v>
      </c>
      <c r="D341" s="27" t="s">
        <v>1075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136800</f>
        <v>136800.0</v>
      </c>
      <c r="L341" s="34" t="s">
        <v>48</v>
      </c>
      <c r="M341" s="33" t="n">
        <f>140200</f>
        <v>140200.0</v>
      </c>
      <c r="N341" s="34" t="s">
        <v>220</v>
      </c>
      <c r="O341" s="33" t="n">
        <f>133100</f>
        <v>133100.0</v>
      </c>
      <c r="P341" s="34" t="s">
        <v>69</v>
      </c>
      <c r="Q341" s="33" t="n">
        <f>133700</f>
        <v>133700.0</v>
      </c>
      <c r="R341" s="34" t="s">
        <v>50</v>
      </c>
      <c r="S341" s="35" t="n">
        <f>136805</f>
        <v>136805.0</v>
      </c>
      <c r="T341" s="32" t="n">
        <f>298468</f>
        <v>298468.0</v>
      </c>
      <c r="U341" s="32" t="n">
        <f>61132</f>
        <v>61132.0</v>
      </c>
      <c r="V341" s="32" t="n">
        <f>40830696063</f>
        <v>4.0830696063E10</v>
      </c>
      <c r="W341" s="32" t="n">
        <f>8351611763</f>
        <v>8.351611763E9</v>
      </c>
      <c r="X341" s="36" t="n">
        <f>20</f>
        <v>20.0</v>
      </c>
    </row>
    <row r="342">
      <c r="A342" s="27" t="s">
        <v>42</v>
      </c>
      <c r="B342" s="27" t="s">
        <v>1076</v>
      </c>
      <c r="C342" s="27" t="s">
        <v>1077</v>
      </c>
      <c r="D342" s="27" t="s">
        <v>1078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338500</f>
        <v>338500.0</v>
      </c>
      <c r="L342" s="34" t="s">
        <v>48</v>
      </c>
      <c r="M342" s="33" t="n">
        <f>344500</f>
        <v>344500.0</v>
      </c>
      <c r="N342" s="34" t="s">
        <v>257</v>
      </c>
      <c r="O342" s="33" t="n">
        <f>325000</f>
        <v>325000.0</v>
      </c>
      <c r="P342" s="34" t="s">
        <v>49</v>
      </c>
      <c r="Q342" s="33" t="n">
        <f>331500</f>
        <v>331500.0</v>
      </c>
      <c r="R342" s="34" t="s">
        <v>50</v>
      </c>
      <c r="S342" s="35" t="n">
        <f>333050</f>
        <v>333050.0</v>
      </c>
      <c r="T342" s="32" t="n">
        <f>40622</f>
        <v>40622.0</v>
      </c>
      <c r="U342" s="32" t="n">
        <f>8432</f>
        <v>8432.0</v>
      </c>
      <c r="V342" s="32" t="n">
        <f>13520422465</f>
        <v>1.3520422465E10</v>
      </c>
      <c r="W342" s="32" t="n">
        <f>2799776465</f>
        <v>2.799776465E9</v>
      </c>
      <c r="X342" s="36" t="n">
        <f>20</f>
        <v>20.0</v>
      </c>
    </row>
    <row r="343">
      <c r="A343" s="27" t="s">
        <v>42</v>
      </c>
      <c r="B343" s="27" t="s">
        <v>1079</v>
      </c>
      <c r="C343" s="27" t="s">
        <v>1080</v>
      </c>
      <c r="D343" s="27" t="s">
        <v>1081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291100</f>
        <v>291100.0</v>
      </c>
      <c r="L343" s="34" t="s">
        <v>48</v>
      </c>
      <c r="M343" s="33" t="n">
        <f>299000</f>
        <v>299000.0</v>
      </c>
      <c r="N343" s="34" t="s">
        <v>60</v>
      </c>
      <c r="O343" s="33" t="n">
        <f>271600</f>
        <v>271600.0</v>
      </c>
      <c r="P343" s="34" t="s">
        <v>90</v>
      </c>
      <c r="Q343" s="33" t="n">
        <f>279200</f>
        <v>279200.0</v>
      </c>
      <c r="R343" s="34" t="s">
        <v>50</v>
      </c>
      <c r="S343" s="35" t="n">
        <f>282310</f>
        <v>282310.0</v>
      </c>
      <c r="T343" s="32" t="n">
        <f>153935</f>
        <v>153935.0</v>
      </c>
      <c r="U343" s="32" t="n">
        <f>28498</f>
        <v>28498.0</v>
      </c>
      <c r="V343" s="32" t="n">
        <f>43348015341</f>
        <v>4.3348015341E10</v>
      </c>
      <c r="W343" s="32" t="n">
        <f>8004442541</f>
        <v>8.004442541E9</v>
      </c>
      <c r="X343" s="36" t="n">
        <f>20</f>
        <v>20.0</v>
      </c>
    </row>
    <row r="344">
      <c r="A344" s="27" t="s">
        <v>42</v>
      </c>
      <c r="B344" s="27" t="s">
        <v>1082</v>
      </c>
      <c r="C344" s="27" t="s">
        <v>1083</v>
      </c>
      <c r="D344" s="27" t="s">
        <v>1084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626000</f>
        <v>626000.0</v>
      </c>
      <c r="L344" s="34" t="s">
        <v>48</v>
      </c>
      <c r="M344" s="33" t="n">
        <f>655000</f>
        <v>655000.0</v>
      </c>
      <c r="N344" s="34" t="s">
        <v>50</v>
      </c>
      <c r="O344" s="33" t="n">
        <f>623000</f>
        <v>623000.0</v>
      </c>
      <c r="P344" s="34" t="s">
        <v>48</v>
      </c>
      <c r="Q344" s="33" t="n">
        <f>655000</f>
        <v>655000.0</v>
      </c>
      <c r="R344" s="34" t="s">
        <v>50</v>
      </c>
      <c r="S344" s="35" t="n">
        <f>642750</f>
        <v>642750.0</v>
      </c>
      <c r="T344" s="32" t="n">
        <f>21639</f>
        <v>21639.0</v>
      </c>
      <c r="U344" s="32" t="n">
        <f>4214</f>
        <v>4214.0</v>
      </c>
      <c r="V344" s="32" t="n">
        <f>13913519068</f>
        <v>1.3913519068E10</v>
      </c>
      <c r="W344" s="32" t="n">
        <f>2705722068</f>
        <v>2.705722068E9</v>
      </c>
      <c r="X344" s="36" t="n">
        <f>20</f>
        <v>20.0</v>
      </c>
    </row>
    <row r="345">
      <c r="A345" s="27" t="s">
        <v>42</v>
      </c>
      <c r="B345" s="27" t="s">
        <v>1085</v>
      </c>
      <c r="C345" s="27" t="s">
        <v>1086</v>
      </c>
      <c r="D345" s="27" t="s">
        <v>1087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255000</f>
        <v>255000.0</v>
      </c>
      <c r="L345" s="34" t="s">
        <v>48</v>
      </c>
      <c r="M345" s="33" t="n">
        <f>265400</f>
        <v>265400.0</v>
      </c>
      <c r="N345" s="34" t="s">
        <v>67</v>
      </c>
      <c r="O345" s="33" t="n">
        <f>253900</f>
        <v>253900.0</v>
      </c>
      <c r="P345" s="34" t="s">
        <v>48</v>
      </c>
      <c r="Q345" s="33" t="n">
        <f>259200</f>
        <v>259200.0</v>
      </c>
      <c r="R345" s="34" t="s">
        <v>50</v>
      </c>
      <c r="S345" s="35" t="n">
        <f>261130</f>
        <v>261130.0</v>
      </c>
      <c r="T345" s="32" t="n">
        <f>15639</f>
        <v>15639.0</v>
      </c>
      <c r="U345" s="32" t="n">
        <f>2262</f>
        <v>2262.0</v>
      </c>
      <c r="V345" s="32" t="n">
        <f>4072191911</f>
        <v>4.072191911E9</v>
      </c>
      <c r="W345" s="32" t="n">
        <f>588696411</f>
        <v>5.88696411E8</v>
      </c>
      <c r="X345" s="36" t="n">
        <f>20</f>
        <v>20.0</v>
      </c>
    </row>
    <row r="346">
      <c r="A346" s="27" t="s">
        <v>42</v>
      </c>
      <c r="B346" s="27" t="s">
        <v>1088</v>
      </c>
      <c r="C346" s="27" t="s">
        <v>1089</v>
      </c>
      <c r="D346" s="27" t="s">
        <v>1090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147300</f>
        <v>147300.0</v>
      </c>
      <c r="L346" s="34" t="s">
        <v>48</v>
      </c>
      <c r="M346" s="33" t="n">
        <f>149800</f>
        <v>149800.0</v>
      </c>
      <c r="N346" s="34" t="s">
        <v>60</v>
      </c>
      <c r="O346" s="33" t="n">
        <f>145600</f>
        <v>145600.0</v>
      </c>
      <c r="P346" s="34" t="s">
        <v>69</v>
      </c>
      <c r="Q346" s="33" t="n">
        <f>146500</f>
        <v>146500.0</v>
      </c>
      <c r="R346" s="34" t="s">
        <v>50</v>
      </c>
      <c r="S346" s="35" t="n">
        <f>147515</f>
        <v>147515.0</v>
      </c>
      <c r="T346" s="32" t="n">
        <f>79636</f>
        <v>79636.0</v>
      </c>
      <c r="U346" s="32" t="n">
        <f>16774</f>
        <v>16774.0</v>
      </c>
      <c r="V346" s="32" t="n">
        <f>11741533770</f>
        <v>1.174153377E10</v>
      </c>
      <c r="W346" s="32" t="n">
        <f>2471494770</f>
        <v>2.47149477E9</v>
      </c>
      <c r="X346" s="36" t="n">
        <f>20</f>
        <v>20.0</v>
      </c>
    </row>
    <row r="347">
      <c r="A347" s="27" t="s">
        <v>42</v>
      </c>
      <c r="B347" s="27" t="s">
        <v>1091</v>
      </c>
      <c r="C347" s="27" t="s">
        <v>1092</v>
      </c>
      <c r="D347" s="27" t="s">
        <v>1093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162500</f>
        <v>162500.0</v>
      </c>
      <c r="L347" s="34" t="s">
        <v>48</v>
      </c>
      <c r="M347" s="33" t="n">
        <f>165000</f>
        <v>165000.0</v>
      </c>
      <c r="N347" s="34" t="s">
        <v>79</v>
      </c>
      <c r="O347" s="33" t="n">
        <f>157800</f>
        <v>157800.0</v>
      </c>
      <c r="P347" s="34" t="s">
        <v>69</v>
      </c>
      <c r="Q347" s="33" t="n">
        <f>159400</f>
        <v>159400.0</v>
      </c>
      <c r="R347" s="34" t="s">
        <v>50</v>
      </c>
      <c r="S347" s="35" t="n">
        <f>162395</f>
        <v>162395.0</v>
      </c>
      <c r="T347" s="32" t="n">
        <f>77910</f>
        <v>77910.0</v>
      </c>
      <c r="U347" s="32" t="n">
        <f>16522</f>
        <v>16522.0</v>
      </c>
      <c r="V347" s="32" t="n">
        <f>12637923596</f>
        <v>1.2637923596E10</v>
      </c>
      <c r="W347" s="32" t="n">
        <f>2680921896</f>
        <v>2.680921896E9</v>
      </c>
      <c r="X347" s="36" t="n">
        <f>20</f>
        <v>20.0</v>
      </c>
    </row>
    <row r="348">
      <c r="A348" s="27" t="s">
        <v>42</v>
      </c>
      <c r="B348" s="27" t="s">
        <v>1094</v>
      </c>
      <c r="C348" s="27" t="s">
        <v>1095</v>
      </c>
      <c r="D348" s="27" t="s">
        <v>1096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349500</f>
        <v>349500.0</v>
      </c>
      <c r="L348" s="34" t="s">
        <v>48</v>
      </c>
      <c r="M348" s="33" t="n">
        <f>362500</f>
        <v>362500.0</v>
      </c>
      <c r="N348" s="34" t="s">
        <v>250</v>
      </c>
      <c r="O348" s="33" t="n">
        <f>348000</f>
        <v>348000.0</v>
      </c>
      <c r="P348" s="34" t="s">
        <v>68</v>
      </c>
      <c r="Q348" s="33" t="n">
        <f>357000</f>
        <v>357000.0</v>
      </c>
      <c r="R348" s="34" t="s">
        <v>50</v>
      </c>
      <c r="S348" s="35" t="n">
        <f>355025</f>
        <v>355025.0</v>
      </c>
      <c r="T348" s="32" t="n">
        <f>28024</f>
        <v>28024.0</v>
      </c>
      <c r="U348" s="32" t="n">
        <f>5583</f>
        <v>5583.0</v>
      </c>
      <c r="V348" s="32" t="n">
        <f>9956509499</f>
        <v>9.956509499E9</v>
      </c>
      <c r="W348" s="32" t="n">
        <f>1983337999</f>
        <v>1.983337999E9</v>
      </c>
      <c r="X348" s="36" t="n">
        <f>20</f>
        <v>20.0</v>
      </c>
    </row>
    <row r="349">
      <c r="A349" s="27" t="s">
        <v>42</v>
      </c>
      <c r="B349" s="27" t="s">
        <v>1097</v>
      </c>
      <c r="C349" s="27" t="s">
        <v>1098</v>
      </c>
      <c r="D349" s="27" t="s">
        <v>1099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83700</f>
        <v>83700.0</v>
      </c>
      <c r="L349" s="34" t="s">
        <v>48</v>
      </c>
      <c r="M349" s="33" t="n">
        <f>85800</f>
        <v>85800.0</v>
      </c>
      <c r="N349" s="34" t="s">
        <v>68</v>
      </c>
      <c r="O349" s="33" t="n">
        <f>82500</f>
        <v>82500.0</v>
      </c>
      <c r="P349" s="34" t="s">
        <v>69</v>
      </c>
      <c r="Q349" s="33" t="n">
        <f>83300</f>
        <v>83300.0</v>
      </c>
      <c r="R349" s="34" t="s">
        <v>50</v>
      </c>
      <c r="S349" s="35" t="n">
        <f>84285</f>
        <v>84285.0</v>
      </c>
      <c r="T349" s="32" t="n">
        <f>209754</f>
        <v>209754.0</v>
      </c>
      <c r="U349" s="32" t="n">
        <f>54496</f>
        <v>54496.0</v>
      </c>
      <c r="V349" s="32" t="n">
        <f>17657252179</f>
        <v>1.7657252179E10</v>
      </c>
      <c r="W349" s="32" t="n">
        <f>4585262079</f>
        <v>4.585262079E9</v>
      </c>
      <c r="X349" s="36" t="n">
        <f>20</f>
        <v>20.0</v>
      </c>
    </row>
    <row r="350">
      <c r="A350" s="27" t="s">
        <v>42</v>
      </c>
      <c r="B350" s="27" t="s">
        <v>1100</v>
      </c>
      <c r="C350" s="27" t="s">
        <v>1101</v>
      </c>
      <c r="D350" s="27" t="s">
        <v>1102</v>
      </c>
      <c r="E350" s="28" t="s">
        <v>46</v>
      </c>
      <c r="F350" s="29" t="s">
        <v>46</v>
      </c>
      <c r="G350" s="30" t="s">
        <v>46</v>
      </c>
      <c r="H350" s="31"/>
      <c r="I350" s="31" t="s">
        <v>548</v>
      </c>
      <c r="J350" s="32" t="n">
        <v>1.0</v>
      </c>
      <c r="K350" s="33" t="n">
        <f>140800</f>
        <v>140800.0</v>
      </c>
      <c r="L350" s="34" t="s">
        <v>48</v>
      </c>
      <c r="M350" s="33" t="n">
        <f>141800</f>
        <v>141800.0</v>
      </c>
      <c r="N350" s="34" t="s">
        <v>264</v>
      </c>
      <c r="O350" s="33" t="n">
        <f>139300</f>
        <v>139300.0</v>
      </c>
      <c r="P350" s="34" t="s">
        <v>68</v>
      </c>
      <c r="Q350" s="33" t="n">
        <f>140700</f>
        <v>140700.0</v>
      </c>
      <c r="R350" s="34" t="s">
        <v>50</v>
      </c>
      <c r="S350" s="35" t="n">
        <f>140665</f>
        <v>140665.0</v>
      </c>
      <c r="T350" s="32" t="n">
        <f>18203</f>
        <v>18203.0</v>
      </c>
      <c r="U350" s="32" t="n">
        <f>3329</f>
        <v>3329.0</v>
      </c>
      <c r="V350" s="32" t="n">
        <f>2563055485</f>
        <v>2.563055485E9</v>
      </c>
      <c r="W350" s="32" t="n">
        <f>469419185</f>
        <v>4.69419185E8</v>
      </c>
      <c r="X350" s="36" t="n">
        <f>20</f>
        <v>20.0</v>
      </c>
    </row>
    <row r="351">
      <c r="A351" s="27" t="s">
        <v>42</v>
      </c>
      <c r="B351" s="27" t="s">
        <v>1103</v>
      </c>
      <c r="C351" s="27" t="s">
        <v>1104</v>
      </c>
      <c r="D351" s="27" t="s">
        <v>1105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288800</f>
        <v>288800.0</v>
      </c>
      <c r="L351" s="34" t="s">
        <v>48</v>
      </c>
      <c r="M351" s="33" t="n">
        <f>294900</f>
        <v>294900.0</v>
      </c>
      <c r="N351" s="34" t="s">
        <v>60</v>
      </c>
      <c r="O351" s="33" t="n">
        <f>281100</f>
        <v>281100.0</v>
      </c>
      <c r="P351" s="34" t="s">
        <v>221</v>
      </c>
      <c r="Q351" s="33" t="n">
        <f>289100</f>
        <v>289100.0</v>
      </c>
      <c r="R351" s="34" t="s">
        <v>50</v>
      </c>
      <c r="S351" s="35" t="n">
        <f>288280</f>
        <v>288280.0</v>
      </c>
      <c r="T351" s="32" t="n">
        <f>43653</f>
        <v>43653.0</v>
      </c>
      <c r="U351" s="32" t="n">
        <f>6586</f>
        <v>6586.0</v>
      </c>
      <c r="V351" s="32" t="n">
        <f>12589197938</f>
        <v>1.2589197938E10</v>
      </c>
      <c r="W351" s="32" t="n">
        <f>1899702638</f>
        <v>1.899702638E9</v>
      </c>
      <c r="X351" s="36" t="n">
        <f>20</f>
        <v>20.0</v>
      </c>
    </row>
    <row r="352">
      <c r="A352" s="27" t="s">
        <v>42</v>
      </c>
      <c r="B352" s="27" t="s">
        <v>1106</v>
      </c>
      <c r="C352" s="27" t="s">
        <v>1107</v>
      </c>
      <c r="D352" s="27" t="s">
        <v>1108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148300</f>
        <v>148300.0</v>
      </c>
      <c r="L352" s="34" t="s">
        <v>48</v>
      </c>
      <c r="M352" s="33" t="n">
        <f>155100</f>
        <v>155100.0</v>
      </c>
      <c r="N352" s="34" t="s">
        <v>246</v>
      </c>
      <c r="O352" s="33" t="n">
        <f>145300</f>
        <v>145300.0</v>
      </c>
      <c r="P352" s="34" t="s">
        <v>50</v>
      </c>
      <c r="Q352" s="33" t="n">
        <f>145700</f>
        <v>145700.0</v>
      </c>
      <c r="R352" s="34" t="s">
        <v>50</v>
      </c>
      <c r="S352" s="35" t="n">
        <f>150135</f>
        <v>150135.0</v>
      </c>
      <c r="T352" s="32" t="n">
        <f>17920</f>
        <v>17920.0</v>
      </c>
      <c r="U352" s="32" t="n">
        <f>3792</f>
        <v>3792.0</v>
      </c>
      <c r="V352" s="32" t="n">
        <f>2693622918</f>
        <v>2.693622918E9</v>
      </c>
      <c r="W352" s="32" t="n">
        <f>569011018</f>
        <v>5.69011018E8</v>
      </c>
      <c r="X352" s="36" t="n">
        <f>20</f>
        <v>20.0</v>
      </c>
    </row>
    <row r="353">
      <c r="A353" s="27" t="s">
        <v>42</v>
      </c>
      <c r="B353" s="27" t="s">
        <v>1109</v>
      </c>
      <c r="C353" s="27" t="s">
        <v>1110</v>
      </c>
      <c r="D353" s="27" t="s">
        <v>1111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115400</f>
        <v>115400.0</v>
      </c>
      <c r="L353" s="34" t="s">
        <v>48</v>
      </c>
      <c r="M353" s="33" t="n">
        <f>117600</f>
        <v>117600.0</v>
      </c>
      <c r="N353" s="34" t="s">
        <v>67</v>
      </c>
      <c r="O353" s="33" t="n">
        <f>113300</f>
        <v>113300.0</v>
      </c>
      <c r="P353" s="34" t="s">
        <v>69</v>
      </c>
      <c r="Q353" s="33" t="n">
        <f>115300</f>
        <v>115300.0</v>
      </c>
      <c r="R353" s="34" t="s">
        <v>50</v>
      </c>
      <c r="S353" s="35" t="n">
        <f>115695</f>
        <v>115695.0</v>
      </c>
      <c r="T353" s="32" t="n">
        <f>17905</f>
        <v>17905.0</v>
      </c>
      <c r="U353" s="32" t="n">
        <f>2744</f>
        <v>2744.0</v>
      </c>
      <c r="V353" s="32" t="n">
        <f>2068954143</f>
        <v>2.068954143E9</v>
      </c>
      <c r="W353" s="32" t="n">
        <f>316356643</f>
        <v>3.16356643E8</v>
      </c>
      <c r="X353" s="36" t="n">
        <f>20</f>
        <v>20.0</v>
      </c>
    </row>
    <row r="354">
      <c r="A354" s="27" t="s">
        <v>42</v>
      </c>
      <c r="B354" s="27" t="s">
        <v>1112</v>
      </c>
      <c r="C354" s="27" t="s">
        <v>1113</v>
      </c>
      <c r="D354" s="27" t="s">
        <v>1114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170400</f>
        <v>170400.0</v>
      </c>
      <c r="L354" s="34" t="s">
        <v>48</v>
      </c>
      <c r="M354" s="33" t="n">
        <f>174000</f>
        <v>174000.0</v>
      </c>
      <c r="N354" s="34" t="s">
        <v>257</v>
      </c>
      <c r="O354" s="33" t="n">
        <f>164100</f>
        <v>164100.0</v>
      </c>
      <c r="P354" s="34" t="s">
        <v>69</v>
      </c>
      <c r="Q354" s="33" t="n">
        <f>167400</f>
        <v>167400.0</v>
      </c>
      <c r="R354" s="34" t="s">
        <v>50</v>
      </c>
      <c r="S354" s="35" t="n">
        <f>170120</f>
        <v>170120.0</v>
      </c>
      <c r="T354" s="32" t="n">
        <f>266640</f>
        <v>266640.0</v>
      </c>
      <c r="U354" s="32" t="n">
        <f>59518</f>
        <v>59518.0</v>
      </c>
      <c r="V354" s="32" t="n">
        <f>45260650659</f>
        <v>4.5260650659E10</v>
      </c>
      <c r="W354" s="32" t="n">
        <f>10081259259</f>
        <v>1.0081259259E10</v>
      </c>
      <c r="X354" s="36" t="n">
        <f>20</f>
        <v>20.0</v>
      </c>
    </row>
    <row r="355">
      <c r="A355" s="27" t="s">
        <v>42</v>
      </c>
      <c r="B355" s="27" t="s">
        <v>1115</v>
      </c>
      <c r="C355" s="27" t="s">
        <v>1116</v>
      </c>
      <c r="D355" s="27" t="s">
        <v>1117</v>
      </c>
      <c r="E355" s="28" t="s">
        <v>46</v>
      </c>
      <c r="F355" s="29" t="s">
        <v>46</v>
      </c>
      <c r="G355" s="30" t="s">
        <v>46</v>
      </c>
      <c r="H355" s="31"/>
      <c r="I355" s="31" t="s">
        <v>548</v>
      </c>
      <c r="J355" s="32" t="n">
        <v>1.0</v>
      </c>
      <c r="K355" s="33" t="n">
        <f>114100</f>
        <v>114100.0</v>
      </c>
      <c r="L355" s="34" t="s">
        <v>48</v>
      </c>
      <c r="M355" s="33" t="n">
        <f>119200</f>
        <v>119200.0</v>
      </c>
      <c r="N355" s="34" t="s">
        <v>264</v>
      </c>
      <c r="O355" s="33" t="n">
        <f>112400</f>
        <v>112400.0</v>
      </c>
      <c r="P355" s="34" t="s">
        <v>49</v>
      </c>
      <c r="Q355" s="33" t="n">
        <f>116200</f>
        <v>116200.0</v>
      </c>
      <c r="R355" s="34" t="s">
        <v>50</v>
      </c>
      <c r="S355" s="35" t="n">
        <f>116165</f>
        <v>116165.0</v>
      </c>
      <c r="T355" s="32" t="n">
        <f>25719</f>
        <v>25719.0</v>
      </c>
      <c r="U355" s="32" t="n">
        <f>2558</f>
        <v>2558.0</v>
      </c>
      <c r="V355" s="32" t="n">
        <f>2997869901</f>
        <v>2.997869901E9</v>
      </c>
      <c r="W355" s="32" t="n">
        <f>297065301</f>
        <v>2.97065301E8</v>
      </c>
      <c r="X355" s="36" t="n">
        <f>20</f>
        <v>20.0</v>
      </c>
    </row>
    <row r="356">
      <c r="A356" s="27" t="s">
        <v>42</v>
      </c>
      <c r="B356" s="27" t="s">
        <v>1118</v>
      </c>
      <c r="C356" s="27" t="s">
        <v>1119</v>
      </c>
      <c r="D356" s="27" t="s">
        <v>1120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148500</f>
        <v>148500.0</v>
      </c>
      <c r="L356" s="34" t="s">
        <v>48</v>
      </c>
      <c r="M356" s="33" t="n">
        <f>150000</f>
        <v>150000.0</v>
      </c>
      <c r="N356" s="34" t="s">
        <v>79</v>
      </c>
      <c r="O356" s="33" t="n">
        <f>142100</f>
        <v>142100.0</v>
      </c>
      <c r="P356" s="34" t="s">
        <v>50</v>
      </c>
      <c r="Q356" s="33" t="n">
        <f>143400</f>
        <v>143400.0</v>
      </c>
      <c r="R356" s="34" t="s">
        <v>50</v>
      </c>
      <c r="S356" s="35" t="n">
        <f>146060</f>
        <v>146060.0</v>
      </c>
      <c r="T356" s="32" t="n">
        <f>154699</f>
        <v>154699.0</v>
      </c>
      <c r="U356" s="32" t="n">
        <f>57632</f>
        <v>57632.0</v>
      </c>
      <c r="V356" s="32" t="n">
        <f>22697967710</f>
        <v>2.269796771E10</v>
      </c>
      <c r="W356" s="32" t="n">
        <f>8509952610</f>
        <v>8.50995261E9</v>
      </c>
      <c r="X356" s="36" t="n">
        <f>20</f>
        <v>20.0</v>
      </c>
    </row>
    <row r="357">
      <c r="A357" s="27" t="s">
        <v>42</v>
      </c>
      <c r="B357" s="27" t="s">
        <v>1121</v>
      </c>
      <c r="C357" s="27" t="s">
        <v>1122</v>
      </c>
      <c r="D357" s="27" t="s">
        <v>1123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57700</f>
        <v>57700.0</v>
      </c>
      <c r="L357" s="34" t="s">
        <v>48</v>
      </c>
      <c r="M357" s="33" t="n">
        <f>59000</f>
        <v>59000.0</v>
      </c>
      <c r="N357" s="34" t="s">
        <v>90</v>
      </c>
      <c r="O357" s="33" t="n">
        <f>56100</f>
        <v>56100.0</v>
      </c>
      <c r="P357" s="34" t="s">
        <v>467</v>
      </c>
      <c r="Q357" s="33" t="n">
        <f>57900</f>
        <v>57900.0</v>
      </c>
      <c r="R357" s="34" t="s">
        <v>50</v>
      </c>
      <c r="S357" s="35" t="n">
        <f>57690</f>
        <v>57690.0</v>
      </c>
      <c r="T357" s="32" t="n">
        <f>249071</f>
        <v>249071.0</v>
      </c>
      <c r="U357" s="32" t="n">
        <f>51600</f>
        <v>51600.0</v>
      </c>
      <c r="V357" s="32" t="n">
        <f>14372537595</f>
        <v>1.4372537595E10</v>
      </c>
      <c r="W357" s="32" t="n">
        <f>2983637795</f>
        <v>2.983637795E9</v>
      </c>
      <c r="X357" s="36" t="n">
        <f>20</f>
        <v>20.0</v>
      </c>
    </row>
    <row r="358">
      <c r="A358" s="27" t="s">
        <v>42</v>
      </c>
      <c r="B358" s="27" t="s">
        <v>1124</v>
      </c>
      <c r="C358" s="27" t="s">
        <v>1125</v>
      </c>
      <c r="D358" s="27" t="s">
        <v>1126</v>
      </c>
      <c r="E358" s="28" t="s">
        <v>46</v>
      </c>
      <c r="F358" s="29" t="s">
        <v>46</v>
      </c>
      <c r="G358" s="30" t="s">
        <v>46</v>
      </c>
      <c r="H358" s="31"/>
      <c r="I358" s="31" t="s">
        <v>548</v>
      </c>
      <c r="J358" s="32" t="n">
        <v>1.0</v>
      </c>
      <c r="K358" s="33" t="n">
        <f>127300</f>
        <v>127300.0</v>
      </c>
      <c r="L358" s="34" t="s">
        <v>48</v>
      </c>
      <c r="M358" s="33" t="n">
        <f>128400</f>
        <v>128400.0</v>
      </c>
      <c r="N358" s="34" t="s">
        <v>68</v>
      </c>
      <c r="O358" s="33" t="n">
        <f>125400</f>
        <v>125400.0</v>
      </c>
      <c r="P358" s="34" t="s">
        <v>50</v>
      </c>
      <c r="Q358" s="33" t="n">
        <f>125900</f>
        <v>125900.0</v>
      </c>
      <c r="R358" s="34" t="s">
        <v>50</v>
      </c>
      <c r="S358" s="35" t="n">
        <f>126755</f>
        <v>126755.0</v>
      </c>
      <c r="T358" s="32" t="n">
        <f>13419</f>
        <v>13419.0</v>
      </c>
      <c r="U358" s="32" t="n">
        <f>1576</f>
        <v>1576.0</v>
      </c>
      <c r="V358" s="32" t="n">
        <f>1699892489</f>
        <v>1.699892489E9</v>
      </c>
      <c r="W358" s="32" t="n">
        <f>199416289</f>
        <v>1.99416289E8</v>
      </c>
      <c r="X358" s="36" t="n">
        <f>20</f>
        <v>20.0</v>
      </c>
    </row>
    <row r="359">
      <c r="A359" s="27" t="s">
        <v>42</v>
      </c>
      <c r="B359" s="27" t="s">
        <v>1127</v>
      </c>
      <c r="C359" s="27" t="s">
        <v>1128</v>
      </c>
      <c r="D359" s="27" t="s">
        <v>1129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493500</f>
        <v>493500.0</v>
      </c>
      <c r="L359" s="34" t="s">
        <v>48</v>
      </c>
      <c r="M359" s="33" t="n">
        <f>505000</f>
        <v>505000.0</v>
      </c>
      <c r="N359" s="34" t="s">
        <v>60</v>
      </c>
      <c r="O359" s="33" t="n">
        <f>464000</f>
        <v>464000.0</v>
      </c>
      <c r="P359" s="34" t="s">
        <v>69</v>
      </c>
      <c r="Q359" s="33" t="n">
        <f>471000</f>
        <v>471000.0</v>
      </c>
      <c r="R359" s="34" t="s">
        <v>50</v>
      </c>
      <c r="S359" s="35" t="n">
        <f>484825</f>
        <v>484825.0</v>
      </c>
      <c r="T359" s="32" t="n">
        <f>40031</f>
        <v>40031.0</v>
      </c>
      <c r="U359" s="32" t="n">
        <f>7867</f>
        <v>7867.0</v>
      </c>
      <c r="V359" s="32" t="n">
        <f>19443433022</f>
        <v>1.9443433022E10</v>
      </c>
      <c r="W359" s="32" t="n">
        <f>3815077522</f>
        <v>3.815077522E9</v>
      </c>
      <c r="X359" s="36" t="n">
        <f>20</f>
        <v>20.0</v>
      </c>
    </row>
    <row r="360">
      <c r="A360" s="27" t="s">
        <v>42</v>
      </c>
      <c r="B360" s="27" t="s">
        <v>1130</v>
      </c>
      <c r="C360" s="27" t="s">
        <v>1131</v>
      </c>
      <c r="D360" s="27" t="s">
        <v>1132</v>
      </c>
      <c r="E360" s="28" t="s">
        <v>46</v>
      </c>
      <c r="F360" s="29" t="s">
        <v>46</v>
      </c>
      <c r="G360" s="30" t="s">
        <v>46</v>
      </c>
      <c r="H360" s="31"/>
      <c r="I360" s="31" t="s">
        <v>548</v>
      </c>
      <c r="J360" s="32" t="n">
        <v>1.0</v>
      </c>
      <c r="K360" s="33" t="n">
        <f>65300</f>
        <v>65300.0</v>
      </c>
      <c r="L360" s="34" t="s">
        <v>48</v>
      </c>
      <c r="M360" s="33" t="n">
        <f>65500</f>
        <v>65500.0</v>
      </c>
      <c r="N360" s="34" t="s">
        <v>60</v>
      </c>
      <c r="O360" s="33" t="n">
        <f>63500</f>
        <v>63500.0</v>
      </c>
      <c r="P360" s="34" t="s">
        <v>49</v>
      </c>
      <c r="Q360" s="33" t="n">
        <f>65400</f>
        <v>65400.0</v>
      </c>
      <c r="R360" s="34" t="s">
        <v>50</v>
      </c>
      <c r="S360" s="35" t="n">
        <f>64475</f>
        <v>64475.0</v>
      </c>
      <c r="T360" s="32" t="n">
        <f>11539</f>
        <v>11539.0</v>
      </c>
      <c r="U360" s="32" t="n">
        <f>1707</f>
        <v>1707.0</v>
      </c>
      <c r="V360" s="32" t="n">
        <f>744119464</f>
        <v>7.44119464E8</v>
      </c>
      <c r="W360" s="32" t="n">
        <f>110085464</f>
        <v>1.10085464E8</v>
      </c>
      <c r="X360" s="36" t="n">
        <f>20</f>
        <v>20.0</v>
      </c>
    </row>
    <row r="361">
      <c r="A361" s="27" t="s">
        <v>42</v>
      </c>
      <c r="B361" s="27" t="s">
        <v>1133</v>
      </c>
      <c r="C361" s="27" t="s">
        <v>1134</v>
      </c>
      <c r="D361" s="27" t="s">
        <v>1135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47300</f>
        <v>47300.0</v>
      </c>
      <c r="L361" s="34" t="s">
        <v>48</v>
      </c>
      <c r="M361" s="33" t="n">
        <f>47800</f>
        <v>47800.0</v>
      </c>
      <c r="N361" s="34" t="s">
        <v>86</v>
      </c>
      <c r="O361" s="33" t="n">
        <f>46900</f>
        <v>46900.0</v>
      </c>
      <c r="P361" s="34" t="s">
        <v>69</v>
      </c>
      <c r="Q361" s="33" t="n">
        <f>47400</f>
        <v>47400.0</v>
      </c>
      <c r="R361" s="34" t="s">
        <v>50</v>
      </c>
      <c r="S361" s="35" t="n">
        <f>47382.5</f>
        <v>47382.5</v>
      </c>
      <c r="T361" s="32" t="n">
        <f>80487</f>
        <v>80487.0</v>
      </c>
      <c r="U361" s="32" t="n">
        <f>15427</f>
        <v>15427.0</v>
      </c>
      <c r="V361" s="32" t="n">
        <f>3812323067</f>
        <v>3.812323067E9</v>
      </c>
      <c r="W361" s="32" t="n">
        <f>730104567</f>
        <v>7.30104567E8</v>
      </c>
      <c r="X361" s="36" t="n">
        <f>20</f>
        <v>20.0</v>
      </c>
    </row>
    <row r="362">
      <c r="A362" s="27" t="s">
        <v>42</v>
      </c>
      <c r="B362" s="27" t="s">
        <v>1136</v>
      </c>
      <c r="C362" s="27" t="s">
        <v>1137</v>
      </c>
      <c r="D362" s="27" t="s">
        <v>1138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393500</f>
        <v>393500.0</v>
      </c>
      <c r="L362" s="34" t="s">
        <v>48</v>
      </c>
      <c r="M362" s="33" t="n">
        <f>397000</f>
        <v>397000.0</v>
      </c>
      <c r="N362" s="34" t="s">
        <v>60</v>
      </c>
      <c r="O362" s="33" t="n">
        <f>372000</f>
        <v>372000.0</v>
      </c>
      <c r="P362" s="34" t="s">
        <v>69</v>
      </c>
      <c r="Q362" s="33" t="n">
        <f>375500</f>
        <v>375500.0</v>
      </c>
      <c r="R362" s="34" t="s">
        <v>50</v>
      </c>
      <c r="S362" s="35" t="n">
        <f>385325</f>
        <v>385325.0</v>
      </c>
      <c r="T362" s="32" t="n">
        <f>36252</f>
        <v>36252.0</v>
      </c>
      <c r="U362" s="32" t="n">
        <f>6381</f>
        <v>6381.0</v>
      </c>
      <c r="V362" s="32" t="n">
        <f>13957153327</f>
        <v>1.3957153327E10</v>
      </c>
      <c r="W362" s="32" t="n">
        <f>2454994327</f>
        <v>2.454994327E9</v>
      </c>
      <c r="X362" s="36" t="n">
        <f>20</f>
        <v>20.0</v>
      </c>
    </row>
    <row r="363">
      <c r="A363" s="27" t="s">
        <v>42</v>
      </c>
      <c r="B363" s="27" t="s">
        <v>1139</v>
      </c>
      <c r="C363" s="27" t="s">
        <v>1140</v>
      </c>
      <c r="D363" s="27" t="s">
        <v>1141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169000</f>
        <v>169000.0</v>
      </c>
      <c r="L363" s="34" t="s">
        <v>48</v>
      </c>
      <c r="M363" s="33" t="n">
        <f>173200</f>
        <v>173200.0</v>
      </c>
      <c r="N363" s="34" t="s">
        <v>257</v>
      </c>
      <c r="O363" s="33" t="n">
        <f>162300</f>
        <v>162300.0</v>
      </c>
      <c r="P363" s="34" t="s">
        <v>50</v>
      </c>
      <c r="Q363" s="33" t="n">
        <f>164200</f>
        <v>164200.0</v>
      </c>
      <c r="R363" s="34" t="s">
        <v>50</v>
      </c>
      <c r="S363" s="35" t="n">
        <f>167560</f>
        <v>167560.0</v>
      </c>
      <c r="T363" s="32" t="n">
        <f>39004</f>
        <v>39004.0</v>
      </c>
      <c r="U363" s="32" t="n">
        <f>7170</f>
        <v>7170.0</v>
      </c>
      <c r="V363" s="32" t="n">
        <f>6532065693</f>
        <v>6.532065693E9</v>
      </c>
      <c r="W363" s="32" t="n">
        <f>1198916293</f>
        <v>1.198916293E9</v>
      </c>
      <c r="X363" s="36" t="n">
        <f>20</f>
        <v>20.0</v>
      </c>
    </row>
    <row r="364">
      <c r="A364" s="27" t="s">
        <v>42</v>
      </c>
      <c r="B364" s="27" t="s">
        <v>1142</v>
      </c>
      <c r="C364" s="27" t="s">
        <v>1143</v>
      </c>
      <c r="D364" s="27" t="s">
        <v>1144</v>
      </c>
      <c r="E364" s="28" t="s">
        <v>46</v>
      </c>
      <c r="F364" s="29" t="s">
        <v>46</v>
      </c>
      <c r="G364" s="30" t="s">
        <v>46</v>
      </c>
      <c r="H364" s="31"/>
      <c r="I364" s="31" t="s">
        <v>548</v>
      </c>
      <c r="J364" s="32" t="n">
        <v>1.0</v>
      </c>
      <c r="K364" s="33" t="n">
        <f>117000</f>
        <v>117000.0</v>
      </c>
      <c r="L364" s="34" t="s">
        <v>48</v>
      </c>
      <c r="M364" s="33" t="n">
        <f>118500</f>
        <v>118500.0</v>
      </c>
      <c r="N364" s="34" t="s">
        <v>257</v>
      </c>
      <c r="O364" s="33" t="n">
        <f>114300</f>
        <v>114300.0</v>
      </c>
      <c r="P364" s="34" t="s">
        <v>69</v>
      </c>
      <c r="Q364" s="33" t="n">
        <f>115700</f>
        <v>115700.0</v>
      </c>
      <c r="R364" s="34" t="s">
        <v>50</v>
      </c>
      <c r="S364" s="35" t="n">
        <f>116350</f>
        <v>116350.0</v>
      </c>
      <c r="T364" s="32" t="n">
        <f>13749</f>
        <v>13749.0</v>
      </c>
      <c r="U364" s="32" t="n">
        <f>1762</f>
        <v>1762.0</v>
      </c>
      <c r="V364" s="32" t="n">
        <f>1598711079</f>
        <v>1.598711079E9</v>
      </c>
      <c r="W364" s="32" t="n">
        <f>204376779</f>
        <v>2.04376779E8</v>
      </c>
      <c r="X364" s="36" t="n">
        <f>20</f>
        <v>20.0</v>
      </c>
    </row>
    <row r="365">
      <c r="A365" s="27" t="s">
        <v>42</v>
      </c>
      <c r="B365" s="27" t="s">
        <v>1145</v>
      </c>
      <c r="C365" s="27" t="s">
        <v>1146</v>
      </c>
      <c r="D365" s="27" t="s">
        <v>1147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95600</f>
        <v>95600.0</v>
      </c>
      <c r="L365" s="34" t="s">
        <v>48</v>
      </c>
      <c r="M365" s="33" t="n">
        <f>99700</f>
        <v>99700.0</v>
      </c>
      <c r="N365" s="34" t="s">
        <v>90</v>
      </c>
      <c r="O365" s="33" t="n">
        <f>95500</f>
        <v>95500.0</v>
      </c>
      <c r="P365" s="34" t="s">
        <v>48</v>
      </c>
      <c r="Q365" s="33" t="n">
        <f>97100</f>
        <v>97100.0</v>
      </c>
      <c r="R365" s="34" t="s">
        <v>50</v>
      </c>
      <c r="S365" s="35" t="n">
        <f>98215</f>
        <v>98215.0</v>
      </c>
      <c r="T365" s="32" t="n">
        <f>64130</f>
        <v>64130.0</v>
      </c>
      <c r="U365" s="32" t="n">
        <f>7842</f>
        <v>7842.0</v>
      </c>
      <c r="V365" s="32" t="n">
        <f>6285714404</f>
        <v>6.285714404E9</v>
      </c>
      <c r="W365" s="32" t="n">
        <f>768478204</f>
        <v>7.68478204E8</v>
      </c>
      <c r="X365" s="36" t="n">
        <f>20</f>
        <v>20.0</v>
      </c>
    </row>
    <row r="366">
      <c r="A366" s="27" t="s">
        <v>42</v>
      </c>
      <c r="B366" s="27" t="s">
        <v>1148</v>
      </c>
      <c r="C366" s="27" t="s">
        <v>1149</v>
      </c>
      <c r="D366" s="27" t="s">
        <v>1150</v>
      </c>
      <c r="E366" s="28" t="s">
        <v>46</v>
      </c>
      <c r="F366" s="29" t="s">
        <v>46</v>
      </c>
      <c r="G366" s="30" t="s">
        <v>46</v>
      </c>
      <c r="H366" s="31"/>
      <c r="I366" s="31" t="s">
        <v>548</v>
      </c>
      <c r="J366" s="32" t="n">
        <v>1.0</v>
      </c>
      <c r="K366" s="33" t="n">
        <f>131800</f>
        <v>131800.0</v>
      </c>
      <c r="L366" s="34" t="s">
        <v>48</v>
      </c>
      <c r="M366" s="33" t="n">
        <f>132200</f>
        <v>132200.0</v>
      </c>
      <c r="N366" s="34" t="s">
        <v>257</v>
      </c>
      <c r="O366" s="33" t="n">
        <f>125000</f>
        <v>125000.0</v>
      </c>
      <c r="P366" s="34" t="s">
        <v>50</v>
      </c>
      <c r="Q366" s="33" t="n">
        <f>125900</f>
        <v>125900.0</v>
      </c>
      <c r="R366" s="34" t="s">
        <v>50</v>
      </c>
      <c r="S366" s="35" t="n">
        <f>129330</f>
        <v>129330.0</v>
      </c>
      <c r="T366" s="32" t="n">
        <f>32094</f>
        <v>32094.0</v>
      </c>
      <c r="U366" s="32" t="n">
        <f>5294</f>
        <v>5294.0</v>
      </c>
      <c r="V366" s="32" t="n">
        <f>4142428163</f>
        <v>4.142428163E9</v>
      </c>
      <c r="W366" s="32" t="n">
        <f>682501363</f>
        <v>6.82501363E8</v>
      </c>
      <c r="X366" s="36" t="n">
        <f>20</f>
        <v>20.0</v>
      </c>
    </row>
    <row r="367">
      <c r="A367" s="27" t="s">
        <v>42</v>
      </c>
      <c r="B367" s="27" t="s">
        <v>1151</v>
      </c>
      <c r="C367" s="27" t="s">
        <v>1152</v>
      </c>
      <c r="D367" s="27" t="s">
        <v>1153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613000</f>
        <v>613000.0</v>
      </c>
      <c r="L367" s="34" t="s">
        <v>48</v>
      </c>
      <c r="M367" s="33" t="n">
        <f>632000</f>
        <v>632000.0</v>
      </c>
      <c r="N367" s="34" t="s">
        <v>60</v>
      </c>
      <c r="O367" s="33" t="n">
        <f>599000</f>
        <v>599000.0</v>
      </c>
      <c r="P367" s="34" t="s">
        <v>69</v>
      </c>
      <c r="Q367" s="33" t="n">
        <f>606000</f>
        <v>606000.0</v>
      </c>
      <c r="R367" s="34" t="s">
        <v>50</v>
      </c>
      <c r="S367" s="35" t="n">
        <f>612500</f>
        <v>612500.0</v>
      </c>
      <c r="T367" s="32" t="n">
        <f>87840</f>
        <v>87840.0</v>
      </c>
      <c r="U367" s="32" t="n">
        <f>18739</f>
        <v>18739.0</v>
      </c>
      <c r="V367" s="32" t="n">
        <f>53782729987</f>
        <v>5.3782729987E10</v>
      </c>
      <c r="W367" s="32" t="n">
        <f>11459064987</f>
        <v>1.1459064987E10</v>
      </c>
      <c r="X367" s="36" t="n">
        <f>20</f>
        <v>20.0</v>
      </c>
    </row>
    <row r="368">
      <c r="A368" s="27" t="s">
        <v>42</v>
      </c>
      <c r="B368" s="27" t="s">
        <v>1154</v>
      </c>
      <c r="C368" s="27" t="s">
        <v>1155</v>
      </c>
      <c r="D368" s="27" t="s">
        <v>1156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602000</f>
        <v>602000.0</v>
      </c>
      <c r="L368" s="34" t="s">
        <v>48</v>
      </c>
      <c r="M368" s="33" t="n">
        <f>619000</f>
        <v>619000.0</v>
      </c>
      <c r="N368" s="34" t="s">
        <v>60</v>
      </c>
      <c r="O368" s="33" t="n">
        <f>575000</f>
        <v>575000.0</v>
      </c>
      <c r="P368" s="34" t="s">
        <v>69</v>
      </c>
      <c r="Q368" s="33" t="n">
        <f>583000</f>
        <v>583000.0</v>
      </c>
      <c r="R368" s="34" t="s">
        <v>50</v>
      </c>
      <c r="S368" s="35" t="n">
        <f>598450</f>
        <v>598450.0</v>
      </c>
      <c r="T368" s="32" t="n">
        <f>93270</f>
        <v>93270.0</v>
      </c>
      <c r="U368" s="32" t="n">
        <f>18512</f>
        <v>18512.0</v>
      </c>
      <c r="V368" s="32" t="n">
        <f>55705493250</f>
        <v>5.570549325E10</v>
      </c>
      <c r="W368" s="32" t="n">
        <f>11043982250</f>
        <v>1.104398225E10</v>
      </c>
      <c r="X368" s="36" t="n">
        <f>20</f>
        <v>20.0</v>
      </c>
    </row>
    <row r="369">
      <c r="A369" s="27" t="s">
        <v>42</v>
      </c>
      <c r="B369" s="27" t="s">
        <v>1157</v>
      </c>
      <c r="C369" s="27" t="s">
        <v>1158</v>
      </c>
      <c r="D369" s="27" t="s">
        <v>1159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97500</f>
        <v>97500.0</v>
      </c>
      <c r="L369" s="34" t="s">
        <v>48</v>
      </c>
      <c r="M369" s="33" t="n">
        <f>100800</f>
        <v>100800.0</v>
      </c>
      <c r="N369" s="34" t="s">
        <v>60</v>
      </c>
      <c r="O369" s="33" t="n">
        <f>96000</f>
        <v>96000.0</v>
      </c>
      <c r="P369" s="34" t="s">
        <v>246</v>
      </c>
      <c r="Q369" s="33" t="n">
        <f>97000</f>
        <v>97000.0</v>
      </c>
      <c r="R369" s="34" t="s">
        <v>50</v>
      </c>
      <c r="S369" s="35" t="n">
        <f>97725</f>
        <v>97725.0</v>
      </c>
      <c r="T369" s="32" t="n">
        <f>402587</f>
        <v>402587.0</v>
      </c>
      <c r="U369" s="32" t="n">
        <f>114460</f>
        <v>114460.0</v>
      </c>
      <c r="V369" s="32" t="n">
        <f>39321390377</f>
        <v>3.9321390377E10</v>
      </c>
      <c r="W369" s="32" t="n">
        <f>11174752577</f>
        <v>1.1174752577E10</v>
      </c>
      <c r="X369" s="36" t="n">
        <f>20</f>
        <v>20.0</v>
      </c>
    </row>
    <row r="370">
      <c r="A370" s="27" t="s">
        <v>42</v>
      </c>
      <c r="B370" s="27" t="s">
        <v>1160</v>
      </c>
      <c r="C370" s="27" t="s">
        <v>1161</v>
      </c>
      <c r="D370" s="27" t="s">
        <v>1162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180500</f>
        <v>180500.0</v>
      </c>
      <c r="L370" s="34" t="s">
        <v>48</v>
      </c>
      <c r="M370" s="33" t="n">
        <f>187100</f>
        <v>187100.0</v>
      </c>
      <c r="N370" s="34" t="s">
        <v>60</v>
      </c>
      <c r="O370" s="33" t="n">
        <f>175700</f>
        <v>175700.0</v>
      </c>
      <c r="P370" s="34" t="s">
        <v>49</v>
      </c>
      <c r="Q370" s="33" t="n">
        <f>179400</f>
        <v>179400.0</v>
      </c>
      <c r="R370" s="34" t="s">
        <v>50</v>
      </c>
      <c r="S370" s="35" t="n">
        <f>180320</f>
        <v>180320.0</v>
      </c>
      <c r="T370" s="32" t="n">
        <f>147301</f>
        <v>147301.0</v>
      </c>
      <c r="U370" s="32" t="n">
        <f>31897</f>
        <v>31897.0</v>
      </c>
      <c r="V370" s="32" t="n">
        <f>26530086011</f>
        <v>2.6530086011E10</v>
      </c>
      <c r="W370" s="32" t="n">
        <f>5734654211</f>
        <v>5.734654211E9</v>
      </c>
      <c r="X370" s="36" t="n">
        <f>20</f>
        <v>20.0</v>
      </c>
    </row>
    <row r="371">
      <c r="A371" s="27" t="s">
        <v>42</v>
      </c>
      <c r="B371" s="27" t="s">
        <v>1163</v>
      </c>
      <c r="C371" s="27" t="s">
        <v>1164</v>
      </c>
      <c r="D371" s="27" t="s">
        <v>1165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368000</f>
        <v>368000.0</v>
      </c>
      <c r="L371" s="34" t="s">
        <v>48</v>
      </c>
      <c r="M371" s="33" t="n">
        <f>379500</f>
        <v>379500.0</v>
      </c>
      <c r="N371" s="34" t="s">
        <v>257</v>
      </c>
      <c r="O371" s="33" t="n">
        <f>356000</f>
        <v>356000.0</v>
      </c>
      <c r="P371" s="34" t="s">
        <v>69</v>
      </c>
      <c r="Q371" s="33" t="n">
        <f>361000</f>
        <v>361000.0</v>
      </c>
      <c r="R371" s="34" t="s">
        <v>50</v>
      </c>
      <c r="S371" s="35" t="n">
        <f>368875</f>
        <v>368875.0</v>
      </c>
      <c r="T371" s="32" t="n">
        <f>41748</f>
        <v>41748.0</v>
      </c>
      <c r="U371" s="32" t="n">
        <f>10229</f>
        <v>10229.0</v>
      </c>
      <c r="V371" s="32" t="n">
        <f>15389695798</f>
        <v>1.5389695798E10</v>
      </c>
      <c r="W371" s="32" t="n">
        <f>3759412798</f>
        <v>3.759412798E9</v>
      </c>
      <c r="X371" s="36" t="n">
        <f>20</f>
        <v>20.0</v>
      </c>
    </row>
    <row r="372">
      <c r="A372" s="27" t="s">
        <v>42</v>
      </c>
      <c r="B372" s="27" t="s">
        <v>1166</v>
      </c>
      <c r="C372" s="27" t="s">
        <v>1167</v>
      </c>
      <c r="D372" s="27" t="s">
        <v>1168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138300</f>
        <v>138300.0</v>
      </c>
      <c r="L372" s="34" t="s">
        <v>48</v>
      </c>
      <c r="M372" s="33" t="n">
        <f>141400</f>
        <v>141400.0</v>
      </c>
      <c r="N372" s="34" t="s">
        <v>86</v>
      </c>
      <c r="O372" s="33" t="n">
        <f>137400</f>
        <v>137400.0</v>
      </c>
      <c r="P372" s="34" t="s">
        <v>69</v>
      </c>
      <c r="Q372" s="33" t="n">
        <f>138100</f>
        <v>138100.0</v>
      </c>
      <c r="R372" s="34" t="s">
        <v>50</v>
      </c>
      <c r="S372" s="35" t="n">
        <f>139090</f>
        <v>139090.0</v>
      </c>
      <c r="T372" s="32" t="n">
        <f>59594</f>
        <v>59594.0</v>
      </c>
      <c r="U372" s="32" t="n">
        <f>14754</f>
        <v>14754.0</v>
      </c>
      <c r="V372" s="32" t="n">
        <f>8280922786</f>
        <v>8.280922786E9</v>
      </c>
      <c r="W372" s="32" t="n">
        <f>2048376186</f>
        <v>2.048376186E9</v>
      </c>
      <c r="X372" s="36" t="n">
        <f>20</f>
        <v>20.0</v>
      </c>
    </row>
    <row r="373">
      <c r="A373" s="27" t="s">
        <v>42</v>
      </c>
      <c r="B373" s="27" t="s">
        <v>1169</v>
      </c>
      <c r="C373" s="27" t="s">
        <v>1170</v>
      </c>
      <c r="D373" s="27" t="s">
        <v>1171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186100</f>
        <v>186100.0</v>
      </c>
      <c r="L373" s="34" t="s">
        <v>48</v>
      </c>
      <c r="M373" s="33" t="n">
        <f>189600</f>
        <v>189600.0</v>
      </c>
      <c r="N373" s="34" t="s">
        <v>60</v>
      </c>
      <c r="O373" s="33" t="n">
        <f>181000</f>
        <v>181000.0</v>
      </c>
      <c r="P373" s="34" t="s">
        <v>50</v>
      </c>
      <c r="Q373" s="33" t="n">
        <f>182900</f>
        <v>182900.0</v>
      </c>
      <c r="R373" s="34" t="s">
        <v>50</v>
      </c>
      <c r="S373" s="35" t="n">
        <f>185925</f>
        <v>185925.0</v>
      </c>
      <c r="T373" s="32" t="n">
        <f>46075</f>
        <v>46075.0</v>
      </c>
      <c r="U373" s="32" t="n">
        <f>10765</f>
        <v>10765.0</v>
      </c>
      <c r="V373" s="32" t="n">
        <f>8550612152</f>
        <v>8.550612152E9</v>
      </c>
      <c r="W373" s="32" t="n">
        <f>1991075352</f>
        <v>1.991075352E9</v>
      </c>
      <c r="X373" s="36" t="n">
        <f>20</f>
        <v>20.0</v>
      </c>
    </row>
    <row r="374">
      <c r="A374" s="27" t="s">
        <v>42</v>
      </c>
      <c r="B374" s="27" t="s">
        <v>1172</v>
      </c>
      <c r="C374" s="27" t="s">
        <v>1173</v>
      </c>
      <c r="D374" s="27" t="s">
        <v>1174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116500</f>
        <v>116500.0</v>
      </c>
      <c r="L374" s="34" t="s">
        <v>48</v>
      </c>
      <c r="M374" s="33" t="n">
        <f>119900</f>
        <v>119900.0</v>
      </c>
      <c r="N374" s="34" t="s">
        <v>264</v>
      </c>
      <c r="O374" s="33" t="n">
        <f>113700</f>
        <v>113700.0</v>
      </c>
      <c r="P374" s="34" t="s">
        <v>69</v>
      </c>
      <c r="Q374" s="33" t="n">
        <f>114800</f>
        <v>114800.0</v>
      </c>
      <c r="R374" s="34" t="s">
        <v>50</v>
      </c>
      <c r="S374" s="35" t="n">
        <f>118160</f>
        <v>118160.0</v>
      </c>
      <c r="T374" s="32" t="n">
        <f>77189</f>
        <v>77189.0</v>
      </c>
      <c r="U374" s="32" t="n">
        <f>11815</f>
        <v>11815.0</v>
      </c>
      <c r="V374" s="32" t="n">
        <f>9101338601</f>
        <v>9.101338601E9</v>
      </c>
      <c r="W374" s="32" t="n">
        <f>1390991401</f>
        <v>1.390991401E9</v>
      </c>
      <c r="X374" s="36" t="n">
        <f>20</f>
        <v>20.0</v>
      </c>
    </row>
    <row r="375">
      <c r="A375" s="27" t="s">
        <v>42</v>
      </c>
      <c r="B375" s="27" t="s">
        <v>1175</v>
      </c>
      <c r="C375" s="27" t="s">
        <v>1176</v>
      </c>
      <c r="D375" s="27" t="s">
        <v>1177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156300</f>
        <v>156300.0</v>
      </c>
      <c r="L375" s="34" t="s">
        <v>48</v>
      </c>
      <c r="M375" s="33" t="n">
        <f>161600</f>
        <v>161600.0</v>
      </c>
      <c r="N375" s="34" t="s">
        <v>60</v>
      </c>
      <c r="O375" s="33" t="n">
        <f>152600</f>
        <v>152600.0</v>
      </c>
      <c r="P375" s="34" t="s">
        <v>69</v>
      </c>
      <c r="Q375" s="33" t="n">
        <f>155700</f>
        <v>155700.0</v>
      </c>
      <c r="R375" s="34" t="s">
        <v>50</v>
      </c>
      <c r="S375" s="35" t="n">
        <f>157275</f>
        <v>157275.0</v>
      </c>
      <c r="T375" s="32" t="n">
        <f>143139</f>
        <v>143139.0</v>
      </c>
      <c r="U375" s="32" t="n">
        <f>33325</f>
        <v>33325.0</v>
      </c>
      <c r="V375" s="32" t="n">
        <f>22482111007</f>
        <v>2.2482111007E10</v>
      </c>
      <c r="W375" s="32" t="n">
        <f>5230992007</f>
        <v>5.230992007E9</v>
      </c>
      <c r="X375" s="36" t="n">
        <f>20</f>
        <v>20.0</v>
      </c>
    </row>
    <row r="376">
      <c r="A376" s="27" t="s">
        <v>42</v>
      </c>
      <c r="B376" s="27" t="s">
        <v>1178</v>
      </c>
      <c r="C376" s="27" t="s">
        <v>1179</v>
      </c>
      <c r="D376" s="27" t="s">
        <v>1180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73600</f>
        <v>73600.0</v>
      </c>
      <c r="L376" s="34" t="s">
        <v>48</v>
      </c>
      <c r="M376" s="33" t="n">
        <f>75900</f>
        <v>75900.0</v>
      </c>
      <c r="N376" s="34" t="s">
        <v>220</v>
      </c>
      <c r="O376" s="33" t="n">
        <f>72200</f>
        <v>72200.0</v>
      </c>
      <c r="P376" s="34" t="s">
        <v>50</v>
      </c>
      <c r="Q376" s="33" t="n">
        <f>72800</f>
        <v>72800.0</v>
      </c>
      <c r="R376" s="34" t="s">
        <v>50</v>
      </c>
      <c r="S376" s="35" t="n">
        <f>74145</f>
        <v>74145.0</v>
      </c>
      <c r="T376" s="32" t="n">
        <f>118425</f>
        <v>118425.0</v>
      </c>
      <c r="U376" s="32" t="n">
        <f>25893</f>
        <v>25893.0</v>
      </c>
      <c r="V376" s="32" t="n">
        <f>8769360327</f>
        <v>8.769360327E9</v>
      </c>
      <c r="W376" s="32" t="n">
        <f>1914575227</f>
        <v>1.914575227E9</v>
      </c>
      <c r="X376" s="36" t="n">
        <f>20</f>
        <v>20.0</v>
      </c>
    </row>
    <row r="377">
      <c r="A377" s="27" t="s">
        <v>42</v>
      </c>
      <c r="B377" s="27" t="s">
        <v>1181</v>
      </c>
      <c r="C377" s="27" t="s">
        <v>1182</v>
      </c>
      <c r="D377" s="27" t="s">
        <v>1183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60700</f>
        <v>60700.0</v>
      </c>
      <c r="L377" s="34" t="s">
        <v>48</v>
      </c>
      <c r="M377" s="33" t="n">
        <f>65200</f>
        <v>65200.0</v>
      </c>
      <c r="N377" s="34" t="s">
        <v>220</v>
      </c>
      <c r="O377" s="33" t="n">
        <f>59700</f>
        <v>59700.0</v>
      </c>
      <c r="P377" s="34" t="s">
        <v>477</v>
      </c>
      <c r="Q377" s="33" t="n">
        <f>61800</f>
        <v>61800.0</v>
      </c>
      <c r="R377" s="34" t="s">
        <v>50</v>
      </c>
      <c r="S377" s="35" t="n">
        <f>62145</f>
        <v>62145.0</v>
      </c>
      <c r="T377" s="32" t="n">
        <f>852524</f>
        <v>852524.0</v>
      </c>
      <c r="U377" s="32" t="n">
        <f>174859</f>
        <v>174859.0</v>
      </c>
      <c r="V377" s="32" t="n">
        <f>52625940843</f>
        <v>5.2625940843E10</v>
      </c>
      <c r="W377" s="32" t="n">
        <f>10804195543</f>
        <v>1.0804195543E10</v>
      </c>
      <c r="X377" s="36" t="n">
        <f>20</f>
        <v>20.0</v>
      </c>
    </row>
    <row r="378">
      <c r="A378" s="27" t="s">
        <v>42</v>
      </c>
      <c r="B378" s="27" t="s">
        <v>1184</v>
      </c>
      <c r="C378" s="27" t="s">
        <v>1185</v>
      </c>
      <c r="D378" s="27" t="s">
        <v>1186</v>
      </c>
      <c r="E378" s="28" t="s">
        <v>46</v>
      </c>
      <c r="F378" s="29" t="s">
        <v>46</v>
      </c>
      <c r="G378" s="30" t="s">
        <v>46</v>
      </c>
      <c r="H378" s="31"/>
      <c r="I378" s="31" t="s">
        <v>47</v>
      </c>
      <c r="J378" s="32" t="n">
        <v>1.0</v>
      </c>
      <c r="K378" s="33" t="n">
        <f>469500</f>
        <v>469500.0</v>
      </c>
      <c r="L378" s="34" t="s">
        <v>48</v>
      </c>
      <c r="M378" s="33" t="n">
        <f>477500</f>
        <v>477500.0</v>
      </c>
      <c r="N378" s="34" t="s">
        <v>60</v>
      </c>
      <c r="O378" s="33" t="n">
        <f>455000</f>
        <v>455000.0</v>
      </c>
      <c r="P378" s="34" t="s">
        <v>50</v>
      </c>
      <c r="Q378" s="33" t="n">
        <f>457500</f>
        <v>457500.0</v>
      </c>
      <c r="R378" s="34" t="s">
        <v>50</v>
      </c>
      <c r="S378" s="35" t="n">
        <f>469075</f>
        <v>469075.0</v>
      </c>
      <c r="T378" s="32" t="n">
        <f>29389</f>
        <v>29389.0</v>
      </c>
      <c r="U378" s="32" t="n">
        <f>6560</f>
        <v>6560.0</v>
      </c>
      <c r="V378" s="32" t="n">
        <f>13770129384</f>
        <v>1.3770129384E10</v>
      </c>
      <c r="W378" s="32" t="n">
        <f>3069295884</f>
        <v>3.069295884E9</v>
      </c>
      <c r="X378" s="36" t="n">
        <f>20</f>
        <v>20.0</v>
      </c>
    </row>
    <row r="379">
      <c r="A379" s="27" t="s">
        <v>42</v>
      </c>
      <c r="B379" s="27" t="s">
        <v>1187</v>
      </c>
      <c r="C379" s="27" t="s">
        <v>1188</v>
      </c>
      <c r="D379" s="27" t="s">
        <v>1189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145600</f>
        <v>145600.0</v>
      </c>
      <c r="L379" s="34" t="s">
        <v>48</v>
      </c>
      <c r="M379" s="33" t="n">
        <f>149200</f>
        <v>149200.0</v>
      </c>
      <c r="N379" s="34" t="s">
        <v>68</v>
      </c>
      <c r="O379" s="33" t="n">
        <f>144100</f>
        <v>144100.0</v>
      </c>
      <c r="P379" s="34" t="s">
        <v>69</v>
      </c>
      <c r="Q379" s="33" t="n">
        <f>146500</f>
        <v>146500.0</v>
      </c>
      <c r="R379" s="34" t="s">
        <v>50</v>
      </c>
      <c r="S379" s="35" t="n">
        <f>147100</f>
        <v>147100.0</v>
      </c>
      <c r="T379" s="32" t="n">
        <f>47977</f>
        <v>47977.0</v>
      </c>
      <c r="U379" s="32" t="n">
        <f>9797</f>
        <v>9797.0</v>
      </c>
      <c r="V379" s="32" t="n">
        <f>7049087577</f>
        <v>7.049087577E9</v>
      </c>
      <c r="W379" s="32" t="n">
        <f>1437102077</f>
        <v>1.437102077E9</v>
      </c>
      <c r="X379" s="36" t="n">
        <f>20</f>
        <v>20.0</v>
      </c>
    </row>
    <row r="380">
      <c r="A380" s="27" t="s">
        <v>42</v>
      </c>
      <c r="B380" s="27" t="s">
        <v>1190</v>
      </c>
      <c r="C380" s="27" t="s">
        <v>1191</v>
      </c>
      <c r="D380" s="27" t="s">
        <v>1192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1.0</v>
      </c>
      <c r="K380" s="33" t="n">
        <f>304000</f>
        <v>304000.0</v>
      </c>
      <c r="L380" s="34" t="s">
        <v>48</v>
      </c>
      <c r="M380" s="33" t="n">
        <f>309000</f>
        <v>309000.0</v>
      </c>
      <c r="N380" s="34" t="s">
        <v>60</v>
      </c>
      <c r="O380" s="33" t="n">
        <f>285700</f>
        <v>285700.0</v>
      </c>
      <c r="P380" s="34" t="s">
        <v>69</v>
      </c>
      <c r="Q380" s="33" t="n">
        <f>289900</f>
        <v>289900.0</v>
      </c>
      <c r="R380" s="34" t="s">
        <v>50</v>
      </c>
      <c r="S380" s="35" t="n">
        <f>297230</f>
        <v>297230.0</v>
      </c>
      <c r="T380" s="32" t="n">
        <f>41721</f>
        <v>41721.0</v>
      </c>
      <c r="U380" s="32" t="n">
        <f>8695</f>
        <v>8695.0</v>
      </c>
      <c r="V380" s="32" t="n">
        <f>12371370444</f>
        <v>1.2371370444E10</v>
      </c>
      <c r="W380" s="32" t="n">
        <f>2573529644</f>
        <v>2.573529644E9</v>
      </c>
      <c r="X380" s="36" t="n">
        <f>20</f>
        <v>20.0</v>
      </c>
    </row>
    <row r="381">
      <c r="A381" s="27" t="s">
        <v>42</v>
      </c>
      <c r="B381" s="27" t="s">
        <v>1193</v>
      </c>
      <c r="C381" s="27" t="s">
        <v>1194</v>
      </c>
      <c r="D381" s="27" t="s">
        <v>1195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1.0</v>
      </c>
      <c r="K381" s="33" t="n">
        <f>162100</f>
        <v>162100.0</v>
      </c>
      <c r="L381" s="34" t="s">
        <v>48</v>
      </c>
      <c r="M381" s="33" t="n">
        <f>165700</f>
        <v>165700.0</v>
      </c>
      <c r="N381" s="34" t="s">
        <v>60</v>
      </c>
      <c r="O381" s="33" t="n">
        <f>158300</f>
        <v>158300.0</v>
      </c>
      <c r="P381" s="34" t="s">
        <v>69</v>
      </c>
      <c r="Q381" s="33" t="n">
        <f>159000</f>
        <v>159000.0</v>
      </c>
      <c r="R381" s="34" t="s">
        <v>50</v>
      </c>
      <c r="S381" s="35" t="n">
        <f>162630</f>
        <v>162630.0</v>
      </c>
      <c r="T381" s="32" t="n">
        <f>34732</f>
        <v>34732.0</v>
      </c>
      <c r="U381" s="32" t="n">
        <f>7445</f>
        <v>7445.0</v>
      </c>
      <c r="V381" s="32" t="n">
        <f>5642929649</f>
        <v>5.642929649E9</v>
      </c>
      <c r="W381" s="32" t="n">
        <f>1207561849</f>
        <v>1.207561849E9</v>
      </c>
      <c r="X381" s="36" t="n">
        <f>20</f>
        <v>20.0</v>
      </c>
    </row>
    <row r="382">
      <c r="A382" s="27" t="s">
        <v>42</v>
      </c>
      <c r="B382" s="27" t="s">
        <v>1196</v>
      </c>
      <c r="C382" s="27" t="s">
        <v>1197</v>
      </c>
      <c r="D382" s="27" t="s">
        <v>1198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343500</f>
        <v>343500.0</v>
      </c>
      <c r="L382" s="34" t="s">
        <v>48</v>
      </c>
      <c r="M382" s="33" t="n">
        <f>352000</f>
        <v>352000.0</v>
      </c>
      <c r="N382" s="34" t="s">
        <v>257</v>
      </c>
      <c r="O382" s="33" t="n">
        <f>334500</f>
        <v>334500.0</v>
      </c>
      <c r="P382" s="34" t="s">
        <v>221</v>
      </c>
      <c r="Q382" s="33" t="n">
        <f>346000</f>
        <v>346000.0</v>
      </c>
      <c r="R382" s="34" t="s">
        <v>50</v>
      </c>
      <c r="S382" s="35" t="n">
        <f>343925</f>
        <v>343925.0</v>
      </c>
      <c r="T382" s="32" t="n">
        <f>82310</f>
        <v>82310.0</v>
      </c>
      <c r="U382" s="32" t="n">
        <f>15587</f>
        <v>15587.0</v>
      </c>
      <c r="V382" s="32" t="n">
        <f>28288366871</f>
        <v>2.8288366871E10</v>
      </c>
      <c r="W382" s="32" t="n">
        <f>5350750371</f>
        <v>5.350750371E9</v>
      </c>
      <c r="X382" s="36" t="n">
        <f>20</f>
        <v>20.0</v>
      </c>
    </row>
    <row r="383">
      <c r="A383" s="27" t="s">
        <v>42</v>
      </c>
      <c r="B383" s="27" t="s">
        <v>1199</v>
      </c>
      <c r="C383" s="27" t="s">
        <v>1200</v>
      </c>
      <c r="D383" s="27" t="s">
        <v>1201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90000</f>
        <v>90000.0</v>
      </c>
      <c r="L383" s="34" t="s">
        <v>48</v>
      </c>
      <c r="M383" s="33" t="n">
        <f>91000</f>
        <v>91000.0</v>
      </c>
      <c r="N383" s="34" t="s">
        <v>257</v>
      </c>
      <c r="O383" s="33" t="n">
        <f>86600</f>
        <v>86600.0</v>
      </c>
      <c r="P383" s="34" t="s">
        <v>49</v>
      </c>
      <c r="Q383" s="33" t="n">
        <f>87500</f>
        <v>87500.0</v>
      </c>
      <c r="R383" s="34" t="s">
        <v>50</v>
      </c>
      <c r="S383" s="35" t="n">
        <f>88520</f>
        <v>88520.0</v>
      </c>
      <c r="T383" s="32" t="n">
        <f>88243</f>
        <v>88243.0</v>
      </c>
      <c r="U383" s="32" t="n">
        <f>16452</f>
        <v>16452.0</v>
      </c>
      <c r="V383" s="32" t="n">
        <f>7832448958</f>
        <v>7.832448958E9</v>
      </c>
      <c r="W383" s="32" t="n">
        <f>1455644658</f>
        <v>1.455644658E9</v>
      </c>
      <c r="X383" s="36" t="n">
        <f>20</f>
        <v>20.0</v>
      </c>
    </row>
    <row r="384">
      <c r="A384" s="27" t="s">
        <v>42</v>
      </c>
      <c r="B384" s="27" t="s">
        <v>1202</v>
      </c>
      <c r="C384" s="27" t="s">
        <v>1203</v>
      </c>
      <c r="D384" s="27" t="s">
        <v>1204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681000</f>
        <v>681000.0</v>
      </c>
      <c r="L384" s="34" t="s">
        <v>48</v>
      </c>
      <c r="M384" s="33" t="n">
        <f>703000</f>
        <v>703000.0</v>
      </c>
      <c r="N384" s="34" t="s">
        <v>257</v>
      </c>
      <c r="O384" s="33" t="n">
        <f>656000</f>
        <v>656000.0</v>
      </c>
      <c r="P384" s="34" t="s">
        <v>69</v>
      </c>
      <c r="Q384" s="33" t="n">
        <f>668000</f>
        <v>668000.0</v>
      </c>
      <c r="R384" s="34" t="s">
        <v>50</v>
      </c>
      <c r="S384" s="35" t="n">
        <f>677300</f>
        <v>677300.0</v>
      </c>
      <c r="T384" s="32" t="n">
        <f>21748</f>
        <v>21748.0</v>
      </c>
      <c r="U384" s="32" t="n">
        <f>5458</f>
        <v>5458.0</v>
      </c>
      <c r="V384" s="32" t="n">
        <f>14785719099</f>
        <v>1.4785719099E10</v>
      </c>
      <c r="W384" s="32" t="n">
        <f>3720895099</f>
        <v>3.720895099E9</v>
      </c>
      <c r="X384" s="36" t="n">
        <f>20</f>
        <v>20.0</v>
      </c>
    </row>
    <row r="385">
      <c r="A385" s="27" t="s">
        <v>42</v>
      </c>
      <c r="B385" s="27" t="s">
        <v>1205</v>
      </c>
      <c r="C385" s="27" t="s">
        <v>1206</v>
      </c>
      <c r="D385" s="27" t="s">
        <v>1207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143300</f>
        <v>143300.0</v>
      </c>
      <c r="L385" s="34" t="s">
        <v>48</v>
      </c>
      <c r="M385" s="33" t="n">
        <f>145600</f>
        <v>145600.0</v>
      </c>
      <c r="N385" s="34" t="s">
        <v>60</v>
      </c>
      <c r="O385" s="33" t="n">
        <f>140200</f>
        <v>140200.0</v>
      </c>
      <c r="P385" s="34" t="s">
        <v>69</v>
      </c>
      <c r="Q385" s="33" t="n">
        <f>141100</f>
        <v>141100.0</v>
      </c>
      <c r="R385" s="34" t="s">
        <v>50</v>
      </c>
      <c r="S385" s="35" t="n">
        <f>143265</f>
        <v>143265.0</v>
      </c>
      <c r="T385" s="32" t="n">
        <f>28884</f>
        <v>28884.0</v>
      </c>
      <c r="U385" s="32" t="n">
        <f>5651</f>
        <v>5651.0</v>
      </c>
      <c r="V385" s="32" t="n">
        <f>4132695764</f>
        <v>4.132695764E9</v>
      </c>
      <c r="W385" s="32" t="n">
        <f>808331564</f>
        <v>8.08331564E8</v>
      </c>
      <c r="X385" s="36" t="n">
        <f>20</f>
        <v>20.0</v>
      </c>
    </row>
    <row r="386">
      <c r="A386" s="27" t="s">
        <v>42</v>
      </c>
      <c r="B386" s="27" t="s">
        <v>1208</v>
      </c>
      <c r="C386" s="27" t="s">
        <v>1209</v>
      </c>
      <c r="D386" s="27" t="s">
        <v>1210</v>
      </c>
      <c r="E386" s="28" t="s">
        <v>46</v>
      </c>
      <c r="F386" s="29" t="s">
        <v>46</v>
      </c>
      <c r="G386" s="30" t="s">
        <v>46</v>
      </c>
      <c r="H386" s="31"/>
      <c r="I386" s="31" t="s">
        <v>548</v>
      </c>
      <c r="J386" s="32" t="n">
        <v>1.0</v>
      </c>
      <c r="K386" s="33" t="n">
        <f>217600</f>
        <v>217600.0</v>
      </c>
      <c r="L386" s="34" t="s">
        <v>48</v>
      </c>
      <c r="M386" s="33" t="n">
        <f>223000</f>
        <v>223000.0</v>
      </c>
      <c r="N386" s="34" t="s">
        <v>49</v>
      </c>
      <c r="O386" s="33" t="n">
        <f>215500</f>
        <v>215500.0</v>
      </c>
      <c r="P386" s="34" t="s">
        <v>48</v>
      </c>
      <c r="Q386" s="33" t="n">
        <f>218800</f>
        <v>218800.0</v>
      </c>
      <c r="R386" s="34" t="s">
        <v>50</v>
      </c>
      <c r="S386" s="35" t="n">
        <f>219345</f>
        <v>219345.0</v>
      </c>
      <c r="T386" s="32" t="n">
        <f>14060</f>
        <v>14060.0</v>
      </c>
      <c r="U386" s="32" t="n">
        <f>2350</f>
        <v>2350.0</v>
      </c>
      <c r="V386" s="32" t="n">
        <f>3082661651</f>
        <v>3.082661651E9</v>
      </c>
      <c r="W386" s="32" t="n">
        <f>514338351</f>
        <v>5.14338351E8</v>
      </c>
      <c r="X386" s="36" t="n">
        <f>20</f>
        <v>20.0</v>
      </c>
    </row>
    <row r="387">
      <c r="A387" s="27" t="s">
        <v>42</v>
      </c>
      <c r="B387" s="27" t="s">
        <v>1211</v>
      </c>
      <c r="C387" s="27" t="s">
        <v>1212</v>
      </c>
      <c r="D387" s="27" t="s">
        <v>1213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269300</f>
        <v>269300.0</v>
      </c>
      <c r="L387" s="34" t="s">
        <v>48</v>
      </c>
      <c r="M387" s="33" t="n">
        <f>270400</f>
        <v>270400.0</v>
      </c>
      <c r="N387" s="34" t="s">
        <v>48</v>
      </c>
      <c r="O387" s="33" t="n">
        <f>257900</f>
        <v>257900.0</v>
      </c>
      <c r="P387" s="34" t="s">
        <v>69</v>
      </c>
      <c r="Q387" s="33" t="n">
        <f>263800</f>
        <v>263800.0</v>
      </c>
      <c r="R387" s="34" t="s">
        <v>50</v>
      </c>
      <c r="S387" s="35" t="n">
        <f>264090</f>
        <v>264090.0</v>
      </c>
      <c r="T387" s="32" t="n">
        <f>262314</f>
        <v>262314.0</v>
      </c>
      <c r="U387" s="32" t="n">
        <f>31259</f>
        <v>31259.0</v>
      </c>
      <c r="V387" s="32" t="n">
        <f>69279608314</f>
        <v>6.9279608314E10</v>
      </c>
      <c r="W387" s="32" t="n">
        <f>8226975614</f>
        <v>8.226975614E9</v>
      </c>
      <c r="X387" s="36" t="n">
        <f>20</f>
        <v>20.0</v>
      </c>
    </row>
    <row r="388">
      <c r="A388" s="27" t="s">
        <v>42</v>
      </c>
      <c r="B388" s="27" t="s">
        <v>1214</v>
      </c>
      <c r="C388" s="27" t="s">
        <v>1215</v>
      </c>
      <c r="D388" s="27" t="s">
        <v>1216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72500</f>
        <v>72500.0</v>
      </c>
      <c r="L388" s="34" t="s">
        <v>48</v>
      </c>
      <c r="M388" s="33" t="n">
        <f>79500</f>
        <v>79500.0</v>
      </c>
      <c r="N388" s="34" t="s">
        <v>250</v>
      </c>
      <c r="O388" s="33" t="n">
        <f>71800</f>
        <v>71800.0</v>
      </c>
      <c r="P388" s="34" t="s">
        <v>48</v>
      </c>
      <c r="Q388" s="33" t="n">
        <f>78100</f>
        <v>78100.0</v>
      </c>
      <c r="R388" s="34" t="s">
        <v>50</v>
      </c>
      <c r="S388" s="35" t="n">
        <f>75675</f>
        <v>75675.0</v>
      </c>
      <c r="T388" s="32" t="n">
        <f>619962</f>
        <v>619962.0</v>
      </c>
      <c r="U388" s="32" t="n">
        <f>140718</f>
        <v>140718.0</v>
      </c>
      <c r="V388" s="32" t="n">
        <f>46996105615</f>
        <v>4.6996105615E10</v>
      </c>
      <c r="W388" s="32" t="n">
        <f>10712664215</f>
        <v>1.0712664215E10</v>
      </c>
      <c r="X388" s="36" t="n">
        <f>20</f>
        <v>20.0</v>
      </c>
    </row>
    <row r="389">
      <c r="A389" s="27" t="s">
        <v>42</v>
      </c>
      <c r="B389" s="27" t="s">
        <v>1217</v>
      </c>
      <c r="C389" s="27" t="s">
        <v>1218</v>
      </c>
      <c r="D389" s="27" t="s">
        <v>1219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111500</f>
        <v>111500.0</v>
      </c>
      <c r="L389" s="34" t="s">
        <v>48</v>
      </c>
      <c r="M389" s="33" t="n">
        <f>116700</f>
        <v>116700.0</v>
      </c>
      <c r="N389" s="34" t="s">
        <v>90</v>
      </c>
      <c r="O389" s="33" t="n">
        <f>109100</f>
        <v>109100.0</v>
      </c>
      <c r="P389" s="34" t="s">
        <v>69</v>
      </c>
      <c r="Q389" s="33" t="n">
        <f>110900</f>
        <v>110900.0</v>
      </c>
      <c r="R389" s="34" t="s">
        <v>50</v>
      </c>
      <c r="S389" s="35" t="n">
        <f>113680</f>
        <v>113680.0</v>
      </c>
      <c r="T389" s="32" t="n">
        <f>114844</f>
        <v>114844.0</v>
      </c>
      <c r="U389" s="32" t="n">
        <f>23942</f>
        <v>23942.0</v>
      </c>
      <c r="V389" s="32" t="n">
        <f>13040846059</f>
        <v>1.3040846059E10</v>
      </c>
      <c r="W389" s="32" t="n">
        <f>2713570859</f>
        <v>2.713570859E9</v>
      </c>
      <c r="X389" s="36" t="n">
        <f>20</f>
        <v>20.0</v>
      </c>
    </row>
    <row r="390">
      <c r="A390" s="27" t="s">
        <v>42</v>
      </c>
      <c r="B390" s="27" t="s">
        <v>1220</v>
      </c>
      <c r="C390" s="27" t="s">
        <v>1221</v>
      </c>
      <c r="D390" s="27" t="s">
        <v>1222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132600</f>
        <v>132600.0</v>
      </c>
      <c r="L390" s="34" t="s">
        <v>48</v>
      </c>
      <c r="M390" s="33" t="n">
        <f>136400</f>
        <v>136400.0</v>
      </c>
      <c r="N390" s="34" t="s">
        <v>264</v>
      </c>
      <c r="O390" s="33" t="n">
        <f>129700</f>
        <v>129700.0</v>
      </c>
      <c r="P390" s="34" t="s">
        <v>69</v>
      </c>
      <c r="Q390" s="33" t="n">
        <f>132300</f>
        <v>132300.0</v>
      </c>
      <c r="R390" s="34" t="s">
        <v>50</v>
      </c>
      <c r="S390" s="35" t="n">
        <f>133315</f>
        <v>133315.0</v>
      </c>
      <c r="T390" s="32" t="n">
        <f>79004</f>
        <v>79004.0</v>
      </c>
      <c r="U390" s="32" t="n">
        <f>15480</f>
        <v>15480.0</v>
      </c>
      <c r="V390" s="32" t="n">
        <f>10525177493</f>
        <v>1.0525177493E10</v>
      </c>
      <c r="W390" s="32" t="n">
        <f>2059603393</f>
        <v>2.059603393E9</v>
      </c>
      <c r="X390" s="36" t="n">
        <f>20</f>
        <v>20.0</v>
      </c>
    </row>
    <row r="391">
      <c r="A391" s="27" t="s">
        <v>42</v>
      </c>
      <c r="B391" s="27" t="s">
        <v>1223</v>
      </c>
      <c r="C391" s="27" t="s">
        <v>1224</v>
      </c>
      <c r="D391" s="27" t="s">
        <v>1225</v>
      </c>
      <c r="E391" s="28" t="s">
        <v>46</v>
      </c>
      <c r="F391" s="29" t="s">
        <v>46</v>
      </c>
      <c r="G391" s="30" t="s">
        <v>46</v>
      </c>
      <c r="H391" s="31"/>
      <c r="I391" s="31" t="s">
        <v>548</v>
      </c>
      <c r="J391" s="32" t="n">
        <v>1.0</v>
      </c>
      <c r="K391" s="33" t="n">
        <f>71900</f>
        <v>71900.0</v>
      </c>
      <c r="L391" s="34" t="s">
        <v>48</v>
      </c>
      <c r="M391" s="33" t="n">
        <f>74000</f>
        <v>74000.0</v>
      </c>
      <c r="N391" s="34" t="s">
        <v>67</v>
      </c>
      <c r="O391" s="33" t="n">
        <f>71100</f>
        <v>71100.0</v>
      </c>
      <c r="P391" s="34" t="s">
        <v>246</v>
      </c>
      <c r="Q391" s="33" t="n">
        <f>72600</f>
        <v>72600.0</v>
      </c>
      <c r="R391" s="34" t="s">
        <v>50</v>
      </c>
      <c r="S391" s="35" t="n">
        <f>72540</f>
        <v>72540.0</v>
      </c>
      <c r="T391" s="32" t="n">
        <f>2714</f>
        <v>2714.0</v>
      </c>
      <c r="U391" s="32" t="n">
        <f>504</f>
        <v>504.0</v>
      </c>
      <c r="V391" s="32" t="n">
        <f>197921400</f>
        <v>1.979214E8</v>
      </c>
      <c r="W391" s="32" t="n">
        <f>37265500</f>
        <v>3.72655E7</v>
      </c>
      <c r="X391" s="36" t="n">
        <f>20</f>
        <v>20.0</v>
      </c>
    </row>
    <row r="392">
      <c r="A392" s="27" t="s">
        <v>42</v>
      </c>
      <c r="B392" s="27" t="s">
        <v>1226</v>
      </c>
      <c r="C392" s="27" t="s">
        <v>1227</v>
      </c>
      <c r="D392" s="27" t="s">
        <v>1228</v>
      </c>
      <c r="E392" s="28" t="s">
        <v>46</v>
      </c>
      <c r="F392" s="29" t="s">
        <v>46</v>
      </c>
      <c r="G392" s="30" t="s">
        <v>46</v>
      </c>
      <c r="H392" s="31"/>
      <c r="I392" s="31" t="s">
        <v>548</v>
      </c>
      <c r="J392" s="32" t="n">
        <v>1.0</v>
      </c>
      <c r="K392" s="33" t="n">
        <f>118700</f>
        <v>118700.0</v>
      </c>
      <c r="L392" s="34" t="s">
        <v>48</v>
      </c>
      <c r="M392" s="33" t="n">
        <f>122500</f>
        <v>122500.0</v>
      </c>
      <c r="N392" s="34" t="s">
        <v>221</v>
      </c>
      <c r="O392" s="33" t="n">
        <f>118700</f>
        <v>118700.0</v>
      </c>
      <c r="P392" s="34" t="s">
        <v>48</v>
      </c>
      <c r="Q392" s="33" t="n">
        <f>121500</f>
        <v>121500.0</v>
      </c>
      <c r="R392" s="34" t="s">
        <v>50</v>
      </c>
      <c r="S392" s="35" t="n">
        <f>120695</f>
        <v>120695.0</v>
      </c>
      <c r="T392" s="32" t="n">
        <f>10495</f>
        <v>10495.0</v>
      </c>
      <c r="U392" s="32" t="n">
        <f>935</f>
        <v>935.0</v>
      </c>
      <c r="V392" s="32" t="n">
        <f>1267792697</f>
        <v>1.267792697E9</v>
      </c>
      <c r="W392" s="32" t="n">
        <f>114790297</f>
        <v>1.14790297E8</v>
      </c>
      <c r="X392" s="36" t="n">
        <f>20</f>
        <v>20.0</v>
      </c>
    </row>
    <row r="393">
      <c r="A393" s="27" t="s">
        <v>42</v>
      </c>
      <c r="B393" s="27" t="s">
        <v>1229</v>
      </c>
      <c r="C393" s="27" t="s">
        <v>1230</v>
      </c>
      <c r="D393" s="27" t="s">
        <v>1231</v>
      </c>
      <c r="E393" s="28" t="s">
        <v>46</v>
      </c>
      <c r="F393" s="29" t="s">
        <v>46</v>
      </c>
      <c r="G393" s="30" t="s">
        <v>46</v>
      </c>
      <c r="H393" s="31"/>
      <c r="I393" s="31" t="s">
        <v>548</v>
      </c>
      <c r="J393" s="32" t="n">
        <v>1.0</v>
      </c>
      <c r="K393" s="33" t="n">
        <f>91500</f>
        <v>91500.0</v>
      </c>
      <c r="L393" s="34" t="s">
        <v>48</v>
      </c>
      <c r="M393" s="33" t="n">
        <f>92700</f>
        <v>92700.0</v>
      </c>
      <c r="N393" s="34" t="s">
        <v>246</v>
      </c>
      <c r="O393" s="33" t="n">
        <f>91400</f>
        <v>91400.0</v>
      </c>
      <c r="P393" s="34" t="s">
        <v>48</v>
      </c>
      <c r="Q393" s="33" t="n">
        <f>92300</f>
        <v>92300.0</v>
      </c>
      <c r="R393" s="34" t="s">
        <v>50</v>
      </c>
      <c r="S393" s="35" t="n">
        <f>92215</f>
        <v>92215.0</v>
      </c>
      <c r="T393" s="32" t="n">
        <f>3982</f>
        <v>3982.0</v>
      </c>
      <c r="U393" s="32" t="n">
        <f>5</f>
        <v>5.0</v>
      </c>
      <c r="V393" s="32" t="n">
        <f>367048600</f>
        <v>3.670486E8</v>
      </c>
      <c r="W393" s="32" t="n">
        <f>462300</f>
        <v>462300.0</v>
      </c>
      <c r="X393" s="36" t="n">
        <f>20</f>
        <v>20.0</v>
      </c>
    </row>
    <row r="394">
      <c r="A394" s="27" t="s">
        <v>42</v>
      </c>
      <c r="B394" s="27" t="s">
        <v>1232</v>
      </c>
      <c r="C394" s="27" t="s">
        <v>1233</v>
      </c>
      <c r="D394" s="27" t="s">
        <v>1234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90200</f>
        <v>90200.0</v>
      </c>
      <c r="L394" s="34" t="s">
        <v>48</v>
      </c>
      <c r="M394" s="33" t="n">
        <f>92100</f>
        <v>92100.0</v>
      </c>
      <c r="N394" s="34" t="s">
        <v>69</v>
      </c>
      <c r="O394" s="33" t="n">
        <f>90200</f>
        <v>90200.0</v>
      </c>
      <c r="P394" s="34" t="s">
        <v>48</v>
      </c>
      <c r="Q394" s="33" t="n">
        <f>91800</f>
        <v>91800.0</v>
      </c>
      <c r="R394" s="34" t="s">
        <v>50</v>
      </c>
      <c r="S394" s="35" t="n">
        <f>91360</f>
        <v>91360.0</v>
      </c>
      <c r="T394" s="32" t="n">
        <f>24579</f>
        <v>24579.0</v>
      </c>
      <c r="U394" s="32" t="n">
        <f>1054</f>
        <v>1054.0</v>
      </c>
      <c r="V394" s="32" t="n">
        <f>2245664800</f>
        <v>2.2456648E9</v>
      </c>
      <c r="W394" s="32" t="n">
        <f>97662900</f>
        <v>9.76629E7</v>
      </c>
      <c r="X394" s="36" t="n">
        <f>20</f>
        <v>20.0</v>
      </c>
    </row>
    <row r="395">
      <c r="A395" s="27" t="s">
        <v>42</v>
      </c>
      <c r="B395" s="27" t="s">
        <v>1235</v>
      </c>
      <c r="C395" s="27" t="s">
        <v>1236</v>
      </c>
      <c r="D395" s="27" t="s">
        <v>1237</v>
      </c>
      <c r="E395" s="28" t="s">
        <v>46</v>
      </c>
      <c r="F395" s="29" t="s">
        <v>46</v>
      </c>
      <c r="G395" s="30" t="s">
        <v>46</v>
      </c>
      <c r="H395" s="31"/>
      <c r="I395" s="31" t="s">
        <v>548</v>
      </c>
      <c r="J395" s="32" t="n">
        <v>1.0</v>
      </c>
      <c r="K395" s="33" t="n">
        <f>90700</f>
        <v>90700.0</v>
      </c>
      <c r="L395" s="34" t="s">
        <v>48</v>
      </c>
      <c r="M395" s="33" t="n">
        <f>92600</f>
        <v>92600.0</v>
      </c>
      <c r="N395" s="34" t="s">
        <v>67</v>
      </c>
      <c r="O395" s="33" t="n">
        <f>90700</f>
        <v>90700.0</v>
      </c>
      <c r="P395" s="34" t="s">
        <v>48</v>
      </c>
      <c r="Q395" s="33" t="n">
        <f>91600</f>
        <v>91600.0</v>
      </c>
      <c r="R395" s="34" t="s">
        <v>50</v>
      </c>
      <c r="S395" s="35" t="n">
        <f>91630</f>
        <v>91630.0</v>
      </c>
      <c r="T395" s="32" t="n">
        <f>11233</f>
        <v>11233.0</v>
      </c>
      <c r="U395" s="32" t="n">
        <f>2250</f>
        <v>2250.0</v>
      </c>
      <c r="V395" s="32" t="n">
        <f>1030448850</f>
        <v>1.03044885E9</v>
      </c>
      <c r="W395" s="32" t="n">
        <f>206931750</f>
        <v>2.0693175E8</v>
      </c>
      <c r="X395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