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<sst xmlns="http://schemas.openxmlformats.org/spreadsheetml/2006/main" count="3801" uniqueCount="1004">
  <si>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</si>
  <si>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</si>
  <si>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</si>
  <si>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</si>
  <si>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</si>
  <si>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</si>
  <si>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</si>
  <si>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</si>
  <si>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</si>
  <si>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</si>
  <si>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</si>
  <si>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</si>
  <si>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</si>
  <si>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</si>
  <si>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</si>
  <si>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</si>
  <si>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</si>
  <si>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</si>
  <si>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</si>
  <si>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</si>
  <si>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</si>
  <si>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</si>
  <si>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</si>
  <si>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</si>
  <si>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</si>
  <si>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</si>
  <si>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</si>
  <si>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</si>
  <si>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</si>
  <si>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</si>
  <si>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</si>
  <si>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</si>
  <si>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</si>
  <si>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</si>
  <si>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</si>
  <si>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</si>
  <si>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</si>
  <si>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</si>
  <si>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</si>
  <si>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</si>
  <si>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</si>
  <si>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</si>
  <si>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2020/01</t>
  </si>
  <si>
    <t>1305</t>
  </si>
  <si>
    <t>ダイワ上場投信－トピックス　受益証券</t>
  </si>
  <si>
    <t>Daiwa ETF-TOPIX</t>
  </si>
  <si>
    <t/>
  </si>
  <si>
    <t>貸借</t>
  </si>
  <si>
    <t>6</t>
  </si>
  <si>
    <t>20</t>
  </si>
  <si>
    <t>30</t>
  </si>
  <si>
    <t>31</t>
  </si>
  <si>
    <t>1306</t>
  </si>
  <si>
    <t>ＴＯＰＩＸ連動型上場投資信託　受益証券</t>
  </si>
  <si>
    <t>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</si>
  <si>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</si>
  <si>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</si>
  <si>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</si>
  <si>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</si>
  <si>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</si>
  <si>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</si>
  <si>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10</t>
  </si>
  <si>
    <t>1311</t>
  </si>
  <si>
    <t>ＴＯＰＩＸ　Ｃｏｒｅ　３０　連動型上場投資信託　受益証券</t>
  </si>
  <si>
    <t>TOPIX Core 30 Exchange Traded Fund</t>
  </si>
  <si>
    <t>8</t>
  </si>
  <si>
    <t>1312</t>
  </si>
  <si>
    <t>ラッセル野村小型コア・インデックス連動型上場投資信託　受益証券</t>
  </si>
  <si>
    <t>Russell/Nomura Small Cap Core Index Linked ETF</t>
  </si>
  <si>
    <t>1313</t>
  </si>
  <si>
    <t>サムスンＫＯＤＥＸ２００証券上場指数投資信託[株式]　受益証券</t>
  </si>
  <si>
    <t>SAMSUNG KODEX200 SECURITIES EXCHANGE TRADED FUND [STOCK]</t>
  </si>
  <si>
    <t>16</t>
  </si>
  <si>
    <t>1319</t>
  </si>
  <si>
    <t>日経３００株価指数連動型上場投資信託　受益証券</t>
  </si>
  <si>
    <t>Nikkei 300 Stock Index Listed Fund</t>
  </si>
  <si>
    <t>1320</t>
  </si>
  <si>
    <t>ダイワ上場投信－日経２２５　受益証券</t>
  </si>
  <si>
    <t>Daiwa ETF-Nikkei 225</t>
  </si>
  <si>
    <t>17</t>
  </si>
  <si>
    <t>1321</t>
  </si>
  <si>
    <t>日経２２５連動型上場投資信託　受益証券</t>
  </si>
  <si>
    <t>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</si>
  <si>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</si>
  <si>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</si>
  <si>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</si>
  <si>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15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</si>
  <si>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</si>
  <si>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</si>
  <si>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</si>
  <si>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14</t>
  </si>
  <si>
    <t>27</t>
  </si>
  <si>
    <t>1324</t>
  </si>
  <si>
    <t>ＮＥＸＴ　ＦＵＮＤＳ　ロシア株式指数・ＲＴＳ連動型上場投信　受益証券</t>
  </si>
  <si>
    <t>NEXT FUNDS Russia RTS Linked Exchange Traded Fund</t>
  </si>
  <si>
    <t>28</t>
  </si>
  <si>
    <t>1325</t>
  </si>
  <si>
    <t>ＮＥＸＴ　ＦＵＮＤＳ　ブラジル株式指数・ボベスパ連動型上場投信　受益証券</t>
  </si>
  <si>
    <t>NEXT FUNDS Ibovespa Linked Exchange Traded Fund</t>
  </si>
  <si>
    <t>23</t>
  </si>
  <si>
    <t>7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</si>
  <si>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</si>
  <si>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</si>
  <si>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</si>
  <si>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</si>
  <si>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</si>
  <si>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</si>
  <si>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</si>
  <si>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金価格連動型上場投資信託　受益証券</t>
  </si>
  <si>
    <t>Gold-Price-Linked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</si>
  <si>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</si>
  <si>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</si>
  <si>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</si>
  <si>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</si>
  <si>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</si>
  <si>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</si>
  <si>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</si>
  <si>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</si>
  <si>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</si>
  <si>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9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</si>
  <si>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</si>
  <si>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</si>
  <si>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</si>
  <si>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</si>
  <si>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</si>
  <si>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</si>
  <si>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</si>
  <si>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</si>
  <si>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</si>
  <si>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</si>
  <si>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</si>
  <si>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</si>
  <si>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</si>
  <si>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</si>
  <si>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</si>
  <si>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</si>
  <si>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</si>
  <si>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</si>
  <si>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</si>
  <si>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</si>
  <si>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</si>
  <si>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</si>
  <si>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</si>
  <si>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</si>
  <si>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</si>
  <si>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</si>
  <si>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</si>
  <si>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</si>
  <si>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</si>
  <si>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</si>
  <si>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21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</si>
  <si>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</si>
  <si>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</si>
  <si>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</si>
  <si>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</si>
  <si>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</si>
  <si>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</si>
  <si>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</si>
  <si>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</si>
  <si>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</si>
  <si>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</si>
  <si>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</si>
  <si>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</si>
  <si>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</si>
  <si>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</si>
  <si>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</si>
  <si>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</si>
  <si>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</si>
  <si>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</si>
  <si>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</si>
  <si>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</si>
  <si>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</si>
  <si>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</si>
  <si>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</si>
  <si>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</si>
  <si>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24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</si>
  <si>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</si>
  <si>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</si>
  <si>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</si>
  <si>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</si>
  <si>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</si>
  <si>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</si>
  <si>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</si>
  <si>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</si>
  <si>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</si>
  <si>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</si>
  <si>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</si>
  <si>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</si>
  <si>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</si>
  <si>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</si>
  <si>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</si>
  <si>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</si>
  <si>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</si>
  <si>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</si>
  <si>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</si>
  <si>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</si>
  <si>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</si>
  <si>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</si>
  <si>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</si>
  <si>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</si>
  <si>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</si>
  <si>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</si>
  <si>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</si>
  <si>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</si>
  <si>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</si>
  <si>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</si>
  <si>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</si>
  <si>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</si>
  <si>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</si>
  <si>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</si>
  <si>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</si>
  <si>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</si>
  <si>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</si>
  <si>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</si>
  <si>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</si>
  <si>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</si>
  <si>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</si>
  <si>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</si>
  <si>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</si>
  <si>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</si>
  <si>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</si>
  <si>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</si>
  <si>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</si>
  <si>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</si>
  <si>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</si>
  <si>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</si>
  <si>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</si>
  <si>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</si>
  <si>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</si>
  <si>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</si>
  <si>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</si>
  <si>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</si>
  <si>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</si>
  <si>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</si>
  <si>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</si>
  <si>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</si>
  <si>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</si>
  <si>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</si>
  <si>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</si>
  <si>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</si>
  <si>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</si>
  <si>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</si>
  <si>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</si>
  <si>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</si>
  <si>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</si>
  <si>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29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</si>
  <si>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</si>
  <si>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</si>
  <si>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</si>
  <si>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</si>
  <si>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</si>
  <si>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</si>
  <si>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</si>
  <si>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</si>
  <si>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</si>
  <si>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</si>
  <si>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</si>
  <si>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</si>
  <si>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</si>
  <si>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</si>
  <si>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</si>
  <si>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</si>
  <si>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</si>
  <si>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</si>
  <si>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</si>
  <si>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</si>
  <si>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</si>
  <si>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</si>
  <si>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</si>
  <si>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</si>
  <si>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</si>
  <si>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</si>
  <si>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</si>
  <si>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</si>
  <si>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</si>
  <si>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</si>
  <si>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</si>
  <si>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</si>
  <si>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</si>
  <si>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</si>
  <si>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</si>
  <si>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</si>
  <si>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</si>
  <si>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</si>
  <si>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</si>
  <si>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</si>
  <si>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</si>
  <si>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</si>
  <si>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</si>
  <si>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</si>
  <si>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</si>
  <si>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</si>
  <si>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</si>
  <si>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</si>
  <si>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</si>
  <si>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</si>
  <si>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</si>
  <si>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</si>
  <si>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</si>
  <si>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</si>
  <si>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</si>
  <si>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</si>
  <si>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</si>
  <si>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</si>
  <si>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</si>
  <si>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</si>
  <si>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</si>
  <si>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</si>
  <si>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</si>
  <si>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22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</si>
  <si>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</si>
  <si>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</si>
  <si>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</si>
  <si>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</si>
  <si>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</si>
  <si>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</si>
  <si>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</si>
  <si>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</si>
  <si>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</si>
  <si>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</si>
  <si>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</si>
  <si>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</si>
  <si>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</si>
  <si>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</si>
  <si>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</si>
  <si>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</si>
  <si>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</si>
  <si>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</si>
  <si>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</si>
  <si>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</si>
  <si>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</si>
  <si>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</si>
  <si>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</si>
  <si>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</si>
  <si>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</si>
  <si>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</si>
  <si>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</si>
  <si>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</si>
  <si>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</si>
  <si>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</si>
  <si>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</si>
  <si>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</si>
  <si>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</si>
  <si>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</si>
  <si>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</si>
  <si>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</si>
  <si>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</si>
  <si>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</si>
  <si>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</si>
  <si>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</si>
  <si>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</si>
  <si>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</si>
  <si>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</si>
  <si>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</si>
  <si>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</si>
  <si>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</si>
  <si>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</si>
  <si>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</si>
  <si>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</si>
  <si>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</si>
  <si>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</si>
  <si>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</si>
  <si>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</si>
  <si>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</si>
  <si>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</si>
  <si>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</si>
  <si>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</si>
  <si>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</si>
  <si>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</si>
  <si>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</si>
  <si>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</si>
  <si>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</si>
  <si>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</si>
  <si>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</si>
  <si>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</si>
  <si>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</si>
  <si>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</si>
  <si>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</si>
  <si>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</si>
  <si>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</si>
  <si>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</si>
  <si>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</si>
  <si>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</si>
  <si>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</si>
  <si>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</si>
  <si>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</si>
  <si>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</si>
  <si>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</si>
  <si>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</si>
  <si>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</si>
  <si>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</si>
  <si>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</si>
  <si>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</si>
  <si>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</si>
  <si>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</si>
  <si>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</si>
  <si>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</si>
  <si>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</si>
  <si>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</si>
  <si>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</si>
  <si>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</si>
  <si>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</si>
  <si>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</si>
  <si>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</si>
  <si>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</si>
  <si>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</si>
  <si>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</si>
  <si>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</si>
  <si>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</si>
  <si>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</si>
  <si>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</si>
  <si>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</si>
  <si>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</si>
  <si>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</si>
  <si>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</si>
  <si>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</si>
  <si>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</si>
  <si>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</si>
  <si>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</si>
  <si>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</si>
  <si>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</si>
  <si>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</si>
  <si>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</si>
  <si>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</si>
  <si>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</si>
  <si>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</si>
  <si>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ETF・TOPIX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</si>
  <si>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</si>
  <si>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</si>
  <si>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</si>
  <si>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</si>
  <si>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</si>
  <si>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</si>
  <si>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</si>
  <si>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</si>
  <si>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</si>
  <si>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</si>
  <si>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</si>
  <si>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</si>
  <si>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</si>
  <si>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</si>
  <si>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</si>
  <si>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</si>
  <si>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</si>
  <si>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</si>
  <si>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</si>
  <si>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</si>
  <si>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</si>
  <si>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</si>
  <si>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</si>
  <si>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</si>
  <si>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</si>
  <si>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</si>
  <si>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</si>
  <si>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1613</t>
  </si>
  <si>
    <t>東証電気機器株価指数連動型上場投資信託　受益証券</t>
  </si>
  <si>
    <t>TOPIX Electric Appliances Exchange Traded Fund</t>
  </si>
  <si>
    <t>1615</t>
  </si>
  <si>
    <t>東証銀行業株価指数連動型上場投資信託　受益証券</t>
  </si>
  <si>
    <t>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</si>
  <si>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</si>
  <si>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</si>
  <si>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</si>
  <si>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</si>
  <si>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</si>
  <si>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</si>
  <si>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</si>
  <si>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</si>
  <si>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</si>
  <si>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</si>
  <si>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</si>
  <si>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</si>
  <si>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</si>
  <si>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</si>
  <si>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</si>
  <si>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</si>
  <si>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</si>
  <si>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</si>
  <si>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</si>
  <si>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</si>
  <si>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</si>
  <si>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</si>
  <si>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</si>
  <si>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</si>
  <si>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</si>
  <si>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</si>
  <si>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</si>
  <si>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</si>
  <si>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</si>
  <si>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</si>
  <si>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</si>
  <si>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</si>
  <si>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</si>
  <si>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</si>
  <si>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</si>
  <si>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</si>
  <si>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</si>
  <si>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</si>
  <si>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</si>
  <si>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</si>
  <si>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</si>
  <si>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</si>
  <si>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</si>
  <si>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</si>
  <si>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</si>
  <si>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</si>
  <si>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</si>
  <si>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</si>
  <si>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</si>
  <si>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</si>
  <si>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</si>
  <si>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</si>
  <si>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</si>
  <si>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</si>
  <si>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</si>
  <si>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</si>
  <si>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</si>
  <si>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</si>
  <si>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</si>
  <si>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</si>
  <si>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</si>
  <si>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</si>
  <si>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</si>
  <si>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</si>
  <si>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</si>
  <si>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</si>
  <si>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</si>
  <si>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</si>
  <si>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</si>
  <si>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</si>
  <si>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</si>
  <si>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</si>
  <si>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</si>
  <si>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</si>
  <si>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</si>
  <si>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</si>
  <si>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</si>
  <si>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</si>
  <si>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</si>
  <si>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</si>
  <si>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</si>
  <si>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</si>
  <si>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</si>
  <si>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</si>
  <si>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</si>
  <si>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</si>
  <si>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</si>
  <si>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</si>
  <si>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</si>
  <si>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</si>
  <si>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</si>
  <si>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</si>
  <si>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</si>
  <si>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</si>
  <si>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</si>
  <si>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</si>
  <si>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</si>
  <si>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</si>
  <si>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</si>
  <si>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</si>
  <si>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</si>
  <si>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</si>
  <si>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</si>
  <si>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</si>
  <si>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</si>
  <si>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</si>
  <si>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</si>
  <si>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</si>
  <si>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</si>
  <si>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</si>
  <si>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</si>
  <si>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</si>
  <si>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</si>
  <si>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</si>
  <si>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</si>
  <si>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</si>
  <si>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</si>
  <si>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</si>
  <si>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日経・東商取白金指数連動型上場投信　受益証券</t>
  </si>
  <si>
    <t>NEXT FUNDS Nikkei-TOCOM Platinum Index Linked Exchange</t>
  </si>
  <si>
    <t>1683</t>
  </si>
  <si>
    <t>Ｏｎｅ　ＥＴＦ　国内金先物　受益証券</t>
  </si>
  <si>
    <t>One ETF Gold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</si>
  <si>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</si>
  <si>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</si>
  <si>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</si>
  <si>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</si>
  <si>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</si>
  <si>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</si>
  <si>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</si>
  <si>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</si>
  <si>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</si>
  <si>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</si>
  <si>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</si>
  <si>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</si>
  <si>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</si>
  <si>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</si>
  <si>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</si>
  <si>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</si>
  <si>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</si>
  <si>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</si>
  <si>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</si>
  <si>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</si>
  <si>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</si>
  <si>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</si>
  <si>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</si>
  <si>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</si>
  <si>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</si>
  <si>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</si>
  <si>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</si>
  <si>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</si>
  <si>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</si>
  <si>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</si>
  <si>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</si>
  <si>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</si>
  <si>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</si>
  <si>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</si>
  <si>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</si>
  <si>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</si>
  <si>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</si>
  <si>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</si>
  <si>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</si>
  <si>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</si>
  <si>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</si>
  <si>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</si>
  <si>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</si>
  <si>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</si>
  <si>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</si>
  <si>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</si>
  <si>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</si>
  <si>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</si>
  <si>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</si>
  <si>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</si>
  <si>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</si>
  <si>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</si>
  <si>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</si>
  <si>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</si>
  <si>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</si>
  <si>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</si>
  <si>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</si>
  <si>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</si>
  <si>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</si>
  <si>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</si>
  <si>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</si>
  <si>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</si>
  <si>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</si>
  <si>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</si>
  <si>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</si>
  <si>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日経・ＴＯＣＯＭ　金　ダブル・ブル　ＥＴＮ　受益証券</t>
  </si>
  <si>
    <t>NEXT NOTES Nikkei-TOCOM Leveraged Gold ETN</t>
  </si>
  <si>
    <t>2037</t>
  </si>
  <si>
    <t>ＮＥＸＴ　ＮＯＴＥＳ　日経・ＴＯＣＯＭ　金　ベア　ＥＴＮ　受益証券</t>
  </si>
  <si>
    <t>NEXT NOTES Nikkei-TOCOM Inverse Gold ETN</t>
  </si>
  <si>
    <t>2038</t>
  </si>
  <si>
    <t>ＮＥＸＴ　ＮＯＴＥＳ　日経・ＴＯＣＯＭ　原油　ダブル・ブル　ＥＴＮ　受益証券</t>
  </si>
  <si>
    <t>NEXT NOTES Nikkei-TOCOM Leveraged Crude Oil ETN</t>
  </si>
  <si>
    <t>2039</t>
  </si>
  <si>
    <t>ＮＥＸＴ　ＮＯＴＥＳ　日経・ＴＯＣＯＭ　原油　ベア　ＥＴＮ　受益証券</t>
  </si>
  <si>
    <t>NEXT NOTES Nikkei-TOCOM Inverse Crude Oil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</si>
  <si>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</si>
  <si>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</si>
  <si>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</si>
  <si>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</si>
  <si>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</si>
  <si>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</si>
  <si>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</si>
  <si>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</si>
  <si>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</si>
  <si>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</si>
  <si>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</si>
  <si>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</si>
  <si>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</si>
  <si>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</si>
  <si>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</si>
  <si>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</si>
  <si>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</si>
  <si>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</si>
  <si>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</si>
  <si>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</si>
  <si>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</si>
  <si>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</si>
  <si>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</si>
  <si>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</si>
  <si>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</si>
  <si>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</si>
  <si>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</si>
  <si>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</si>
  <si>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</si>
  <si>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</si>
  <si>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</si>
  <si>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</si>
  <si>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</si>
  <si>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</si>
  <si>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</si>
  <si>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</si>
  <si>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</si>
  <si>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</si>
  <si>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</si>
  <si>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</si>
  <si>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</si>
  <si>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</si>
  <si>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</si>
  <si>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</si>
  <si>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</si>
  <si>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</si>
  <si>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</si>
  <si>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</si>
  <si>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</si>
  <si>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</si>
  <si>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</si>
  <si>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</si>
  <si>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</si>
  <si>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</si>
  <si>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</si>
  <si>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</si>
  <si>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</si>
  <si>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</si>
  <si>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</si>
  <si>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</si>
  <si>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</si>
  <si>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</si>
  <si>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</si>
  <si>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</si>
  <si>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</si>
  <si>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</si>
  <si>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</si>
  <si>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</si>
  <si>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</si>
  <si>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</si>
  <si>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</si>
  <si>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</si>
  <si>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</si>
  <si>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</si>
  <si>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</si>
  <si>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</si>
  <si>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</si>
  <si>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</si>
  <si>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</si>
  <si>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</si>
  <si>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</si>
  <si>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</si>
  <si>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</si>
  <si>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</si>
  <si>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</si>
  <si>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</si>
  <si>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</si>
  <si>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</si>
  <si>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</si>
  <si>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</si>
  <si>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</si>
  <si>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</si>
  <si>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</si>
  <si>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</si>
  <si>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</si>
  <si>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</si>
  <si>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</si>
  <si>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</si>
  <si>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</si>
  <si>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</si>
  <si>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</si>
  <si>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</si>
  <si>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</si>
  <si>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</si>
  <si>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</si>
  <si>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</si>
  <si>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</si>
  <si>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</si>
  <si>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</si>
  <si>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</si>
  <si>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</si>
  <si>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</si>
  <si>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</si>
  <si>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</si>
  <si>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</si>
  <si>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</si>
  <si>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</si>
  <si>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</si>
  <si>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</si>
  <si>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</si>
  <si>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</si>
  <si>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</si>
  <si>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</si>
  <si>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</si>
  <si>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</si>
  <si>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</si>
  <si>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</si>
  <si>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</si>
  <si>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</si>
  <si>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 xml:space="preserve">新規上場  </t>
  </si>
  <si>
    <t xml:space="preserve">New Listing  </t>
  </si>
  <si>
    <t xml:space="preserve">2020/01/09  </t>
  </si>
  <si>
    <t>2559</t>
  </si>
  <si>
    <t>ＭＡＸＩＳ全世界株式（オール・カントリー）上場投信　受益証券</t>
  </si>
  <si>
    <t>MAXIS World Equity (MSCI ACWI)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</si>
  <si>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</si>
  <si>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</si>
  <si>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</si>
  <si>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</si>
  <si>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</si>
  <si>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</si>
  <si>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</si>
  <si>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</si>
  <si>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</si>
  <si>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</si>
  <si>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</si>
  <si>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</si>
  <si>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</si>
  <si>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</si>
  <si>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</si>
  <si>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</si>
  <si>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</si>
  <si>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</si>
  <si>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</si>
  <si>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</si>
  <si>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</si>
  <si>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</si>
  <si>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</si>
  <si>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</si>
  <si>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</si>
  <si>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</si>
  <si>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</si>
  <si>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</si>
  <si>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</si>
  <si>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</si>
  <si>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</si>
  <si>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</si>
  <si>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</si>
  <si>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</si>
  <si>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</si>
  <si>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</si>
  <si>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</si>
  <si>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</si>
  <si>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</si>
  <si>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</si>
  <si>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</si>
  <si>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</si>
  <si>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</si>
  <si>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</si>
  <si>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</si>
  <si>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</si>
  <si>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</si>
  <si>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</si>
  <si>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</si>
  <si>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</si>
  <si>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</si>
  <si>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</si>
  <si>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</si>
  <si>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</si>
  <si>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</si>
  <si>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</si>
  <si>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</si>
  <si>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3308</t>
  </si>
  <si>
    <t>日本ヘルスケア投資法人　投資証券</t>
  </si>
  <si>
    <t>Nippon Healthcare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</si>
  <si>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</si>
  <si>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</si>
  <si>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</si>
  <si>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</si>
  <si>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</si>
  <si>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</si>
  <si>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</si>
  <si>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</si>
  <si>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</si>
  <si>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</si>
  <si>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</si>
  <si>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</si>
  <si>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</si>
  <si>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</si>
  <si>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</si>
  <si>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</si>
  <si>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</si>
  <si>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</si>
  <si>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</si>
  <si>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</si>
  <si>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</si>
  <si>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</si>
  <si>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</si>
  <si>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</si>
  <si>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</si>
  <si>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</si>
  <si>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</si>
  <si>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</si>
  <si>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</si>
  <si>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</si>
  <si>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</si>
  <si>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</si>
  <si>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</si>
  <si>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</si>
  <si>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</si>
  <si>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</si>
  <si>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3473</t>
  </si>
  <si>
    <t>さくら総合リート投資法人　投資証券</t>
  </si>
  <si>
    <t>SAKURA SOGO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</si>
  <si>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</si>
  <si>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</si>
  <si>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</si>
  <si>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</si>
  <si>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</si>
  <si>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</si>
  <si>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</si>
  <si>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</si>
  <si>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</si>
  <si>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</si>
  <si>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</si>
  <si>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</si>
  <si>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</si>
  <si>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</si>
  <si>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</si>
  <si>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</si>
  <si>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</si>
  <si>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</si>
  <si>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</si>
  <si>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</si>
  <si>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</si>
  <si>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</si>
  <si>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</si>
  <si>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</si>
  <si>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</si>
  <si>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</si>
  <si>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</si>
  <si>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</si>
  <si>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</si>
  <si>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</si>
  <si>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</si>
  <si>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</si>
  <si>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</si>
  <si>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</si>
  <si>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</si>
  <si>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</si>
  <si>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</si>
  <si>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</si>
  <si>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</si>
  <si>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</si>
  <si>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</si>
  <si>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</si>
  <si>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</si>
  <si>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</si>
  <si>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</si>
  <si>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</si>
  <si>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</si>
  <si>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</si>
  <si>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</si>
  <si>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</si>
  <si>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</si>
  <si>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</si>
  <si>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</si>
  <si>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</si>
  <si>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</si>
  <si>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</si>
  <si>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</si>
  <si>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</si>
  <si>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</si>
  <si>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</si>
  <si>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</si>
  <si>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</si>
  <si>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</si>
  <si>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</si>
  <si>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</si>
  <si>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</si>
  <si>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</si>
  <si>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</si>
  <si>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</si>
  <si>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</si>
  <si>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</si>
  <si>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</si>
  <si>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</si>
  <si>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</si>
  <si>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</si>
  <si>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</si>
  <si>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</si>
  <si>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</si>
  <si>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</si>
  <si>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</si>
  <si>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</si>
  <si>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</si>
  <si>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</si>
  <si>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</si>
  <si>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</si>
  <si>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</si>
  <si>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</si>
  <si>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</si>
  <si>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日本賃貸住宅投資法人　投資証券</t>
  </si>
  <si>
    <t>Japan Rental Housing Investments Inc.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</si>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</sst>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18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1781</f>
        <v>1781.0</v>
      </c>
      <c r="L7" s="34" t="s">
        <v>48</v>
      </c>
      <c r="M7" s="33" t="n">
        <f>1833</f>
        <v>1833.0</v>
      </c>
      <c r="N7" s="34" t="s">
        <v>49</v>
      </c>
      <c r="O7" s="33" t="n">
        <f>1751</f>
        <v>1751.0</v>
      </c>
      <c r="P7" s="34" t="s">
        <v>50</v>
      </c>
      <c r="Q7" s="33" t="n">
        <f>1766</f>
        <v>1766.0</v>
      </c>
      <c r="R7" s="34" t="s">
        <v>51</v>
      </c>
      <c r="S7" s="35" t="n">
        <f>1803.89</f>
        <v>1803.89</v>
      </c>
      <c r="T7" s="32" t="n">
        <f>1671890</f>
        <v>1671890.0</v>
      </c>
      <c r="U7" s="32" t="n">
        <f>91450</f>
        <v>91450.0</v>
      </c>
      <c r="V7" s="32" t="n">
        <f>3003961976</f>
        <v>3.003961976E9</v>
      </c>
      <c r="W7" s="32" t="n">
        <f>164699946</f>
        <v>1.64699946E8</v>
      </c>
      <c r="X7" s="36" t="n">
        <f>19</f>
        <v>19.0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1760</f>
        <v>1760.0</v>
      </c>
      <c r="L8" s="34" t="s">
        <v>48</v>
      </c>
      <c r="M8" s="33" t="n">
        <f>1811</f>
        <v>1811.0</v>
      </c>
      <c r="N8" s="34" t="s">
        <v>49</v>
      </c>
      <c r="O8" s="33" t="n">
        <f>1728</f>
        <v>1728.0</v>
      </c>
      <c r="P8" s="34" t="s">
        <v>50</v>
      </c>
      <c r="Q8" s="33" t="n">
        <f>1747</f>
        <v>1747.0</v>
      </c>
      <c r="R8" s="34" t="s">
        <v>51</v>
      </c>
      <c r="S8" s="35" t="n">
        <f>1782.26</f>
        <v>1782.26</v>
      </c>
      <c r="T8" s="32" t="n">
        <f>60484210</f>
        <v>6.048421E7</v>
      </c>
      <c r="U8" s="32" t="n">
        <f>7997670</f>
        <v>7997670.0</v>
      </c>
      <c r="V8" s="32" t="n">
        <f>107245931209</f>
        <v>1.07245931209E11</v>
      </c>
      <c r="W8" s="32" t="n">
        <f>14170167359</f>
        <v>1.4170167359E10</v>
      </c>
      <c r="X8" s="36" t="n">
        <f>19</f>
        <v>19.0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1742</f>
        <v>1742.0</v>
      </c>
      <c r="L9" s="34" t="s">
        <v>48</v>
      </c>
      <c r="M9" s="33" t="n">
        <f>1791</f>
        <v>1791.0</v>
      </c>
      <c r="N9" s="34" t="s">
        <v>49</v>
      </c>
      <c r="O9" s="33" t="n">
        <f>1710</f>
        <v>1710.0</v>
      </c>
      <c r="P9" s="34" t="s">
        <v>50</v>
      </c>
      <c r="Q9" s="33" t="n">
        <f>1725</f>
        <v>1725.0</v>
      </c>
      <c r="R9" s="34" t="s">
        <v>51</v>
      </c>
      <c r="S9" s="35" t="n">
        <f>1763.58</f>
        <v>1763.58</v>
      </c>
      <c r="T9" s="32" t="n">
        <f>4665200</f>
        <v>4665200.0</v>
      </c>
      <c r="U9" s="32" t="n">
        <f>1729400</f>
        <v>1729400.0</v>
      </c>
      <c r="V9" s="32" t="n">
        <f>8174164682</f>
        <v>8.174164682E9</v>
      </c>
      <c r="W9" s="32" t="n">
        <f>3024679482</f>
        <v>3.024679482E9</v>
      </c>
      <c r="X9" s="36" t="n">
        <f>19</f>
        <v>19.0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35400</f>
        <v>35400.0</v>
      </c>
      <c r="L10" s="34" t="s">
        <v>48</v>
      </c>
      <c r="M10" s="33" t="n">
        <f>37000</f>
        <v>37000.0</v>
      </c>
      <c r="N10" s="34" t="s">
        <v>61</v>
      </c>
      <c r="O10" s="33" t="n">
        <f>31400</f>
        <v>31400.0</v>
      </c>
      <c r="P10" s="34" t="s">
        <v>51</v>
      </c>
      <c r="Q10" s="33" t="n">
        <f>31750</f>
        <v>31750.0</v>
      </c>
      <c r="R10" s="34" t="s">
        <v>51</v>
      </c>
      <c r="S10" s="35" t="n">
        <f>34921.05</f>
        <v>34921.05</v>
      </c>
      <c r="T10" s="32" t="n">
        <f>12491</f>
        <v>12491.0</v>
      </c>
      <c r="U10" s="32" t="str">
        <f>"－"</f>
        <v>－</v>
      </c>
      <c r="V10" s="32" t="n">
        <f>426565950</f>
        <v>4.2656595E8</v>
      </c>
      <c r="W10" s="32" t="str">
        <f>"－"</f>
        <v>－</v>
      </c>
      <c r="X10" s="36" t="n">
        <f>19</f>
        <v>19.0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791</f>
        <v>791.0</v>
      </c>
      <c r="L11" s="34" t="s">
        <v>48</v>
      </c>
      <c r="M11" s="33" t="n">
        <f>808</f>
        <v>808.0</v>
      </c>
      <c r="N11" s="34" t="s">
        <v>49</v>
      </c>
      <c r="O11" s="33" t="n">
        <f>777</f>
        <v>777.0</v>
      </c>
      <c r="P11" s="34" t="s">
        <v>65</v>
      </c>
      <c r="Q11" s="33" t="n">
        <f>785</f>
        <v>785.0</v>
      </c>
      <c r="R11" s="34" t="s">
        <v>51</v>
      </c>
      <c r="S11" s="35" t="n">
        <f>796.63</f>
        <v>796.63</v>
      </c>
      <c r="T11" s="32" t="n">
        <f>60780</f>
        <v>60780.0</v>
      </c>
      <c r="U11" s="32" t="str">
        <f>"－"</f>
        <v>－</v>
      </c>
      <c r="V11" s="32" t="n">
        <f>48162530</f>
        <v>4.816253E7</v>
      </c>
      <c r="W11" s="32" t="str">
        <f>"－"</f>
        <v>－</v>
      </c>
      <c r="X11" s="36" t="n">
        <f>19</f>
        <v>19.0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20450</f>
        <v>20450.0</v>
      </c>
      <c r="L12" s="34" t="s">
        <v>48</v>
      </c>
      <c r="M12" s="33" t="n">
        <f>20900</f>
        <v>20900.0</v>
      </c>
      <c r="N12" s="34" t="s">
        <v>61</v>
      </c>
      <c r="O12" s="33" t="n">
        <f>19630</f>
        <v>19630.0</v>
      </c>
      <c r="P12" s="34" t="s">
        <v>51</v>
      </c>
      <c r="Q12" s="33" t="n">
        <f>19630</f>
        <v>19630.0</v>
      </c>
      <c r="R12" s="34" t="s">
        <v>51</v>
      </c>
      <c r="S12" s="35" t="n">
        <f>20381.18</f>
        <v>20381.18</v>
      </c>
      <c r="T12" s="32" t="n">
        <f>997</f>
        <v>997.0</v>
      </c>
      <c r="U12" s="32" t="str">
        <f>"－"</f>
        <v>－</v>
      </c>
      <c r="V12" s="32" t="n">
        <f>20407320</f>
        <v>2.040732E7</v>
      </c>
      <c r="W12" s="32" t="str">
        <f>"－"</f>
        <v>－</v>
      </c>
      <c r="X12" s="36" t="n">
        <f>17</f>
        <v>17.0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2849</f>
        <v>2849.0</v>
      </c>
      <c r="L13" s="34" t="s">
        <v>48</v>
      </c>
      <c r="M13" s="33" t="n">
        <f>3000</f>
        <v>3000.0</v>
      </c>
      <c r="N13" s="34" t="s">
        <v>72</v>
      </c>
      <c r="O13" s="33" t="n">
        <f>2650</f>
        <v>2650.0</v>
      </c>
      <c r="P13" s="34" t="s">
        <v>50</v>
      </c>
      <c r="Q13" s="33" t="n">
        <f>2700</f>
        <v>2700.0</v>
      </c>
      <c r="R13" s="34" t="s">
        <v>51</v>
      </c>
      <c r="S13" s="35" t="n">
        <f>2858.56</f>
        <v>2858.56</v>
      </c>
      <c r="T13" s="32" t="n">
        <f>12070</f>
        <v>12070.0</v>
      </c>
      <c r="U13" s="32" t="str">
        <f>"－"</f>
        <v>－</v>
      </c>
      <c r="V13" s="32" t="n">
        <f>34430850</f>
        <v>3.443085E7</v>
      </c>
      <c r="W13" s="32" t="str">
        <f>"－"</f>
        <v>－</v>
      </c>
      <c r="X13" s="36" t="n">
        <f>18</f>
        <v>18.0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333</f>
        <v>333.0</v>
      </c>
      <c r="L14" s="34" t="s">
        <v>48</v>
      </c>
      <c r="M14" s="33" t="n">
        <f>345</f>
        <v>345.0</v>
      </c>
      <c r="N14" s="34" t="s">
        <v>49</v>
      </c>
      <c r="O14" s="33" t="n">
        <f>332</f>
        <v>332.0</v>
      </c>
      <c r="P14" s="34" t="s">
        <v>48</v>
      </c>
      <c r="Q14" s="33" t="n">
        <f>335</f>
        <v>335.0</v>
      </c>
      <c r="R14" s="34" t="s">
        <v>51</v>
      </c>
      <c r="S14" s="35" t="n">
        <f>338.67</f>
        <v>338.67</v>
      </c>
      <c r="T14" s="32" t="n">
        <f>36000</f>
        <v>36000.0</v>
      </c>
      <c r="U14" s="32" t="str">
        <f>"－"</f>
        <v>－</v>
      </c>
      <c r="V14" s="32" t="n">
        <f>12208000</f>
        <v>1.2208E7</v>
      </c>
      <c r="W14" s="32" t="str">
        <f>"－"</f>
        <v>－</v>
      </c>
      <c r="X14" s="36" t="n">
        <f>12</f>
        <v>12.0</v>
      </c>
    </row>
    <row r="15">
      <c r="A15" s="27" t="s">
        <v>42</v>
      </c>
      <c r="B15" s="27" t="s">
        <v>76</v>
      </c>
      <c r="C15" s="27" t="s">
        <v>77</v>
      </c>
      <c r="D15" s="27" t="s">
        <v>78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23960</f>
        <v>23960.0</v>
      </c>
      <c r="L15" s="34" t="s">
        <v>48</v>
      </c>
      <c r="M15" s="33" t="n">
        <f>24810</f>
        <v>24810.0</v>
      </c>
      <c r="N15" s="34" t="s">
        <v>79</v>
      </c>
      <c r="O15" s="33" t="n">
        <f>23550</f>
        <v>23550.0</v>
      </c>
      <c r="P15" s="34" t="s">
        <v>50</v>
      </c>
      <c r="Q15" s="33" t="n">
        <f>23870</f>
        <v>23870.0</v>
      </c>
      <c r="R15" s="34" t="s">
        <v>51</v>
      </c>
      <c r="S15" s="35" t="n">
        <f>24320.53</f>
        <v>24320.53</v>
      </c>
      <c r="T15" s="32" t="n">
        <f>902101</f>
        <v>902101.0</v>
      </c>
      <c r="U15" s="32" t="n">
        <f>256585</f>
        <v>256585.0</v>
      </c>
      <c r="V15" s="32" t="n">
        <f>21848035550</f>
        <v>2.184803555E10</v>
      </c>
      <c r="W15" s="32" t="n">
        <f>6235488220</f>
        <v>6.23548822E9</v>
      </c>
      <c r="X15" s="36" t="n">
        <f>19</f>
        <v>19.0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24000</f>
        <v>24000.0</v>
      </c>
      <c r="L16" s="34" t="s">
        <v>48</v>
      </c>
      <c r="M16" s="33" t="n">
        <f>24850</f>
        <v>24850.0</v>
      </c>
      <c r="N16" s="34" t="s">
        <v>79</v>
      </c>
      <c r="O16" s="33" t="n">
        <f>23590</f>
        <v>23590.0</v>
      </c>
      <c r="P16" s="34" t="s">
        <v>50</v>
      </c>
      <c r="Q16" s="33" t="n">
        <f>23910</f>
        <v>23910.0</v>
      </c>
      <c r="R16" s="34" t="s">
        <v>51</v>
      </c>
      <c r="S16" s="35" t="n">
        <f>24362.63</f>
        <v>24362.63</v>
      </c>
      <c r="T16" s="32" t="n">
        <f>4661706</f>
        <v>4661706.0</v>
      </c>
      <c r="U16" s="32" t="n">
        <f>529164</f>
        <v>529164.0</v>
      </c>
      <c r="V16" s="32" t="n">
        <f>112842116912</f>
        <v>1.12842116912E11</v>
      </c>
      <c r="W16" s="32" t="n">
        <f>12857754762</f>
        <v>1.2857754762E10</v>
      </c>
      <c r="X16" s="36" t="n">
        <f>19</f>
        <v>19.0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5760</f>
        <v>5760.0</v>
      </c>
      <c r="L17" s="34" t="s">
        <v>48</v>
      </c>
      <c r="M17" s="33" t="n">
        <f>6360</f>
        <v>6360.0</v>
      </c>
      <c r="N17" s="34" t="s">
        <v>86</v>
      </c>
      <c r="O17" s="33" t="n">
        <f>5650</f>
        <v>5650.0</v>
      </c>
      <c r="P17" s="34" t="s">
        <v>51</v>
      </c>
      <c r="Q17" s="33" t="n">
        <f>5650</f>
        <v>5650.0</v>
      </c>
      <c r="R17" s="34" t="s">
        <v>51</v>
      </c>
      <c r="S17" s="35" t="n">
        <f>5971.58</f>
        <v>5971.58</v>
      </c>
      <c r="T17" s="32" t="n">
        <f>12450</f>
        <v>12450.0</v>
      </c>
      <c r="U17" s="32" t="n">
        <f>80</f>
        <v>80.0</v>
      </c>
      <c r="V17" s="32" t="n">
        <f>74291700</f>
        <v>7.42917E7</v>
      </c>
      <c r="W17" s="32" t="n">
        <f>503200</f>
        <v>503200.0</v>
      </c>
      <c r="X17" s="36" t="n">
        <f>19</f>
        <v>19.0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368</f>
        <v>368.0</v>
      </c>
      <c r="L18" s="34" t="s">
        <v>48</v>
      </c>
      <c r="M18" s="33" t="n">
        <f>380</f>
        <v>380.0</v>
      </c>
      <c r="N18" s="34" t="s">
        <v>90</v>
      </c>
      <c r="O18" s="33" t="n">
        <f>353</f>
        <v>353.0</v>
      </c>
      <c r="P18" s="34" t="s">
        <v>91</v>
      </c>
      <c r="Q18" s="33" t="n">
        <f>364</f>
        <v>364.0</v>
      </c>
      <c r="R18" s="34" t="s">
        <v>51</v>
      </c>
      <c r="S18" s="35" t="n">
        <f>365.24</f>
        <v>365.24</v>
      </c>
      <c r="T18" s="32" t="n">
        <f>39500</f>
        <v>39500.0</v>
      </c>
      <c r="U18" s="32" t="str">
        <f>"－"</f>
        <v>－</v>
      </c>
      <c r="V18" s="32" t="n">
        <f>14381700</f>
        <v>1.43817E7</v>
      </c>
      <c r="W18" s="32" t="str">
        <f>"－"</f>
        <v>－</v>
      </c>
      <c r="X18" s="36" t="n">
        <f>17</f>
        <v>17.0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161</f>
        <v>161.0</v>
      </c>
      <c r="L19" s="34" t="s">
        <v>48</v>
      </c>
      <c r="M19" s="33" t="n">
        <f>179</f>
        <v>179.0</v>
      </c>
      <c r="N19" s="34" t="s">
        <v>79</v>
      </c>
      <c r="O19" s="33" t="n">
        <f>157</f>
        <v>157.0</v>
      </c>
      <c r="P19" s="34" t="s">
        <v>95</v>
      </c>
      <c r="Q19" s="33" t="n">
        <f>167</f>
        <v>167.0</v>
      </c>
      <c r="R19" s="34" t="s">
        <v>51</v>
      </c>
      <c r="S19" s="35" t="n">
        <f>170.47</f>
        <v>170.47</v>
      </c>
      <c r="T19" s="32" t="n">
        <f>1395500</f>
        <v>1395500.0</v>
      </c>
      <c r="U19" s="32" t="str">
        <f>"－"</f>
        <v>－</v>
      </c>
      <c r="V19" s="32" t="n">
        <f>235832500</f>
        <v>2.358325E8</v>
      </c>
      <c r="W19" s="32" t="str">
        <f>"－"</f>
        <v>－</v>
      </c>
      <c r="X19" s="36" t="n">
        <f>19</f>
        <v>19.0</v>
      </c>
    </row>
    <row r="20">
      <c r="A20" s="27" t="s">
        <v>42</v>
      </c>
      <c r="B20" s="27" t="s">
        <v>96</v>
      </c>
      <c r="C20" s="27" t="s">
        <v>97</v>
      </c>
      <c r="D20" s="27" t="s">
        <v>98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206</f>
        <v>206.0</v>
      </c>
      <c r="L20" s="34" t="s">
        <v>48</v>
      </c>
      <c r="M20" s="33" t="n">
        <f>223</f>
        <v>223.0</v>
      </c>
      <c r="N20" s="34" t="s">
        <v>99</v>
      </c>
      <c r="O20" s="33" t="n">
        <f>204</f>
        <v>204.0</v>
      </c>
      <c r="P20" s="34" t="s">
        <v>100</v>
      </c>
      <c r="Q20" s="33" t="n">
        <f>211</f>
        <v>211.0</v>
      </c>
      <c r="R20" s="34" t="s">
        <v>51</v>
      </c>
      <c r="S20" s="35" t="n">
        <f>212.42</f>
        <v>212.42</v>
      </c>
      <c r="T20" s="32" t="n">
        <f>633800</f>
        <v>633800.0</v>
      </c>
      <c r="U20" s="32" t="n">
        <f>400</f>
        <v>400.0</v>
      </c>
      <c r="V20" s="32" t="n">
        <f>136443760</f>
        <v>1.3644376E8</v>
      </c>
      <c r="W20" s="32" t="n">
        <f>86660</f>
        <v>86660.0</v>
      </c>
      <c r="X20" s="36" t="n">
        <f>19</f>
        <v>19.0</v>
      </c>
    </row>
    <row r="21">
      <c r="A21" s="27" t="s">
        <v>42</v>
      </c>
      <c r="B21" s="27" t="s">
        <v>101</v>
      </c>
      <c r="C21" s="27" t="s">
        <v>102</v>
      </c>
      <c r="D21" s="27" t="s">
        <v>103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15960</f>
        <v>15960.0</v>
      </c>
      <c r="L21" s="34" t="s">
        <v>48</v>
      </c>
      <c r="M21" s="33" t="n">
        <f>16350</f>
        <v>16350.0</v>
      </c>
      <c r="N21" s="34" t="s">
        <v>65</v>
      </c>
      <c r="O21" s="33" t="n">
        <f>15890</f>
        <v>15890.0</v>
      </c>
      <c r="P21" s="34" t="s">
        <v>100</v>
      </c>
      <c r="Q21" s="33" t="n">
        <f>16130</f>
        <v>16130.0</v>
      </c>
      <c r="R21" s="34" t="s">
        <v>51</v>
      </c>
      <c r="S21" s="35" t="n">
        <f>16099.47</f>
        <v>16099.47</v>
      </c>
      <c r="T21" s="32" t="n">
        <f>139745</f>
        <v>139745.0</v>
      </c>
      <c r="U21" s="32" t="str">
        <f>"－"</f>
        <v>－</v>
      </c>
      <c r="V21" s="32" t="n">
        <f>2252142830</f>
        <v>2.25214283E9</v>
      </c>
      <c r="W21" s="32" t="str">
        <f>"－"</f>
        <v>－</v>
      </c>
      <c r="X21" s="36" t="n">
        <f>19</f>
        <v>19.0</v>
      </c>
    </row>
    <row r="22">
      <c r="A22" s="27" t="s">
        <v>42</v>
      </c>
      <c r="B22" s="27" t="s">
        <v>104</v>
      </c>
      <c r="C22" s="27" t="s">
        <v>105</v>
      </c>
      <c r="D22" s="27" t="s">
        <v>106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3375</f>
        <v>3375.0</v>
      </c>
      <c r="L22" s="34" t="s">
        <v>48</v>
      </c>
      <c r="M22" s="33" t="n">
        <f>3375</f>
        <v>3375.0</v>
      </c>
      <c r="N22" s="34" t="s">
        <v>48</v>
      </c>
      <c r="O22" s="33" t="n">
        <f>3115</f>
        <v>3115.0</v>
      </c>
      <c r="P22" s="34" t="s">
        <v>91</v>
      </c>
      <c r="Q22" s="33" t="n">
        <f>3175</f>
        <v>3175.0</v>
      </c>
      <c r="R22" s="34" t="s">
        <v>51</v>
      </c>
      <c r="S22" s="35" t="n">
        <f>3202.63</f>
        <v>3202.63</v>
      </c>
      <c r="T22" s="32" t="n">
        <f>1866</f>
        <v>1866.0</v>
      </c>
      <c r="U22" s="32" t="n">
        <f>8</f>
        <v>8.0</v>
      </c>
      <c r="V22" s="32" t="n">
        <f>6068730</f>
        <v>6068730.0</v>
      </c>
      <c r="W22" s="32" t="n">
        <f>24920</f>
        <v>24920.0</v>
      </c>
      <c r="X22" s="36" t="n">
        <f>19</f>
        <v>19.0</v>
      </c>
    </row>
    <row r="23">
      <c r="A23" s="27" t="s">
        <v>42</v>
      </c>
      <c r="B23" s="27" t="s">
        <v>107</v>
      </c>
      <c r="C23" s="27" t="s">
        <v>108</v>
      </c>
      <c r="D23" s="27" t="s">
        <v>109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4300</f>
        <v>4300.0</v>
      </c>
      <c r="L23" s="34" t="s">
        <v>48</v>
      </c>
      <c r="M23" s="33" t="n">
        <f>4625</f>
        <v>4625.0</v>
      </c>
      <c r="N23" s="34" t="s">
        <v>65</v>
      </c>
      <c r="O23" s="33" t="n">
        <f>4195</f>
        <v>4195.0</v>
      </c>
      <c r="P23" s="34" t="s">
        <v>90</v>
      </c>
      <c r="Q23" s="33" t="n">
        <f>4445</f>
        <v>4445.0</v>
      </c>
      <c r="R23" s="34" t="s">
        <v>51</v>
      </c>
      <c r="S23" s="35" t="n">
        <f>4370.26</f>
        <v>4370.26</v>
      </c>
      <c r="T23" s="32" t="n">
        <f>155410</f>
        <v>155410.0</v>
      </c>
      <c r="U23" s="32" t="n">
        <f>210</f>
        <v>210.0</v>
      </c>
      <c r="V23" s="32" t="n">
        <f>683206700</f>
        <v>6.832067E8</v>
      </c>
      <c r="W23" s="32" t="n">
        <f>912450</f>
        <v>912450.0</v>
      </c>
      <c r="X23" s="36" t="n">
        <f>19</f>
        <v>19.0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24080</f>
        <v>24080.0</v>
      </c>
      <c r="L24" s="34" t="s">
        <v>48</v>
      </c>
      <c r="M24" s="33" t="n">
        <f>24940</f>
        <v>24940.0</v>
      </c>
      <c r="N24" s="34" t="s">
        <v>79</v>
      </c>
      <c r="O24" s="33" t="n">
        <f>23670</f>
        <v>23670.0</v>
      </c>
      <c r="P24" s="34" t="s">
        <v>50</v>
      </c>
      <c r="Q24" s="33" t="n">
        <f>23970</f>
        <v>23970.0</v>
      </c>
      <c r="R24" s="34" t="s">
        <v>51</v>
      </c>
      <c r="S24" s="35" t="n">
        <f>24438.42</f>
        <v>24438.42</v>
      </c>
      <c r="T24" s="32" t="n">
        <f>878353</f>
        <v>878353.0</v>
      </c>
      <c r="U24" s="32" t="n">
        <f>74565</f>
        <v>74565.0</v>
      </c>
      <c r="V24" s="32" t="n">
        <f>21440016674</f>
        <v>2.1440016674E10</v>
      </c>
      <c r="W24" s="32" t="n">
        <f>1831206564</f>
        <v>1.831206564E9</v>
      </c>
      <c r="X24" s="36" t="n">
        <f>19</f>
        <v>19.0</v>
      </c>
    </row>
    <row r="25">
      <c r="A25" s="27" t="s">
        <v>42</v>
      </c>
      <c r="B25" s="27" t="s">
        <v>113</v>
      </c>
      <c r="C25" s="27" t="s">
        <v>114</v>
      </c>
      <c r="D25" s="27" t="s">
        <v>115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24060</f>
        <v>24060.0</v>
      </c>
      <c r="L25" s="34" t="s">
        <v>48</v>
      </c>
      <c r="M25" s="33" t="n">
        <f>24920</f>
        <v>24920.0</v>
      </c>
      <c r="N25" s="34" t="s">
        <v>79</v>
      </c>
      <c r="O25" s="33" t="n">
        <f>23650</f>
        <v>23650.0</v>
      </c>
      <c r="P25" s="34" t="s">
        <v>50</v>
      </c>
      <c r="Q25" s="33" t="n">
        <f>23980</f>
        <v>23980.0</v>
      </c>
      <c r="R25" s="34" t="s">
        <v>51</v>
      </c>
      <c r="S25" s="35" t="n">
        <f>24425.26</f>
        <v>24425.26</v>
      </c>
      <c r="T25" s="32" t="n">
        <f>977320</f>
        <v>977320.0</v>
      </c>
      <c r="U25" s="32" t="n">
        <f>67540</f>
        <v>67540.0</v>
      </c>
      <c r="V25" s="32" t="n">
        <f>23733769700</f>
        <v>2.37337697E10</v>
      </c>
      <c r="W25" s="32" t="n">
        <f>1644441400</f>
        <v>1.6444414E9</v>
      </c>
      <c r="X25" s="36" t="n">
        <f>19</f>
        <v>19.0</v>
      </c>
    </row>
    <row r="26">
      <c r="A26" s="27" t="s">
        <v>42</v>
      </c>
      <c r="B26" s="27" t="s">
        <v>116</v>
      </c>
      <c r="C26" s="27" t="s">
        <v>117</v>
      </c>
      <c r="D26" s="27" t="s">
        <v>118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2298</f>
        <v>2298.0</v>
      </c>
      <c r="L26" s="34" t="s">
        <v>48</v>
      </c>
      <c r="M26" s="33" t="n">
        <f>2390</f>
        <v>2390.0</v>
      </c>
      <c r="N26" s="34" t="s">
        <v>51</v>
      </c>
      <c r="O26" s="33" t="n">
        <f>2265</f>
        <v>2265.0</v>
      </c>
      <c r="P26" s="34" t="s">
        <v>119</v>
      </c>
      <c r="Q26" s="33" t="n">
        <f>2384</f>
        <v>2384.0</v>
      </c>
      <c r="R26" s="34" t="s">
        <v>51</v>
      </c>
      <c r="S26" s="35" t="n">
        <f>2318.84</f>
        <v>2318.84</v>
      </c>
      <c r="T26" s="32" t="n">
        <f>4723140</f>
        <v>4723140.0</v>
      </c>
      <c r="U26" s="32" t="n">
        <f>356580</f>
        <v>356580.0</v>
      </c>
      <c r="V26" s="32" t="n">
        <f>10977204959</f>
        <v>1.0977204959E10</v>
      </c>
      <c r="W26" s="32" t="n">
        <f>824608919</f>
        <v>8.24608919E8</v>
      </c>
      <c r="X26" s="36" t="n">
        <f>19</f>
        <v>19.0</v>
      </c>
    </row>
    <row r="27">
      <c r="A27" s="27" t="s">
        <v>42</v>
      </c>
      <c r="B27" s="27" t="s">
        <v>120</v>
      </c>
      <c r="C27" s="27" t="s">
        <v>121</v>
      </c>
      <c r="D27" s="27" t="s">
        <v>122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734</f>
        <v>734.0</v>
      </c>
      <c r="L27" s="34" t="s">
        <v>48</v>
      </c>
      <c r="M27" s="33" t="n">
        <f>772</f>
        <v>772.0</v>
      </c>
      <c r="N27" s="34" t="s">
        <v>61</v>
      </c>
      <c r="O27" s="33" t="n">
        <f>728</f>
        <v>728.0</v>
      </c>
      <c r="P27" s="34" t="s">
        <v>48</v>
      </c>
      <c r="Q27" s="33" t="n">
        <f>742</f>
        <v>742.0</v>
      </c>
      <c r="R27" s="34" t="s">
        <v>51</v>
      </c>
      <c r="S27" s="35" t="n">
        <f>745.47</f>
        <v>745.47</v>
      </c>
      <c r="T27" s="32" t="n">
        <f>24960</f>
        <v>24960.0</v>
      </c>
      <c r="U27" s="32" t="str">
        <f>"－"</f>
        <v>－</v>
      </c>
      <c r="V27" s="32" t="n">
        <f>18585460</f>
        <v>1.858546E7</v>
      </c>
      <c r="W27" s="32" t="str">
        <f>"－"</f>
        <v>－</v>
      </c>
      <c r="X27" s="36" t="n">
        <f>19</f>
        <v>19.0</v>
      </c>
    </row>
    <row r="28">
      <c r="A28" s="27" t="s">
        <v>42</v>
      </c>
      <c r="B28" s="27" t="s">
        <v>123</v>
      </c>
      <c r="C28" s="27" t="s">
        <v>124</v>
      </c>
      <c r="D28" s="27" t="s">
        <v>125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2178</f>
        <v>2178.0</v>
      </c>
      <c r="L28" s="34" t="s">
        <v>48</v>
      </c>
      <c r="M28" s="33" t="n">
        <f>2248</f>
        <v>2248.0</v>
      </c>
      <c r="N28" s="34" t="s">
        <v>51</v>
      </c>
      <c r="O28" s="33" t="n">
        <f>2132</f>
        <v>2132.0</v>
      </c>
      <c r="P28" s="34" t="s">
        <v>119</v>
      </c>
      <c r="Q28" s="33" t="n">
        <f>2239</f>
        <v>2239.0</v>
      </c>
      <c r="R28" s="34" t="s">
        <v>51</v>
      </c>
      <c r="S28" s="35" t="n">
        <f>2181.58</f>
        <v>2181.58</v>
      </c>
      <c r="T28" s="32" t="n">
        <f>1187300</f>
        <v>1187300.0</v>
      </c>
      <c r="U28" s="32" t="n">
        <f>30100</f>
        <v>30100.0</v>
      </c>
      <c r="V28" s="32" t="n">
        <f>2596793421</f>
        <v>2.596793421E9</v>
      </c>
      <c r="W28" s="32" t="n">
        <f>65695621</f>
        <v>6.5695621E7</v>
      </c>
      <c r="X28" s="36" t="n">
        <f>19</f>
        <v>19.0</v>
      </c>
    </row>
    <row r="29">
      <c r="A29" s="27" t="s">
        <v>42</v>
      </c>
      <c r="B29" s="27" t="s">
        <v>126</v>
      </c>
      <c r="C29" s="27" t="s">
        <v>127</v>
      </c>
      <c r="D29" s="27" t="s">
        <v>128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24100</f>
        <v>24100.0</v>
      </c>
      <c r="L29" s="34" t="s">
        <v>48</v>
      </c>
      <c r="M29" s="33" t="n">
        <f>24930</f>
        <v>24930.0</v>
      </c>
      <c r="N29" s="34" t="s">
        <v>90</v>
      </c>
      <c r="O29" s="33" t="n">
        <f>23520</f>
        <v>23520.0</v>
      </c>
      <c r="P29" s="34" t="s">
        <v>50</v>
      </c>
      <c r="Q29" s="33" t="n">
        <f>23810</f>
        <v>23810.0</v>
      </c>
      <c r="R29" s="34" t="s">
        <v>51</v>
      </c>
      <c r="S29" s="35" t="n">
        <f>24338.95</f>
        <v>24338.95</v>
      </c>
      <c r="T29" s="32" t="n">
        <f>482360</f>
        <v>482360.0</v>
      </c>
      <c r="U29" s="32" t="n">
        <f>57073</f>
        <v>57073.0</v>
      </c>
      <c r="V29" s="32" t="n">
        <f>11737961986</f>
        <v>1.1737961986E10</v>
      </c>
      <c r="W29" s="32" t="n">
        <f>1405327226</f>
        <v>1.405327226E9</v>
      </c>
      <c r="X29" s="36" t="n">
        <f>19</f>
        <v>19.0</v>
      </c>
    </row>
    <row r="30">
      <c r="A30" s="27" t="s">
        <v>42</v>
      </c>
      <c r="B30" s="27" t="s">
        <v>129</v>
      </c>
      <c r="C30" s="27" t="s">
        <v>130</v>
      </c>
      <c r="D30" s="27" t="s">
        <v>131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1762</f>
        <v>1762.0</v>
      </c>
      <c r="L30" s="34" t="s">
        <v>48</v>
      </c>
      <c r="M30" s="33" t="n">
        <f>1807</f>
        <v>1807.0</v>
      </c>
      <c r="N30" s="34" t="s">
        <v>90</v>
      </c>
      <c r="O30" s="33" t="n">
        <f>1713</f>
        <v>1713.0</v>
      </c>
      <c r="P30" s="34" t="s">
        <v>50</v>
      </c>
      <c r="Q30" s="33" t="n">
        <f>1730</f>
        <v>1730.0</v>
      </c>
      <c r="R30" s="34" t="s">
        <v>51</v>
      </c>
      <c r="S30" s="35" t="n">
        <f>1771.47</f>
        <v>1771.47</v>
      </c>
      <c r="T30" s="32" t="n">
        <f>3895750</f>
        <v>3895750.0</v>
      </c>
      <c r="U30" s="32" t="n">
        <f>1799010</f>
        <v>1799010.0</v>
      </c>
      <c r="V30" s="32" t="n">
        <f>6892480594</f>
        <v>6.892480594E9</v>
      </c>
      <c r="W30" s="32" t="n">
        <f>3204399694</f>
        <v>3.204399694E9</v>
      </c>
      <c r="X30" s="36" t="n">
        <f>19</f>
        <v>19.0</v>
      </c>
    </row>
    <row r="31">
      <c r="A31" s="27" t="s">
        <v>42</v>
      </c>
      <c r="B31" s="27" t="s">
        <v>132</v>
      </c>
      <c r="C31" s="27" t="s">
        <v>133</v>
      </c>
      <c r="D31" s="27" t="s">
        <v>134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12990</f>
        <v>12990.0</v>
      </c>
      <c r="L31" s="34" t="s">
        <v>48</v>
      </c>
      <c r="M31" s="33" t="n">
        <f>13330</f>
        <v>13330.0</v>
      </c>
      <c r="N31" s="34" t="s">
        <v>49</v>
      </c>
      <c r="O31" s="33" t="n">
        <f>12860</f>
        <v>12860.0</v>
      </c>
      <c r="P31" s="34" t="s">
        <v>65</v>
      </c>
      <c r="Q31" s="33" t="n">
        <f>12940</f>
        <v>12940.0</v>
      </c>
      <c r="R31" s="34" t="s">
        <v>51</v>
      </c>
      <c r="S31" s="35" t="n">
        <f>13066.84</f>
        <v>13066.84</v>
      </c>
      <c r="T31" s="32" t="n">
        <f>1594</f>
        <v>1594.0</v>
      </c>
      <c r="U31" s="32" t="str">
        <f>"－"</f>
        <v>－</v>
      </c>
      <c r="V31" s="32" t="n">
        <f>20827360</f>
        <v>2.082736E7</v>
      </c>
      <c r="W31" s="32" t="str">
        <f>"－"</f>
        <v>－</v>
      </c>
      <c r="X31" s="36" t="n">
        <f>19</f>
        <v>19.0</v>
      </c>
    </row>
    <row r="32">
      <c r="A32" s="27" t="s">
        <v>42</v>
      </c>
      <c r="B32" s="27" t="s">
        <v>135</v>
      </c>
      <c r="C32" s="27" t="s">
        <v>136</v>
      </c>
      <c r="D32" s="27" t="s">
        <v>137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2031</f>
        <v>2031.0</v>
      </c>
      <c r="L32" s="34" t="s">
        <v>48</v>
      </c>
      <c r="M32" s="33" t="n">
        <f>2105</f>
        <v>2105.0</v>
      </c>
      <c r="N32" s="34" t="s">
        <v>50</v>
      </c>
      <c r="O32" s="33" t="n">
        <f>1923</f>
        <v>1923.0</v>
      </c>
      <c r="P32" s="34" t="s">
        <v>49</v>
      </c>
      <c r="Q32" s="33" t="n">
        <f>2064</f>
        <v>2064.0</v>
      </c>
      <c r="R32" s="34" t="s">
        <v>51</v>
      </c>
      <c r="S32" s="35" t="n">
        <f>1986.47</f>
        <v>1986.47</v>
      </c>
      <c r="T32" s="32" t="n">
        <f>4109030</f>
        <v>4109030.0</v>
      </c>
      <c r="U32" s="32" t="n">
        <f>13720</f>
        <v>13720.0</v>
      </c>
      <c r="V32" s="32" t="n">
        <f>8246700494</f>
        <v>8.246700494E9</v>
      </c>
      <c r="W32" s="32" t="n">
        <f>27933414</f>
        <v>2.7933414E7</v>
      </c>
      <c r="X32" s="36" t="n">
        <f>19</f>
        <v>19.0</v>
      </c>
    </row>
    <row r="33">
      <c r="A33" s="27" t="s">
        <v>42</v>
      </c>
      <c r="B33" s="27" t="s">
        <v>138</v>
      </c>
      <c r="C33" s="27" t="s">
        <v>139</v>
      </c>
      <c r="D33" s="27" t="s">
        <v>140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911</f>
        <v>911.0</v>
      </c>
      <c r="L33" s="34" t="s">
        <v>48</v>
      </c>
      <c r="M33" s="33" t="n">
        <f>934</f>
        <v>934.0</v>
      </c>
      <c r="N33" s="34" t="s">
        <v>65</v>
      </c>
      <c r="O33" s="33" t="n">
        <f>843</f>
        <v>843.0</v>
      </c>
      <c r="P33" s="34" t="s">
        <v>79</v>
      </c>
      <c r="Q33" s="33" t="n">
        <f>908</f>
        <v>908.0</v>
      </c>
      <c r="R33" s="34" t="s">
        <v>51</v>
      </c>
      <c r="S33" s="35" t="n">
        <f>878.84</f>
        <v>878.84</v>
      </c>
      <c r="T33" s="32" t="n">
        <f>599575258</f>
        <v>5.99575258E8</v>
      </c>
      <c r="U33" s="32" t="n">
        <f>4904675</f>
        <v>4904675.0</v>
      </c>
      <c r="V33" s="32" t="n">
        <f>534124580137</f>
        <v>5.34124580137E11</v>
      </c>
      <c r="W33" s="32" t="n">
        <f>4263179435</f>
        <v>4.263179435E9</v>
      </c>
      <c r="X33" s="36" t="n">
        <f>19</f>
        <v>19.0</v>
      </c>
    </row>
    <row r="34">
      <c r="A34" s="27" t="s">
        <v>42</v>
      </c>
      <c r="B34" s="27" t="s">
        <v>141</v>
      </c>
      <c r="C34" s="27" t="s">
        <v>142</v>
      </c>
      <c r="D34" s="27" t="s">
        <v>143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20400</f>
        <v>20400.0</v>
      </c>
      <c r="L34" s="34" t="s">
        <v>48</v>
      </c>
      <c r="M34" s="33" t="n">
        <f>21870</f>
        <v>21870.0</v>
      </c>
      <c r="N34" s="34" t="s">
        <v>79</v>
      </c>
      <c r="O34" s="33" t="n">
        <f>19660</f>
        <v>19660.0</v>
      </c>
      <c r="P34" s="34" t="s">
        <v>50</v>
      </c>
      <c r="Q34" s="33" t="n">
        <f>20160</f>
        <v>20160.0</v>
      </c>
      <c r="R34" s="34" t="s">
        <v>51</v>
      </c>
      <c r="S34" s="35" t="n">
        <f>21001.58</f>
        <v>21001.58</v>
      </c>
      <c r="T34" s="32" t="n">
        <f>261299</f>
        <v>261299.0</v>
      </c>
      <c r="U34" s="32" t="n">
        <f>233</f>
        <v>233.0</v>
      </c>
      <c r="V34" s="32" t="n">
        <f>5414510754</f>
        <v>5.414510754E9</v>
      </c>
      <c r="W34" s="32" t="n">
        <f>4807204</f>
        <v>4807204.0</v>
      </c>
      <c r="X34" s="36" t="n">
        <f>19</f>
        <v>19.0</v>
      </c>
    </row>
    <row r="35">
      <c r="A35" s="27" t="s">
        <v>42</v>
      </c>
      <c r="B35" s="27" t="s">
        <v>144</v>
      </c>
      <c r="C35" s="27" t="s">
        <v>145</v>
      </c>
      <c r="D35" s="27" t="s">
        <v>146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2195</f>
        <v>2195.0</v>
      </c>
      <c r="L35" s="34" t="s">
        <v>48</v>
      </c>
      <c r="M35" s="33" t="n">
        <f>2245</f>
        <v>2245.0</v>
      </c>
      <c r="N35" s="34" t="s">
        <v>65</v>
      </c>
      <c r="O35" s="33" t="n">
        <f>2027</f>
        <v>2027.0</v>
      </c>
      <c r="P35" s="34" t="s">
        <v>79</v>
      </c>
      <c r="Q35" s="33" t="n">
        <f>2185</f>
        <v>2185.0</v>
      </c>
      <c r="R35" s="34" t="s">
        <v>51</v>
      </c>
      <c r="S35" s="35" t="n">
        <f>2113.05</f>
        <v>2113.05</v>
      </c>
      <c r="T35" s="32" t="n">
        <f>37945890</f>
        <v>3.794589E7</v>
      </c>
      <c r="U35" s="32" t="n">
        <f>6380</f>
        <v>6380.0</v>
      </c>
      <c r="V35" s="32" t="n">
        <f>81363552361</f>
        <v>8.1363552361E10</v>
      </c>
      <c r="W35" s="32" t="n">
        <f>13948601</f>
        <v>1.3948601E7</v>
      </c>
      <c r="X35" s="36" t="n">
        <f>19</f>
        <v>19.0</v>
      </c>
    </row>
    <row r="36">
      <c r="A36" s="27" t="s">
        <v>42</v>
      </c>
      <c r="B36" s="27" t="s">
        <v>147</v>
      </c>
      <c r="C36" s="27" t="s">
        <v>148</v>
      </c>
      <c r="D36" s="27" t="s">
        <v>149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15530</f>
        <v>15530.0</v>
      </c>
      <c r="L36" s="34" t="s">
        <v>48</v>
      </c>
      <c r="M36" s="33" t="n">
        <f>15990</f>
        <v>15990.0</v>
      </c>
      <c r="N36" s="34" t="s">
        <v>150</v>
      </c>
      <c r="O36" s="33" t="n">
        <f>15320</f>
        <v>15320.0</v>
      </c>
      <c r="P36" s="34" t="s">
        <v>50</v>
      </c>
      <c r="Q36" s="33" t="n">
        <f>15460</f>
        <v>15460.0</v>
      </c>
      <c r="R36" s="34" t="s">
        <v>51</v>
      </c>
      <c r="S36" s="35" t="n">
        <f>15747.37</f>
        <v>15747.37</v>
      </c>
      <c r="T36" s="32" t="n">
        <f>61053</f>
        <v>61053.0</v>
      </c>
      <c r="U36" s="32" t="n">
        <f>47000</f>
        <v>47000.0</v>
      </c>
      <c r="V36" s="32" t="n">
        <f>957658780</f>
        <v>9.5765878E8</v>
      </c>
      <c r="W36" s="32" t="n">
        <f>736431000</f>
        <v>7.36431E8</v>
      </c>
      <c r="X36" s="36" t="n">
        <f>19</f>
        <v>19.0</v>
      </c>
    </row>
    <row r="37">
      <c r="A37" s="27" t="s">
        <v>42</v>
      </c>
      <c r="B37" s="27" t="s">
        <v>151</v>
      </c>
      <c r="C37" s="27" t="s">
        <v>152</v>
      </c>
      <c r="D37" s="27" t="s">
        <v>153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16590</f>
        <v>16590.0</v>
      </c>
      <c r="L37" s="34" t="s">
        <v>48</v>
      </c>
      <c r="M37" s="33" t="n">
        <f>17810</f>
        <v>17810.0</v>
      </c>
      <c r="N37" s="34" t="s">
        <v>79</v>
      </c>
      <c r="O37" s="33" t="n">
        <f>16020</f>
        <v>16020.0</v>
      </c>
      <c r="P37" s="34" t="s">
        <v>50</v>
      </c>
      <c r="Q37" s="33" t="n">
        <f>16430</f>
        <v>16430.0</v>
      </c>
      <c r="R37" s="34" t="s">
        <v>51</v>
      </c>
      <c r="S37" s="35" t="n">
        <f>17101.58</f>
        <v>17101.58</v>
      </c>
      <c r="T37" s="32" t="n">
        <f>921909</f>
        <v>921909.0</v>
      </c>
      <c r="U37" s="32" t="n">
        <f>467</f>
        <v>467.0</v>
      </c>
      <c r="V37" s="32" t="n">
        <f>15619712202</f>
        <v>1.5619712202E10</v>
      </c>
      <c r="W37" s="32" t="n">
        <f>7702542</f>
        <v>7702542.0</v>
      </c>
      <c r="X37" s="36" t="n">
        <f>19</f>
        <v>19.0</v>
      </c>
    </row>
    <row r="38">
      <c r="A38" s="27" t="s">
        <v>42</v>
      </c>
      <c r="B38" s="27" t="s">
        <v>154</v>
      </c>
      <c r="C38" s="27" t="s">
        <v>155</v>
      </c>
      <c r="D38" s="27" t="s">
        <v>156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2377</f>
        <v>2377.0</v>
      </c>
      <c r="L38" s="34" t="s">
        <v>48</v>
      </c>
      <c r="M38" s="33" t="n">
        <f>2433</f>
        <v>2433.0</v>
      </c>
      <c r="N38" s="34" t="s">
        <v>65</v>
      </c>
      <c r="O38" s="33" t="n">
        <f>2199</f>
        <v>2199.0</v>
      </c>
      <c r="P38" s="34" t="s">
        <v>79</v>
      </c>
      <c r="Q38" s="33" t="n">
        <f>2371</f>
        <v>2371.0</v>
      </c>
      <c r="R38" s="34" t="s">
        <v>51</v>
      </c>
      <c r="S38" s="35" t="n">
        <f>2291.16</f>
        <v>2291.16</v>
      </c>
      <c r="T38" s="32" t="n">
        <f>5631234</f>
        <v>5631234.0</v>
      </c>
      <c r="U38" s="32" t="n">
        <f>3060</f>
        <v>3060.0</v>
      </c>
      <c r="V38" s="32" t="n">
        <f>13079841472</f>
        <v>1.3079841472E10</v>
      </c>
      <c r="W38" s="32" t="n">
        <f>7062188</f>
        <v>7062188.0</v>
      </c>
      <c r="X38" s="36" t="n">
        <f>19</f>
        <v>19.0</v>
      </c>
    </row>
    <row r="39">
      <c r="A39" s="27" t="s">
        <v>42</v>
      </c>
      <c r="B39" s="27" t="s">
        <v>157</v>
      </c>
      <c r="C39" s="27" t="s">
        <v>158</v>
      </c>
      <c r="D39" s="27" t="s">
        <v>159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14420</f>
        <v>14420.0</v>
      </c>
      <c r="L39" s="34" t="s">
        <v>48</v>
      </c>
      <c r="M39" s="33" t="n">
        <f>15090</f>
        <v>15090.0</v>
      </c>
      <c r="N39" s="34" t="s">
        <v>49</v>
      </c>
      <c r="O39" s="33" t="n">
        <f>13740</f>
        <v>13740.0</v>
      </c>
      <c r="P39" s="34" t="s">
        <v>50</v>
      </c>
      <c r="Q39" s="33" t="n">
        <f>14030</f>
        <v>14030.0</v>
      </c>
      <c r="R39" s="34" t="s">
        <v>51</v>
      </c>
      <c r="S39" s="35" t="n">
        <f>14624.74</f>
        <v>14624.74</v>
      </c>
      <c r="T39" s="32" t="n">
        <f>93945</f>
        <v>93945.0</v>
      </c>
      <c r="U39" s="32" t="n">
        <f>32</f>
        <v>32.0</v>
      </c>
      <c r="V39" s="32" t="n">
        <f>1360266626</f>
        <v>1.360266626E9</v>
      </c>
      <c r="W39" s="32" t="n">
        <f>457556</f>
        <v>457556.0</v>
      </c>
      <c r="X39" s="36" t="n">
        <f>19</f>
        <v>19.0</v>
      </c>
    </row>
    <row r="40">
      <c r="A40" s="27" t="s">
        <v>42</v>
      </c>
      <c r="B40" s="27" t="s">
        <v>160</v>
      </c>
      <c r="C40" s="27" t="s">
        <v>161</v>
      </c>
      <c r="D40" s="27" t="s">
        <v>162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2970</f>
        <v>2970.0</v>
      </c>
      <c r="L40" s="34" t="s">
        <v>48</v>
      </c>
      <c r="M40" s="33" t="n">
        <f>3065</f>
        <v>3065.0</v>
      </c>
      <c r="N40" s="34" t="s">
        <v>50</v>
      </c>
      <c r="O40" s="33" t="n">
        <f>2800</f>
        <v>2800.0</v>
      </c>
      <c r="P40" s="34" t="s">
        <v>49</v>
      </c>
      <c r="Q40" s="33" t="n">
        <f>3005</f>
        <v>3005.0</v>
      </c>
      <c r="R40" s="34" t="s">
        <v>51</v>
      </c>
      <c r="S40" s="35" t="n">
        <f>2892.16</f>
        <v>2892.16</v>
      </c>
      <c r="T40" s="32" t="n">
        <f>656288</f>
        <v>656288.0</v>
      </c>
      <c r="U40" s="32" t="n">
        <f>1200</f>
        <v>1200.0</v>
      </c>
      <c r="V40" s="32" t="n">
        <f>1910793813</f>
        <v>1.910793813E9</v>
      </c>
      <c r="W40" s="32" t="n">
        <f>3585730</f>
        <v>3585730.0</v>
      </c>
      <c r="X40" s="36" t="n">
        <f>19</f>
        <v>19.0</v>
      </c>
    </row>
    <row r="41">
      <c r="A41" s="27" t="s">
        <v>42</v>
      </c>
      <c r="B41" s="27" t="s">
        <v>163</v>
      </c>
      <c r="C41" s="27" t="s">
        <v>164</v>
      </c>
      <c r="D41" s="27" t="s">
        <v>165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23460</f>
        <v>23460.0</v>
      </c>
      <c r="L41" s="34" t="s">
        <v>48</v>
      </c>
      <c r="M41" s="33" t="n">
        <f>24080</f>
        <v>24080.0</v>
      </c>
      <c r="N41" s="34" t="s">
        <v>79</v>
      </c>
      <c r="O41" s="33" t="n">
        <f>22870</f>
        <v>22870.0</v>
      </c>
      <c r="P41" s="34" t="s">
        <v>50</v>
      </c>
      <c r="Q41" s="33" t="n">
        <f>23190</f>
        <v>23190.0</v>
      </c>
      <c r="R41" s="34" t="s">
        <v>51</v>
      </c>
      <c r="S41" s="35" t="n">
        <f>23630</f>
        <v>23630.0</v>
      </c>
      <c r="T41" s="32" t="n">
        <f>265103</f>
        <v>265103.0</v>
      </c>
      <c r="U41" s="32" t="n">
        <f>250000</f>
        <v>250000.0</v>
      </c>
      <c r="V41" s="32" t="n">
        <f>6306715970</f>
        <v>6.30671597E9</v>
      </c>
      <c r="W41" s="32" t="n">
        <f>5952900000</f>
        <v>5.9529E9</v>
      </c>
      <c r="X41" s="36" t="n">
        <f>19</f>
        <v>19.0</v>
      </c>
    </row>
    <row r="42">
      <c r="A42" s="27" t="s">
        <v>42</v>
      </c>
      <c r="B42" s="27" t="s">
        <v>166</v>
      </c>
      <c r="C42" s="27" t="s">
        <v>167</v>
      </c>
      <c r="D42" s="27" t="s">
        <v>168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4540</f>
        <v>4540.0</v>
      </c>
      <c r="L42" s="34" t="s">
        <v>48</v>
      </c>
      <c r="M42" s="33" t="n">
        <f>4650</f>
        <v>4650.0</v>
      </c>
      <c r="N42" s="34" t="s">
        <v>79</v>
      </c>
      <c r="O42" s="33" t="n">
        <f>4410</f>
        <v>4410.0</v>
      </c>
      <c r="P42" s="34" t="s">
        <v>95</v>
      </c>
      <c r="Q42" s="33" t="n">
        <f>4505</f>
        <v>4505.0</v>
      </c>
      <c r="R42" s="34" t="s">
        <v>51</v>
      </c>
      <c r="S42" s="35" t="n">
        <f>4576.84</f>
        <v>4576.84</v>
      </c>
      <c r="T42" s="32" t="n">
        <f>2787</f>
        <v>2787.0</v>
      </c>
      <c r="U42" s="32" t="str">
        <f>"－"</f>
        <v>－</v>
      </c>
      <c r="V42" s="32" t="n">
        <f>12811135</f>
        <v>1.2811135E7</v>
      </c>
      <c r="W42" s="32" t="str">
        <f>"－"</f>
        <v>－</v>
      </c>
      <c r="X42" s="36" t="n">
        <f>19</f>
        <v>19.0</v>
      </c>
    </row>
    <row r="43">
      <c r="A43" s="27" t="s">
        <v>42</v>
      </c>
      <c r="B43" s="27" t="s">
        <v>169</v>
      </c>
      <c r="C43" s="27" t="s">
        <v>170</v>
      </c>
      <c r="D43" s="27" t="s">
        <v>171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8260</f>
        <v>8260.0</v>
      </c>
      <c r="L43" s="34" t="s">
        <v>48</v>
      </c>
      <c r="M43" s="33" t="n">
        <f>8590</f>
        <v>8590.0</v>
      </c>
      <c r="N43" s="34" t="s">
        <v>150</v>
      </c>
      <c r="O43" s="33" t="n">
        <f>8130</f>
        <v>8130.0</v>
      </c>
      <c r="P43" s="34" t="s">
        <v>65</v>
      </c>
      <c r="Q43" s="33" t="n">
        <f>8290</f>
        <v>8290.0</v>
      </c>
      <c r="R43" s="34" t="s">
        <v>51</v>
      </c>
      <c r="S43" s="35" t="n">
        <f>8416.32</f>
        <v>8416.32</v>
      </c>
      <c r="T43" s="32" t="n">
        <f>1626</f>
        <v>1626.0</v>
      </c>
      <c r="U43" s="32" t="str">
        <f>"－"</f>
        <v>－</v>
      </c>
      <c r="V43" s="32" t="n">
        <f>13655540</f>
        <v>1.365554E7</v>
      </c>
      <c r="W43" s="32" t="str">
        <f>"－"</f>
        <v>－</v>
      </c>
      <c r="X43" s="36" t="n">
        <f>19</f>
        <v>19.0</v>
      </c>
    </row>
    <row r="44">
      <c r="A44" s="27" t="s">
        <v>42</v>
      </c>
      <c r="B44" s="27" t="s">
        <v>172</v>
      </c>
      <c r="C44" s="27" t="s">
        <v>173</v>
      </c>
      <c r="D44" s="27" t="s">
        <v>174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15660</f>
        <v>15660.0</v>
      </c>
      <c r="L44" s="34" t="s">
        <v>48</v>
      </c>
      <c r="M44" s="33" t="n">
        <f>17580</f>
        <v>17580.0</v>
      </c>
      <c r="N44" s="34" t="s">
        <v>175</v>
      </c>
      <c r="O44" s="33" t="n">
        <f>15500</f>
        <v>15500.0</v>
      </c>
      <c r="P44" s="34" t="s">
        <v>65</v>
      </c>
      <c r="Q44" s="33" t="n">
        <f>16660</f>
        <v>16660.0</v>
      </c>
      <c r="R44" s="34" t="s">
        <v>50</v>
      </c>
      <c r="S44" s="35" t="n">
        <f>16265</f>
        <v>16265.0</v>
      </c>
      <c r="T44" s="32" t="n">
        <f>64</f>
        <v>64.0</v>
      </c>
      <c r="U44" s="32" t="str">
        <f>"－"</f>
        <v>－</v>
      </c>
      <c r="V44" s="32" t="n">
        <f>1065230</f>
        <v>1065230.0</v>
      </c>
      <c r="W44" s="32" t="str">
        <f>"－"</f>
        <v>－</v>
      </c>
      <c r="X44" s="36" t="n">
        <f>12</f>
        <v>12.0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12490</f>
        <v>12490.0</v>
      </c>
      <c r="L45" s="34" t="s">
        <v>48</v>
      </c>
      <c r="M45" s="33" t="n">
        <f>15620</f>
        <v>15620.0</v>
      </c>
      <c r="N45" s="34" t="s">
        <v>150</v>
      </c>
      <c r="O45" s="33" t="n">
        <f>12380</f>
        <v>12380.0</v>
      </c>
      <c r="P45" s="34" t="s">
        <v>65</v>
      </c>
      <c r="Q45" s="33" t="n">
        <f>12770</f>
        <v>12770.0</v>
      </c>
      <c r="R45" s="34" t="s">
        <v>91</v>
      </c>
      <c r="S45" s="35" t="n">
        <f>12978</f>
        <v>12978.0</v>
      </c>
      <c r="T45" s="32" t="n">
        <f>416</f>
        <v>416.0</v>
      </c>
      <c r="U45" s="32" t="str">
        <f>"－"</f>
        <v>－</v>
      </c>
      <c r="V45" s="32" t="n">
        <f>5836010</f>
        <v>5836010.0</v>
      </c>
      <c r="W45" s="32" t="str">
        <f>"－"</f>
        <v>－</v>
      </c>
      <c r="X45" s="36" t="n">
        <f>10</f>
        <v>10.0</v>
      </c>
    </row>
    <row r="46">
      <c r="A46" s="27" t="s">
        <v>42</v>
      </c>
      <c r="B46" s="27" t="s">
        <v>179</v>
      </c>
      <c r="C46" s="27" t="s">
        <v>180</v>
      </c>
      <c r="D46" s="27" t="s">
        <v>181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10480</f>
        <v>10480.0</v>
      </c>
      <c r="L46" s="34" t="s">
        <v>48</v>
      </c>
      <c r="M46" s="33" t="n">
        <f>11060</f>
        <v>11060.0</v>
      </c>
      <c r="N46" s="34" t="s">
        <v>100</v>
      </c>
      <c r="O46" s="33" t="n">
        <f>9700</f>
        <v>9700.0</v>
      </c>
      <c r="P46" s="34" t="s">
        <v>51</v>
      </c>
      <c r="Q46" s="33" t="n">
        <f>9710</f>
        <v>9710.0</v>
      </c>
      <c r="R46" s="34" t="s">
        <v>51</v>
      </c>
      <c r="S46" s="35" t="n">
        <f>10277.22</f>
        <v>10277.22</v>
      </c>
      <c r="T46" s="32" t="n">
        <f>737</f>
        <v>737.0</v>
      </c>
      <c r="U46" s="32" t="str">
        <f>"－"</f>
        <v>－</v>
      </c>
      <c r="V46" s="32" t="n">
        <f>7536360</f>
        <v>7536360.0</v>
      </c>
      <c r="W46" s="32" t="str">
        <f>"－"</f>
        <v>－</v>
      </c>
      <c r="X46" s="36" t="n">
        <f>18</f>
        <v>18.0</v>
      </c>
    </row>
    <row r="47">
      <c r="A47" s="27" t="s">
        <v>42</v>
      </c>
      <c r="B47" s="27" t="s">
        <v>182</v>
      </c>
      <c r="C47" s="27" t="s">
        <v>183</v>
      </c>
      <c r="D47" s="27" t="s">
        <v>184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5000</f>
        <v>5000.0</v>
      </c>
      <c r="L47" s="34" t="s">
        <v>48</v>
      </c>
      <c r="M47" s="33" t="n">
        <f>5250</f>
        <v>5250.0</v>
      </c>
      <c r="N47" s="34" t="s">
        <v>99</v>
      </c>
      <c r="O47" s="33" t="n">
        <f>4905</f>
        <v>4905.0</v>
      </c>
      <c r="P47" s="34" t="s">
        <v>51</v>
      </c>
      <c r="Q47" s="33" t="n">
        <f>4905</f>
        <v>4905.0</v>
      </c>
      <c r="R47" s="34" t="s">
        <v>51</v>
      </c>
      <c r="S47" s="35" t="n">
        <f>5017.37</f>
        <v>5017.37</v>
      </c>
      <c r="T47" s="32" t="n">
        <f>1025</f>
        <v>1025.0</v>
      </c>
      <c r="U47" s="32" t="str">
        <f>"－"</f>
        <v>－</v>
      </c>
      <c r="V47" s="32" t="n">
        <f>5146805</f>
        <v>5146805.0</v>
      </c>
      <c r="W47" s="32" t="str">
        <f>"－"</f>
        <v>－</v>
      </c>
      <c r="X47" s="36" t="n">
        <f>19</f>
        <v>19.0</v>
      </c>
    </row>
    <row r="48">
      <c r="A48" s="27" t="s">
        <v>42</v>
      </c>
      <c r="B48" s="27" t="s">
        <v>185</v>
      </c>
      <c r="C48" s="27" t="s">
        <v>186</v>
      </c>
      <c r="D48" s="27" t="s">
        <v>187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2290</f>
        <v>2290.0</v>
      </c>
      <c r="L48" s="34" t="s">
        <v>48</v>
      </c>
      <c r="M48" s="33" t="n">
        <f>2502</f>
        <v>2502.0</v>
      </c>
      <c r="N48" s="34" t="s">
        <v>72</v>
      </c>
      <c r="O48" s="33" t="n">
        <f>2230</f>
        <v>2230.0</v>
      </c>
      <c r="P48" s="34" t="s">
        <v>48</v>
      </c>
      <c r="Q48" s="33" t="n">
        <f>2354</f>
        <v>2354.0</v>
      </c>
      <c r="R48" s="34" t="s">
        <v>51</v>
      </c>
      <c r="S48" s="35" t="n">
        <f>2336</f>
        <v>2336.0</v>
      </c>
      <c r="T48" s="32" t="n">
        <f>7299</f>
        <v>7299.0</v>
      </c>
      <c r="U48" s="32" t="str">
        <f>"－"</f>
        <v>－</v>
      </c>
      <c r="V48" s="32" t="n">
        <f>17017909</f>
        <v>1.7017909E7</v>
      </c>
      <c r="W48" s="32" t="str">
        <f>"－"</f>
        <v>－</v>
      </c>
      <c r="X48" s="36" t="n">
        <f>19</f>
        <v>19.0</v>
      </c>
    </row>
    <row r="49">
      <c r="A49" s="27" t="s">
        <v>42</v>
      </c>
      <c r="B49" s="27" t="s">
        <v>188</v>
      </c>
      <c r="C49" s="27" t="s">
        <v>189</v>
      </c>
      <c r="D49" s="27" t="s">
        <v>190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2740</f>
        <v>2740.0</v>
      </c>
      <c r="L49" s="34" t="s">
        <v>48</v>
      </c>
      <c r="M49" s="33" t="n">
        <f>2878</f>
        <v>2878.0</v>
      </c>
      <c r="N49" s="34" t="s">
        <v>79</v>
      </c>
      <c r="O49" s="33" t="n">
        <f>2698</f>
        <v>2698.0</v>
      </c>
      <c r="P49" s="34" t="s">
        <v>50</v>
      </c>
      <c r="Q49" s="33" t="n">
        <f>2719</f>
        <v>2719.0</v>
      </c>
      <c r="R49" s="34" t="s">
        <v>51</v>
      </c>
      <c r="S49" s="35" t="n">
        <f>2786.95</f>
        <v>2786.95</v>
      </c>
      <c r="T49" s="32" t="n">
        <f>1794</f>
        <v>1794.0</v>
      </c>
      <c r="U49" s="32" t="str">
        <f>"－"</f>
        <v>－</v>
      </c>
      <c r="V49" s="32" t="n">
        <f>5005210</f>
        <v>5005210.0</v>
      </c>
      <c r="W49" s="32" t="str">
        <f>"－"</f>
        <v>－</v>
      </c>
      <c r="X49" s="36" t="n">
        <f>19</f>
        <v>19.0</v>
      </c>
    </row>
    <row r="50">
      <c r="A50" s="27" t="s">
        <v>42</v>
      </c>
      <c r="B50" s="27" t="s">
        <v>191</v>
      </c>
      <c r="C50" s="27" t="s">
        <v>192</v>
      </c>
      <c r="D50" s="27" t="s">
        <v>193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33850</f>
        <v>33850.0</v>
      </c>
      <c r="L50" s="34" t="s">
        <v>100</v>
      </c>
      <c r="M50" s="33" t="n">
        <f>42000</f>
        <v>42000.0</v>
      </c>
      <c r="N50" s="34" t="s">
        <v>49</v>
      </c>
      <c r="O50" s="33" t="n">
        <f>33300</f>
        <v>33300.0</v>
      </c>
      <c r="P50" s="34" t="s">
        <v>65</v>
      </c>
      <c r="Q50" s="33" t="n">
        <f>35300</f>
        <v>35300.0</v>
      </c>
      <c r="R50" s="34" t="s">
        <v>51</v>
      </c>
      <c r="S50" s="35" t="n">
        <f>37591.67</f>
        <v>37591.67</v>
      </c>
      <c r="T50" s="32" t="n">
        <f>700</f>
        <v>700.0</v>
      </c>
      <c r="U50" s="32" t="str">
        <f>"－"</f>
        <v>－</v>
      </c>
      <c r="V50" s="32" t="n">
        <f>26365000</f>
        <v>2.6365E7</v>
      </c>
      <c r="W50" s="32" t="str">
        <f>"－"</f>
        <v>－</v>
      </c>
      <c r="X50" s="36" t="n">
        <f>18</f>
        <v>18.0</v>
      </c>
    </row>
    <row r="51">
      <c r="A51" s="27" t="s">
        <v>42</v>
      </c>
      <c r="B51" s="27" t="s">
        <v>194</v>
      </c>
      <c r="C51" s="27" t="s">
        <v>195</v>
      </c>
      <c r="D51" s="27" t="s">
        <v>196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25380</f>
        <v>25380.0</v>
      </c>
      <c r="L51" s="34" t="s">
        <v>48</v>
      </c>
      <c r="M51" s="33" t="n">
        <f>31550</f>
        <v>31550.0</v>
      </c>
      <c r="N51" s="34" t="s">
        <v>49</v>
      </c>
      <c r="O51" s="33" t="n">
        <f>25380</f>
        <v>25380.0</v>
      </c>
      <c r="P51" s="34" t="s">
        <v>48</v>
      </c>
      <c r="Q51" s="33" t="n">
        <f>26000</f>
        <v>26000.0</v>
      </c>
      <c r="R51" s="34" t="s">
        <v>51</v>
      </c>
      <c r="S51" s="35" t="n">
        <f>28073.33</f>
        <v>28073.33</v>
      </c>
      <c r="T51" s="32" t="n">
        <f>217</f>
        <v>217.0</v>
      </c>
      <c r="U51" s="32" t="str">
        <f>"－"</f>
        <v>－</v>
      </c>
      <c r="V51" s="32" t="n">
        <f>6173210</f>
        <v>6173210.0</v>
      </c>
      <c r="W51" s="32" t="str">
        <f>"－"</f>
        <v>－</v>
      </c>
      <c r="X51" s="36" t="n">
        <f>15</f>
        <v>15.0</v>
      </c>
    </row>
    <row r="52">
      <c r="A52" s="27" t="s">
        <v>42</v>
      </c>
      <c r="B52" s="27" t="s">
        <v>197</v>
      </c>
      <c r="C52" s="27" t="s">
        <v>198</v>
      </c>
      <c r="D52" s="27" t="s">
        <v>199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23440</f>
        <v>23440.0</v>
      </c>
      <c r="L52" s="34" t="s">
        <v>48</v>
      </c>
      <c r="M52" s="33" t="n">
        <f>24240</f>
        <v>24240.0</v>
      </c>
      <c r="N52" s="34" t="s">
        <v>49</v>
      </c>
      <c r="O52" s="33" t="n">
        <f>23050</f>
        <v>23050.0</v>
      </c>
      <c r="P52" s="34" t="s">
        <v>50</v>
      </c>
      <c r="Q52" s="33" t="n">
        <f>23350</f>
        <v>23350.0</v>
      </c>
      <c r="R52" s="34" t="s">
        <v>51</v>
      </c>
      <c r="S52" s="35" t="n">
        <f>23752.22</f>
        <v>23752.22</v>
      </c>
      <c r="T52" s="32" t="n">
        <f>22129</f>
        <v>22129.0</v>
      </c>
      <c r="U52" s="32" t="n">
        <f>21000</f>
        <v>21000.0</v>
      </c>
      <c r="V52" s="32" t="n">
        <f>531518050</f>
        <v>5.3151805E8</v>
      </c>
      <c r="W52" s="32" t="n">
        <f>504630000</f>
        <v>5.0463E8</v>
      </c>
      <c r="X52" s="36" t="n">
        <f>18</f>
        <v>18.0</v>
      </c>
    </row>
    <row r="53">
      <c r="A53" s="27" t="s">
        <v>42</v>
      </c>
      <c r="B53" s="27" t="s">
        <v>200</v>
      </c>
      <c r="C53" s="27" t="s">
        <v>201</v>
      </c>
      <c r="D53" s="27" t="s">
        <v>202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2183</f>
        <v>2183.0</v>
      </c>
      <c r="L53" s="34" t="s">
        <v>48</v>
      </c>
      <c r="M53" s="33" t="n">
        <f>2268</f>
        <v>2268.0</v>
      </c>
      <c r="N53" s="34" t="s">
        <v>51</v>
      </c>
      <c r="O53" s="33" t="n">
        <f>2150</f>
        <v>2150.0</v>
      </c>
      <c r="P53" s="34" t="s">
        <v>119</v>
      </c>
      <c r="Q53" s="33" t="n">
        <f>2268</f>
        <v>2268.0</v>
      </c>
      <c r="R53" s="34" t="s">
        <v>51</v>
      </c>
      <c r="S53" s="35" t="n">
        <f>2198.42</f>
        <v>2198.42</v>
      </c>
      <c r="T53" s="32" t="n">
        <f>853130</f>
        <v>853130.0</v>
      </c>
      <c r="U53" s="32" t="n">
        <f>30000</f>
        <v>30000.0</v>
      </c>
      <c r="V53" s="32" t="n">
        <f>1888743350</f>
        <v>1.88874335E9</v>
      </c>
      <c r="W53" s="32" t="n">
        <f>66168000</f>
        <v>6.6168E7</v>
      </c>
      <c r="X53" s="36" t="n">
        <f>19</f>
        <v>19.0</v>
      </c>
    </row>
    <row r="54">
      <c r="A54" s="27" t="s">
        <v>42</v>
      </c>
      <c r="B54" s="27" t="s">
        <v>203</v>
      </c>
      <c r="C54" s="27" t="s">
        <v>204</v>
      </c>
      <c r="D54" s="27" t="s">
        <v>205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1610</f>
        <v>1610.0</v>
      </c>
      <c r="L54" s="34" t="s">
        <v>48</v>
      </c>
      <c r="M54" s="33" t="n">
        <f>1637</f>
        <v>1637.0</v>
      </c>
      <c r="N54" s="34" t="s">
        <v>49</v>
      </c>
      <c r="O54" s="33" t="n">
        <f>1540</f>
        <v>1540.0</v>
      </c>
      <c r="P54" s="34" t="s">
        <v>91</v>
      </c>
      <c r="Q54" s="33" t="n">
        <f>1583</f>
        <v>1583.0</v>
      </c>
      <c r="R54" s="34" t="s">
        <v>51</v>
      </c>
      <c r="S54" s="35" t="n">
        <f>1606.53</f>
        <v>1606.53</v>
      </c>
      <c r="T54" s="32" t="n">
        <f>9580</f>
        <v>9580.0</v>
      </c>
      <c r="U54" s="32" t="str">
        <f>"－"</f>
        <v>－</v>
      </c>
      <c r="V54" s="32" t="n">
        <f>15367770</f>
        <v>1.536777E7</v>
      </c>
      <c r="W54" s="32" t="str">
        <f>"－"</f>
        <v>－</v>
      </c>
      <c r="X54" s="36" t="n">
        <f>19</f>
        <v>19.0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6190</f>
        <v>6190.0</v>
      </c>
      <c r="L55" s="34" t="s">
        <v>48</v>
      </c>
      <c r="M55" s="33" t="n">
        <f>6270</f>
        <v>6270.0</v>
      </c>
      <c r="N55" s="34" t="s">
        <v>65</v>
      </c>
      <c r="O55" s="33" t="n">
        <f>5950</f>
        <v>5950.0</v>
      </c>
      <c r="P55" s="34" t="s">
        <v>79</v>
      </c>
      <c r="Q55" s="33" t="n">
        <f>6180</f>
        <v>6180.0</v>
      </c>
      <c r="R55" s="34" t="s">
        <v>51</v>
      </c>
      <c r="S55" s="35" t="n">
        <f>6077.89</f>
        <v>6077.89</v>
      </c>
      <c r="T55" s="32" t="n">
        <f>110991</f>
        <v>110991.0</v>
      </c>
      <c r="U55" s="32" t="str">
        <f>"－"</f>
        <v>－</v>
      </c>
      <c r="V55" s="32" t="n">
        <f>685969900</f>
        <v>6.859699E8</v>
      </c>
      <c r="W55" s="32" t="str">
        <f>"－"</f>
        <v>－</v>
      </c>
      <c r="X55" s="36" t="n">
        <f>19</f>
        <v>19.0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6910</f>
        <v>6910.0</v>
      </c>
      <c r="L56" s="34" t="s">
        <v>48</v>
      </c>
      <c r="M56" s="33" t="n">
        <f>7020</f>
        <v>7020.0</v>
      </c>
      <c r="N56" s="34" t="s">
        <v>50</v>
      </c>
      <c r="O56" s="33" t="n">
        <f>6710</f>
        <v>6710.0</v>
      </c>
      <c r="P56" s="34" t="s">
        <v>49</v>
      </c>
      <c r="Q56" s="33" t="n">
        <f>6950</f>
        <v>6950.0</v>
      </c>
      <c r="R56" s="34" t="s">
        <v>51</v>
      </c>
      <c r="S56" s="35" t="n">
        <f>6819.47</f>
        <v>6819.47</v>
      </c>
      <c r="T56" s="32" t="n">
        <f>12944</f>
        <v>12944.0</v>
      </c>
      <c r="U56" s="32" t="str">
        <f>"－"</f>
        <v>－</v>
      </c>
      <c r="V56" s="32" t="n">
        <f>88989810</f>
        <v>8.898981E7</v>
      </c>
      <c r="W56" s="32" t="str">
        <f>"－"</f>
        <v>－</v>
      </c>
      <c r="X56" s="36" t="n">
        <f>19</f>
        <v>19.0</v>
      </c>
    </row>
    <row r="57">
      <c r="A57" s="27" t="s">
        <v>42</v>
      </c>
      <c r="B57" s="27" t="s">
        <v>212</v>
      </c>
      <c r="C57" s="27" t="s">
        <v>213</v>
      </c>
      <c r="D57" s="27" t="s">
        <v>214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12450</f>
        <v>12450.0</v>
      </c>
      <c r="L57" s="34" t="s">
        <v>48</v>
      </c>
      <c r="M57" s="33" t="n">
        <f>13390</f>
        <v>13390.0</v>
      </c>
      <c r="N57" s="34" t="s">
        <v>79</v>
      </c>
      <c r="O57" s="33" t="n">
        <f>12030</f>
        <v>12030.0</v>
      </c>
      <c r="P57" s="34" t="s">
        <v>50</v>
      </c>
      <c r="Q57" s="33" t="n">
        <f>12350</f>
        <v>12350.0</v>
      </c>
      <c r="R57" s="34" t="s">
        <v>51</v>
      </c>
      <c r="S57" s="35" t="n">
        <f>12853.16</f>
        <v>12853.16</v>
      </c>
      <c r="T57" s="32" t="n">
        <f>3455245</f>
        <v>3455245.0</v>
      </c>
      <c r="U57" s="32" t="n">
        <f>1370</f>
        <v>1370.0</v>
      </c>
      <c r="V57" s="32" t="n">
        <f>44002421757</f>
        <v>4.4002421757E10</v>
      </c>
      <c r="W57" s="32" t="n">
        <f>17006027</f>
        <v>1.7006027E7</v>
      </c>
      <c r="X57" s="36" t="n">
        <f>19</f>
        <v>19.0</v>
      </c>
    </row>
    <row r="58">
      <c r="A58" s="27" t="s">
        <v>42</v>
      </c>
      <c r="B58" s="27" t="s">
        <v>215</v>
      </c>
      <c r="C58" s="27" t="s">
        <v>216</v>
      </c>
      <c r="D58" s="27" t="s">
        <v>217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3575</f>
        <v>3575.0</v>
      </c>
      <c r="L58" s="34" t="s">
        <v>48</v>
      </c>
      <c r="M58" s="33" t="n">
        <f>3655</f>
        <v>3655.0</v>
      </c>
      <c r="N58" s="34" t="s">
        <v>65</v>
      </c>
      <c r="O58" s="33" t="n">
        <f>3300</f>
        <v>3300.0</v>
      </c>
      <c r="P58" s="34" t="s">
        <v>79</v>
      </c>
      <c r="Q58" s="33" t="n">
        <f>3555</f>
        <v>3555.0</v>
      </c>
      <c r="R58" s="34" t="s">
        <v>51</v>
      </c>
      <c r="S58" s="35" t="n">
        <f>3440.53</f>
        <v>3440.53</v>
      </c>
      <c r="T58" s="32" t="n">
        <f>8267846</f>
        <v>8267846.0</v>
      </c>
      <c r="U58" s="32" t="n">
        <f>10544</f>
        <v>10544.0</v>
      </c>
      <c r="V58" s="32" t="n">
        <f>28826021636</f>
        <v>2.8826021636E10</v>
      </c>
      <c r="W58" s="32" t="n">
        <f>36685931</f>
        <v>3.6685931E7</v>
      </c>
      <c r="X58" s="36" t="n">
        <f>19</f>
        <v>19.0</v>
      </c>
    </row>
    <row r="59">
      <c r="A59" s="27" t="s">
        <v>42</v>
      </c>
      <c r="B59" s="27" t="s">
        <v>218</v>
      </c>
      <c r="C59" s="27" t="s">
        <v>219</v>
      </c>
      <c r="D59" s="27" t="s">
        <v>220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19980</f>
        <v>19980.0</v>
      </c>
      <c r="L59" s="34" t="s">
        <v>61</v>
      </c>
      <c r="M59" s="33" t="n">
        <f>20000</f>
        <v>20000.0</v>
      </c>
      <c r="N59" s="34" t="s">
        <v>61</v>
      </c>
      <c r="O59" s="33" t="n">
        <f>19610</f>
        <v>19610.0</v>
      </c>
      <c r="P59" s="34" t="s">
        <v>95</v>
      </c>
      <c r="Q59" s="33" t="n">
        <f>19630</f>
        <v>19630.0</v>
      </c>
      <c r="R59" s="34" t="s">
        <v>50</v>
      </c>
      <c r="S59" s="35" t="n">
        <f>19860</f>
        <v>19860.0</v>
      </c>
      <c r="T59" s="32" t="n">
        <f>11</f>
        <v>11.0</v>
      </c>
      <c r="U59" s="32" t="str">
        <f>"－"</f>
        <v>－</v>
      </c>
      <c r="V59" s="32" t="n">
        <f>218710</f>
        <v>218710.0</v>
      </c>
      <c r="W59" s="32" t="str">
        <f>"－"</f>
        <v>－</v>
      </c>
      <c r="X59" s="36" t="n">
        <f>6</f>
        <v>6.0</v>
      </c>
    </row>
    <row r="60">
      <c r="A60" s="27" t="s">
        <v>42</v>
      </c>
      <c r="B60" s="27" t="s">
        <v>221</v>
      </c>
      <c r="C60" s="27" t="s">
        <v>222</v>
      </c>
      <c r="D60" s="27" t="s">
        <v>223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11280</f>
        <v>11280.0</v>
      </c>
      <c r="L60" s="34" t="s">
        <v>48</v>
      </c>
      <c r="M60" s="33" t="n">
        <f>11830</f>
        <v>11830.0</v>
      </c>
      <c r="N60" s="34" t="s">
        <v>49</v>
      </c>
      <c r="O60" s="33" t="n">
        <f>10870</f>
        <v>10870.0</v>
      </c>
      <c r="P60" s="34" t="s">
        <v>50</v>
      </c>
      <c r="Q60" s="33" t="n">
        <f>11020</f>
        <v>11020.0</v>
      </c>
      <c r="R60" s="34" t="s">
        <v>51</v>
      </c>
      <c r="S60" s="35" t="n">
        <f>11471.05</f>
        <v>11471.05</v>
      </c>
      <c r="T60" s="32" t="n">
        <f>3146</f>
        <v>3146.0</v>
      </c>
      <c r="U60" s="32" t="str">
        <f>"－"</f>
        <v>－</v>
      </c>
      <c r="V60" s="32" t="n">
        <f>36240740</f>
        <v>3.624074E7</v>
      </c>
      <c r="W60" s="32" t="str">
        <f>"－"</f>
        <v>－</v>
      </c>
      <c r="X60" s="36" t="n">
        <f>19</f>
        <v>19.0</v>
      </c>
    </row>
    <row r="61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6780</f>
        <v>6780.0</v>
      </c>
      <c r="L61" s="34" t="s">
        <v>48</v>
      </c>
      <c r="M61" s="33" t="n">
        <f>6840</f>
        <v>6840.0</v>
      </c>
      <c r="N61" s="34" t="s">
        <v>50</v>
      </c>
      <c r="O61" s="33" t="n">
        <f>6560</f>
        <v>6560.0</v>
      </c>
      <c r="P61" s="34" t="s">
        <v>49</v>
      </c>
      <c r="Q61" s="33" t="n">
        <f>6790</f>
        <v>6790.0</v>
      </c>
      <c r="R61" s="34" t="s">
        <v>51</v>
      </c>
      <c r="S61" s="35" t="n">
        <f>6681.05</f>
        <v>6681.05</v>
      </c>
      <c r="T61" s="32" t="n">
        <f>793</f>
        <v>793.0</v>
      </c>
      <c r="U61" s="32" t="str">
        <f>"－"</f>
        <v>－</v>
      </c>
      <c r="V61" s="32" t="n">
        <f>5336210</f>
        <v>5336210.0</v>
      </c>
      <c r="W61" s="32" t="str">
        <f>"－"</f>
        <v>－</v>
      </c>
      <c r="X61" s="36" t="n">
        <f>19</f>
        <v>19.0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4030</f>
        <v>4030.0</v>
      </c>
      <c r="L62" s="34" t="s">
        <v>48</v>
      </c>
      <c r="M62" s="33" t="n">
        <f>4135</f>
        <v>4135.0</v>
      </c>
      <c r="N62" s="34" t="s">
        <v>50</v>
      </c>
      <c r="O62" s="33" t="n">
        <f>3750</f>
        <v>3750.0</v>
      </c>
      <c r="P62" s="34" t="s">
        <v>49</v>
      </c>
      <c r="Q62" s="33" t="n">
        <f>4000</f>
        <v>4000.0</v>
      </c>
      <c r="R62" s="34" t="s">
        <v>51</v>
      </c>
      <c r="S62" s="35" t="n">
        <f>3909.47</f>
        <v>3909.47</v>
      </c>
      <c r="T62" s="32" t="n">
        <f>33313</f>
        <v>33313.0</v>
      </c>
      <c r="U62" s="32" t="n">
        <f>715</f>
        <v>715.0</v>
      </c>
      <c r="V62" s="32" t="n">
        <f>130376025</f>
        <v>1.30376025E8</v>
      </c>
      <c r="W62" s="32" t="n">
        <f>2749990</f>
        <v>2749990.0</v>
      </c>
      <c r="X62" s="36" t="n">
        <f>19</f>
        <v>19.0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10480</f>
        <v>10480.0</v>
      </c>
      <c r="L63" s="34" t="s">
        <v>100</v>
      </c>
      <c r="M63" s="33" t="n">
        <f>11340</f>
        <v>11340.0</v>
      </c>
      <c r="N63" s="34" t="s">
        <v>79</v>
      </c>
      <c r="O63" s="33" t="n">
        <f>9800</f>
        <v>9800.0</v>
      </c>
      <c r="P63" s="34" t="s">
        <v>175</v>
      </c>
      <c r="Q63" s="33" t="n">
        <f>10320</f>
        <v>10320.0</v>
      </c>
      <c r="R63" s="34" t="s">
        <v>51</v>
      </c>
      <c r="S63" s="35" t="n">
        <f>10584.38</f>
        <v>10584.38</v>
      </c>
      <c r="T63" s="32" t="n">
        <f>4830</f>
        <v>4830.0</v>
      </c>
      <c r="U63" s="32" t="str">
        <f>"－"</f>
        <v>－</v>
      </c>
      <c r="V63" s="32" t="n">
        <f>50917000</f>
        <v>5.0917E7</v>
      </c>
      <c r="W63" s="32" t="str">
        <f>"－"</f>
        <v>－</v>
      </c>
      <c r="X63" s="36" t="n">
        <f>16</f>
        <v>16.0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6670</f>
        <v>6670.0</v>
      </c>
      <c r="L64" s="34" t="s">
        <v>48</v>
      </c>
      <c r="M64" s="33" t="n">
        <f>6790</f>
        <v>6790.0</v>
      </c>
      <c r="N64" s="34" t="s">
        <v>95</v>
      </c>
      <c r="O64" s="33" t="n">
        <f>6490</f>
        <v>6490.0</v>
      </c>
      <c r="P64" s="34" t="s">
        <v>90</v>
      </c>
      <c r="Q64" s="33" t="n">
        <f>6720</f>
        <v>6720.0</v>
      </c>
      <c r="R64" s="34" t="s">
        <v>50</v>
      </c>
      <c r="S64" s="35" t="n">
        <f>6628.57</f>
        <v>6628.57</v>
      </c>
      <c r="T64" s="32" t="n">
        <f>1790</f>
        <v>1790.0</v>
      </c>
      <c r="U64" s="32" t="str">
        <f>"－"</f>
        <v>－</v>
      </c>
      <c r="V64" s="32" t="n">
        <f>11944700</f>
        <v>1.19447E7</v>
      </c>
      <c r="W64" s="32" t="str">
        <f>"－"</f>
        <v>－</v>
      </c>
      <c r="X64" s="36" t="n">
        <f>7</f>
        <v>7.0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3920</f>
        <v>3920.0</v>
      </c>
      <c r="L65" s="34" t="s">
        <v>48</v>
      </c>
      <c r="M65" s="33" t="n">
        <f>4040</f>
        <v>4040.0</v>
      </c>
      <c r="N65" s="34" t="s">
        <v>50</v>
      </c>
      <c r="O65" s="33" t="n">
        <f>3690</f>
        <v>3690.0</v>
      </c>
      <c r="P65" s="34" t="s">
        <v>49</v>
      </c>
      <c r="Q65" s="33" t="n">
        <f>3935</f>
        <v>3935.0</v>
      </c>
      <c r="R65" s="34" t="s">
        <v>51</v>
      </c>
      <c r="S65" s="35" t="n">
        <f>3816.11</f>
        <v>3816.11</v>
      </c>
      <c r="T65" s="32" t="n">
        <f>42130</f>
        <v>42130.0</v>
      </c>
      <c r="U65" s="32" t="n">
        <f>11600</f>
        <v>11600.0</v>
      </c>
      <c r="V65" s="32" t="n">
        <f>163400640</f>
        <v>1.6340064E8</v>
      </c>
      <c r="W65" s="32" t="n">
        <f>45022890</f>
        <v>4.502289E7</v>
      </c>
      <c r="X65" s="36" t="n">
        <f>18</f>
        <v>18.0</v>
      </c>
    </row>
    <row r="66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22700</f>
        <v>22700.0</v>
      </c>
      <c r="L66" s="34" t="s">
        <v>48</v>
      </c>
      <c r="M66" s="33" t="n">
        <f>24160</f>
        <v>24160.0</v>
      </c>
      <c r="N66" s="34" t="s">
        <v>90</v>
      </c>
      <c r="O66" s="33" t="n">
        <f>22000</f>
        <v>22000.0</v>
      </c>
      <c r="P66" s="34" t="s">
        <v>48</v>
      </c>
      <c r="Q66" s="33" t="n">
        <f>22070</f>
        <v>22070.0</v>
      </c>
      <c r="R66" s="34" t="s">
        <v>51</v>
      </c>
      <c r="S66" s="35" t="n">
        <f>22890</f>
        <v>22890.0</v>
      </c>
      <c r="T66" s="32" t="n">
        <f>4035</f>
        <v>4035.0</v>
      </c>
      <c r="U66" s="32" t="str">
        <f>"－"</f>
        <v>－</v>
      </c>
      <c r="V66" s="32" t="n">
        <f>92981340</f>
        <v>9.298134E7</v>
      </c>
      <c r="W66" s="32" t="str">
        <f>"－"</f>
        <v>－</v>
      </c>
      <c r="X66" s="36" t="n">
        <f>19</f>
        <v>19.0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4525</f>
        <v>4525.0</v>
      </c>
      <c r="L67" s="34" t="s">
        <v>48</v>
      </c>
      <c r="M67" s="33" t="n">
        <f>4535</f>
        <v>4535.0</v>
      </c>
      <c r="N67" s="34" t="s">
        <v>65</v>
      </c>
      <c r="O67" s="33" t="n">
        <f>4255</f>
        <v>4255.0</v>
      </c>
      <c r="P67" s="34" t="s">
        <v>119</v>
      </c>
      <c r="Q67" s="33" t="n">
        <f>4355</f>
        <v>4355.0</v>
      </c>
      <c r="R67" s="34" t="s">
        <v>245</v>
      </c>
      <c r="S67" s="35" t="n">
        <f>4369.67</f>
        <v>4369.67</v>
      </c>
      <c r="T67" s="32" t="n">
        <f>1229</f>
        <v>1229.0</v>
      </c>
      <c r="U67" s="32" t="str">
        <f>"－"</f>
        <v>－</v>
      </c>
      <c r="V67" s="32" t="n">
        <f>5352900</f>
        <v>5352900.0</v>
      </c>
      <c r="W67" s="32" t="str">
        <f>"－"</f>
        <v>－</v>
      </c>
      <c r="X67" s="36" t="n">
        <f>15</f>
        <v>15.0</v>
      </c>
    </row>
    <row r="68">
      <c r="A68" s="27" t="s">
        <v>42</v>
      </c>
      <c r="B68" s="27" t="s">
        <v>246</v>
      </c>
      <c r="C68" s="27" t="s">
        <v>247</v>
      </c>
      <c r="D68" s="27" t="s">
        <v>248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1577</f>
        <v>1577.0</v>
      </c>
      <c r="L68" s="34" t="s">
        <v>48</v>
      </c>
      <c r="M68" s="33" t="n">
        <f>1677</f>
        <v>1677.0</v>
      </c>
      <c r="N68" s="34" t="s">
        <v>91</v>
      </c>
      <c r="O68" s="33" t="n">
        <f>1492</f>
        <v>1492.0</v>
      </c>
      <c r="P68" s="34" t="s">
        <v>49</v>
      </c>
      <c r="Q68" s="33" t="n">
        <f>1582</f>
        <v>1582.0</v>
      </c>
      <c r="R68" s="34" t="s">
        <v>51</v>
      </c>
      <c r="S68" s="35" t="n">
        <f>1543.37</f>
        <v>1543.37</v>
      </c>
      <c r="T68" s="32" t="n">
        <f>19399</f>
        <v>19399.0</v>
      </c>
      <c r="U68" s="32" t="str">
        <f>"－"</f>
        <v>－</v>
      </c>
      <c r="V68" s="32" t="n">
        <f>30414236</f>
        <v>3.0414236E7</v>
      </c>
      <c r="W68" s="32" t="str">
        <f>"－"</f>
        <v>－</v>
      </c>
      <c r="X68" s="36" t="n">
        <f>19</f>
        <v>19.0</v>
      </c>
    </row>
    <row r="69">
      <c r="A69" s="27" t="s">
        <v>42</v>
      </c>
      <c r="B69" s="27" t="s">
        <v>249</v>
      </c>
      <c r="C69" s="27" t="s">
        <v>250</v>
      </c>
      <c r="D69" s="27" t="s">
        <v>251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1726</f>
        <v>1726.0</v>
      </c>
      <c r="L69" s="34" t="s">
        <v>48</v>
      </c>
      <c r="M69" s="33" t="n">
        <f>1757</f>
        <v>1757.0</v>
      </c>
      <c r="N69" s="34" t="s">
        <v>49</v>
      </c>
      <c r="O69" s="33" t="n">
        <f>1679</f>
        <v>1679.0</v>
      </c>
      <c r="P69" s="34" t="s">
        <v>50</v>
      </c>
      <c r="Q69" s="33" t="n">
        <f>1695</f>
        <v>1695.0</v>
      </c>
      <c r="R69" s="34" t="s">
        <v>51</v>
      </c>
      <c r="S69" s="35" t="n">
        <f>1729.42</f>
        <v>1729.42</v>
      </c>
      <c r="T69" s="32" t="n">
        <f>630330</f>
        <v>630330.0</v>
      </c>
      <c r="U69" s="32" t="n">
        <f>530000</f>
        <v>530000.0</v>
      </c>
      <c r="V69" s="32" t="n">
        <f>1084378900</f>
        <v>1.0843789E9</v>
      </c>
      <c r="W69" s="32" t="n">
        <f>911971100</f>
        <v>9.119711E8</v>
      </c>
      <c r="X69" s="36" t="n">
        <f>19</f>
        <v>19.0</v>
      </c>
    </row>
    <row r="70">
      <c r="A70" s="27" t="s">
        <v>42</v>
      </c>
      <c r="B70" s="27" t="s">
        <v>252</v>
      </c>
      <c r="C70" s="27" t="s">
        <v>253</v>
      </c>
      <c r="D70" s="27" t="s">
        <v>254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15380</f>
        <v>15380.0</v>
      </c>
      <c r="L70" s="34" t="s">
        <v>48</v>
      </c>
      <c r="M70" s="33" t="n">
        <f>15710</f>
        <v>15710.0</v>
      </c>
      <c r="N70" s="34" t="s">
        <v>49</v>
      </c>
      <c r="O70" s="33" t="n">
        <f>14840</f>
        <v>14840.0</v>
      </c>
      <c r="P70" s="34" t="s">
        <v>100</v>
      </c>
      <c r="Q70" s="33" t="n">
        <f>15160</f>
        <v>15160.0</v>
      </c>
      <c r="R70" s="34" t="s">
        <v>51</v>
      </c>
      <c r="S70" s="35" t="n">
        <f>15452.63</f>
        <v>15452.63</v>
      </c>
      <c r="T70" s="32" t="n">
        <f>103285</f>
        <v>103285.0</v>
      </c>
      <c r="U70" s="32" t="n">
        <f>94400</f>
        <v>94400.0</v>
      </c>
      <c r="V70" s="32" t="n">
        <f>1607110230</f>
        <v>1.60711023E9</v>
      </c>
      <c r="W70" s="32" t="n">
        <f>1470708200</f>
        <v>1.4707082E9</v>
      </c>
      <c r="X70" s="36" t="n">
        <f>19</f>
        <v>19.0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1736</f>
        <v>1736.0</v>
      </c>
      <c r="L71" s="34" t="s">
        <v>48</v>
      </c>
      <c r="M71" s="33" t="n">
        <f>1785</f>
        <v>1785.0</v>
      </c>
      <c r="N71" s="34" t="s">
        <v>49</v>
      </c>
      <c r="O71" s="33" t="n">
        <f>1704</f>
        <v>1704.0</v>
      </c>
      <c r="P71" s="34" t="s">
        <v>50</v>
      </c>
      <c r="Q71" s="33" t="n">
        <f>1720</f>
        <v>1720.0</v>
      </c>
      <c r="R71" s="34" t="s">
        <v>51</v>
      </c>
      <c r="S71" s="35" t="n">
        <f>1756.26</f>
        <v>1756.26</v>
      </c>
      <c r="T71" s="32" t="n">
        <f>1973403</f>
        <v>1973403.0</v>
      </c>
      <c r="U71" s="32" t="n">
        <f>90488</f>
        <v>90488.0</v>
      </c>
      <c r="V71" s="32" t="n">
        <f>3442890240</f>
        <v>3.44289024E9</v>
      </c>
      <c r="W71" s="32" t="n">
        <f>158744219</f>
        <v>1.58744219E8</v>
      </c>
      <c r="X71" s="36" t="n">
        <f>19</f>
        <v>19.0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2214</f>
        <v>2214.0</v>
      </c>
      <c r="L72" s="34" t="s">
        <v>48</v>
      </c>
      <c r="M72" s="33" t="n">
        <f>2298</f>
        <v>2298.0</v>
      </c>
      <c r="N72" s="34" t="s">
        <v>51</v>
      </c>
      <c r="O72" s="33" t="n">
        <f>2176</f>
        <v>2176.0</v>
      </c>
      <c r="P72" s="34" t="s">
        <v>119</v>
      </c>
      <c r="Q72" s="33" t="n">
        <f>2286</f>
        <v>2286.0</v>
      </c>
      <c r="R72" s="34" t="s">
        <v>51</v>
      </c>
      <c r="S72" s="35" t="n">
        <f>2228.95</f>
        <v>2228.95</v>
      </c>
      <c r="T72" s="32" t="n">
        <f>5539951</f>
        <v>5539951.0</v>
      </c>
      <c r="U72" s="32" t="n">
        <f>3394743</f>
        <v>3394743.0</v>
      </c>
      <c r="V72" s="32" t="n">
        <f>12352233943</f>
        <v>1.2352233943E10</v>
      </c>
      <c r="W72" s="32" t="n">
        <f>7567824495</f>
        <v>7.567824495E9</v>
      </c>
      <c r="X72" s="36" t="n">
        <f>19</f>
        <v>19.0</v>
      </c>
    </row>
    <row r="73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1882</f>
        <v>1882.0</v>
      </c>
      <c r="L73" s="34" t="s">
        <v>48</v>
      </c>
      <c r="M73" s="33" t="n">
        <f>1922</f>
        <v>1922.0</v>
      </c>
      <c r="N73" s="34" t="s">
        <v>49</v>
      </c>
      <c r="O73" s="33" t="n">
        <f>1855</f>
        <v>1855.0</v>
      </c>
      <c r="P73" s="34" t="s">
        <v>50</v>
      </c>
      <c r="Q73" s="33" t="n">
        <f>1875</f>
        <v>1875.0</v>
      </c>
      <c r="R73" s="34" t="s">
        <v>51</v>
      </c>
      <c r="S73" s="35" t="n">
        <f>1898.95</f>
        <v>1898.95</v>
      </c>
      <c r="T73" s="32" t="n">
        <f>159709</f>
        <v>159709.0</v>
      </c>
      <c r="U73" s="32" t="n">
        <f>9507</f>
        <v>9507.0</v>
      </c>
      <c r="V73" s="32" t="n">
        <f>302557794</f>
        <v>3.02557794E8</v>
      </c>
      <c r="W73" s="32" t="n">
        <f>17844625</f>
        <v>1.7844625E7</v>
      </c>
      <c r="X73" s="36" t="n">
        <f>19</f>
        <v>19.0</v>
      </c>
    </row>
    <row r="7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1987</f>
        <v>1987.0</v>
      </c>
      <c r="L74" s="34" t="s">
        <v>48</v>
      </c>
      <c r="M74" s="33" t="n">
        <f>2041</f>
        <v>2041.0</v>
      </c>
      <c r="N74" s="34" t="s">
        <v>49</v>
      </c>
      <c r="O74" s="33" t="n">
        <f>1947</f>
        <v>1947.0</v>
      </c>
      <c r="P74" s="34" t="s">
        <v>50</v>
      </c>
      <c r="Q74" s="33" t="n">
        <f>1965</f>
        <v>1965.0</v>
      </c>
      <c r="R74" s="34" t="s">
        <v>51</v>
      </c>
      <c r="S74" s="35" t="n">
        <f>2003</f>
        <v>2003.0</v>
      </c>
      <c r="T74" s="32" t="n">
        <f>339643</f>
        <v>339643.0</v>
      </c>
      <c r="U74" s="32" t="n">
        <f>51608</f>
        <v>51608.0</v>
      </c>
      <c r="V74" s="32" t="n">
        <f>678062005</f>
        <v>6.78062005E8</v>
      </c>
      <c r="W74" s="32" t="n">
        <f>102319332</f>
        <v>1.02319332E8</v>
      </c>
      <c r="X74" s="36" t="n">
        <f>19</f>
        <v>19.0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20610</f>
        <v>20610.0</v>
      </c>
      <c r="L75" s="34" t="s">
        <v>48</v>
      </c>
      <c r="M75" s="33" t="n">
        <f>21040</f>
        <v>21040.0</v>
      </c>
      <c r="N75" s="34" t="s">
        <v>79</v>
      </c>
      <c r="O75" s="33" t="n">
        <f>20230</f>
        <v>20230.0</v>
      </c>
      <c r="P75" s="34" t="s">
        <v>50</v>
      </c>
      <c r="Q75" s="33" t="n">
        <f>20440</f>
        <v>20440.0</v>
      </c>
      <c r="R75" s="34" t="s">
        <v>51</v>
      </c>
      <c r="S75" s="35" t="n">
        <f>20770.63</f>
        <v>20770.63</v>
      </c>
      <c r="T75" s="32" t="n">
        <f>56339</f>
        <v>56339.0</v>
      </c>
      <c r="U75" s="32" t="str">
        <f>"－"</f>
        <v>－</v>
      </c>
      <c r="V75" s="32" t="n">
        <f>1159645430</f>
        <v>1.15964543E9</v>
      </c>
      <c r="W75" s="32" t="str">
        <f>"－"</f>
        <v>－</v>
      </c>
      <c r="X75" s="36" t="n">
        <f>16</f>
        <v>16.0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16530</f>
        <v>16530.0</v>
      </c>
      <c r="L76" s="34" t="s">
        <v>100</v>
      </c>
      <c r="M76" s="33" t="n">
        <f>16820</f>
        <v>16820.0</v>
      </c>
      <c r="N76" s="34" t="s">
        <v>99</v>
      </c>
      <c r="O76" s="33" t="n">
        <f>16250</f>
        <v>16250.0</v>
      </c>
      <c r="P76" s="34" t="s">
        <v>50</v>
      </c>
      <c r="Q76" s="33" t="n">
        <f>16450</f>
        <v>16450.0</v>
      </c>
      <c r="R76" s="34" t="s">
        <v>51</v>
      </c>
      <c r="S76" s="35" t="n">
        <f>16528.33</f>
        <v>16528.33</v>
      </c>
      <c r="T76" s="32" t="n">
        <f>12</f>
        <v>12.0</v>
      </c>
      <c r="U76" s="32" t="str">
        <f>"－"</f>
        <v>－</v>
      </c>
      <c r="V76" s="32" t="n">
        <f>199510</f>
        <v>199510.0</v>
      </c>
      <c r="W76" s="32" t="str">
        <f>"－"</f>
        <v>－</v>
      </c>
      <c r="X76" s="36" t="n">
        <f>6</f>
        <v>6.0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1635</f>
        <v>1635.0</v>
      </c>
      <c r="L77" s="34" t="s">
        <v>48</v>
      </c>
      <c r="M77" s="33" t="n">
        <f>1664</f>
        <v>1664.0</v>
      </c>
      <c r="N77" s="34" t="s">
        <v>150</v>
      </c>
      <c r="O77" s="33" t="n">
        <f>1600</f>
        <v>1600.0</v>
      </c>
      <c r="P77" s="34" t="s">
        <v>50</v>
      </c>
      <c r="Q77" s="33" t="n">
        <f>1620</f>
        <v>1620.0</v>
      </c>
      <c r="R77" s="34" t="s">
        <v>51</v>
      </c>
      <c r="S77" s="35" t="n">
        <f>1640.68</f>
        <v>1640.68</v>
      </c>
      <c r="T77" s="32" t="n">
        <f>1059</f>
        <v>1059.0</v>
      </c>
      <c r="U77" s="32" t="str">
        <f>"－"</f>
        <v>－</v>
      </c>
      <c r="V77" s="32" t="n">
        <f>1724199</f>
        <v>1724199.0</v>
      </c>
      <c r="W77" s="32" t="str">
        <f>"－"</f>
        <v>－</v>
      </c>
      <c r="X77" s="36" t="n">
        <f>19</f>
        <v>19.0</v>
      </c>
    </row>
    <row r="78">
      <c r="A78" s="27" t="s">
        <v>42</v>
      </c>
      <c r="B78" s="27" t="s">
        <v>276</v>
      </c>
      <c r="C78" s="27" t="s">
        <v>277</v>
      </c>
      <c r="D78" s="27" t="s">
        <v>278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2347</f>
        <v>2347.0</v>
      </c>
      <c r="L78" s="34" t="s">
        <v>48</v>
      </c>
      <c r="M78" s="33" t="n">
        <f>2369</f>
        <v>2369.0</v>
      </c>
      <c r="N78" s="34" t="s">
        <v>65</v>
      </c>
      <c r="O78" s="33" t="n">
        <f>2316</f>
        <v>2316.0</v>
      </c>
      <c r="P78" s="34" t="s">
        <v>90</v>
      </c>
      <c r="Q78" s="33" t="n">
        <f>2365</f>
        <v>2365.0</v>
      </c>
      <c r="R78" s="34" t="s">
        <v>51</v>
      </c>
      <c r="S78" s="35" t="n">
        <f>2337.84</f>
        <v>2337.84</v>
      </c>
      <c r="T78" s="32" t="n">
        <f>2112610</f>
        <v>2112610.0</v>
      </c>
      <c r="U78" s="32" t="n">
        <f>1899120</f>
        <v>1899120.0</v>
      </c>
      <c r="V78" s="32" t="n">
        <f>4967936917</f>
        <v>4.967936917E9</v>
      </c>
      <c r="W78" s="32" t="n">
        <f>4468607480</f>
        <v>4.46860748E9</v>
      </c>
      <c r="X78" s="36" t="n">
        <f>19</f>
        <v>19.0</v>
      </c>
    </row>
    <row r="79">
      <c r="A79" s="27" t="s">
        <v>42</v>
      </c>
      <c r="B79" s="27" t="s">
        <v>279</v>
      </c>
      <c r="C79" s="27" t="s">
        <v>280</v>
      </c>
      <c r="D79" s="27" t="s">
        <v>281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1612</f>
        <v>1612.0</v>
      </c>
      <c r="L79" s="34" t="s">
        <v>48</v>
      </c>
      <c r="M79" s="33" t="n">
        <f>1666</f>
        <v>1666.0</v>
      </c>
      <c r="N79" s="34" t="s">
        <v>72</v>
      </c>
      <c r="O79" s="33" t="n">
        <f>1589</f>
        <v>1589.0</v>
      </c>
      <c r="P79" s="34" t="s">
        <v>51</v>
      </c>
      <c r="Q79" s="33" t="n">
        <f>1589</f>
        <v>1589.0</v>
      </c>
      <c r="R79" s="34" t="s">
        <v>51</v>
      </c>
      <c r="S79" s="35" t="n">
        <f>1638.06</f>
        <v>1638.06</v>
      </c>
      <c r="T79" s="32" t="n">
        <f>4359</f>
        <v>4359.0</v>
      </c>
      <c r="U79" s="32" t="str">
        <f>"－"</f>
        <v>－</v>
      </c>
      <c r="V79" s="32" t="n">
        <f>7038656</f>
        <v>7038656.0</v>
      </c>
      <c r="W79" s="32" t="str">
        <f>"－"</f>
        <v>－</v>
      </c>
      <c r="X79" s="36" t="n">
        <f>18</f>
        <v>18.0</v>
      </c>
    </row>
    <row r="80">
      <c r="A80" s="27" t="s">
        <v>42</v>
      </c>
      <c r="B80" s="27" t="s">
        <v>282</v>
      </c>
      <c r="C80" s="27" t="s">
        <v>283</v>
      </c>
      <c r="D80" s="27" t="s">
        <v>284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1633</f>
        <v>1633.0</v>
      </c>
      <c r="L80" s="34" t="s">
        <v>48</v>
      </c>
      <c r="M80" s="33" t="n">
        <f>1645</f>
        <v>1645.0</v>
      </c>
      <c r="N80" s="34" t="s">
        <v>49</v>
      </c>
      <c r="O80" s="33" t="n">
        <f>1581</f>
        <v>1581.0</v>
      </c>
      <c r="P80" s="34" t="s">
        <v>50</v>
      </c>
      <c r="Q80" s="33" t="n">
        <f>1598</f>
        <v>1598.0</v>
      </c>
      <c r="R80" s="34" t="s">
        <v>51</v>
      </c>
      <c r="S80" s="35" t="n">
        <f>1621.21</f>
        <v>1621.21</v>
      </c>
      <c r="T80" s="32" t="n">
        <f>318650</f>
        <v>318650.0</v>
      </c>
      <c r="U80" s="32" t="str">
        <f>"－"</f>
        <v>－</v>
      </c>
      <c r="V80" s="32" t="n">
        <f>508861610</f>
        <v>5.0886161E8</v>
      </c>
      <c r="W80" s="32" t="str">
        <f>"－"</f>
        <v>－</v>
      </c>
      <c r="X80" s="36" t="n">
        <f>19</f>
        <v>19.0</v>
      </c>
    </row>
    <row r="81">
      <c r="A81" s="27" t="s">
        <v>42</v>
      </c>
      <c r="B81" s="27" t="s">
        <v>285</v>
      </c>
      <c r="C81" s="27" t="s">
        <v>286</v>
      </c>
      <c r="D81" s="27" t="s">
        <v>287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25400</f>
        <v>25400.0</v>
      </c>
      <c r="L81" s="34" t="s">
        <v>48</v>
      </c>
      <c r="M81" s="33" t="n">
        <f>25500</f>
        <v>25500.0</v>
      </c>
      <c r="N81" s="34" t="s">
        <v>100</v>
      </c>
      <c r="O81" s="33" t="n">
        <f>25180</f>
        <v>25180.0</v>
      </c>
      <c r="P81" s="34" t="s">
        <v>90</v>
      </c>
      <c r="Q81" s="33" t="n">
        <f>25500</f>
        <v>25500.0</v>
      </c>
      <c r="R81" s="34" t="s">
        <v>99</v>
      </c>
      <c r="S81" s="35" t="n">
        <f>25430</f>
        <v>25430.0</v>
      </c>
      <c r="T81" s="32" t="n">
        <f>81</f>
        <v>81.0</v>
      </c>
      <c r="U81" s="32" t="str">
        <f>"－"</f>
        <v>－</v>
      </c>
      <c r="V81" s="32" t="n">
        <f>2052400</f>
        <v>2052400.0</v>
      </c>
      <c r="W81" s="32" t="str">
        <f>"－"</f>
        <v>－</v>
      </c>
      <c r="X81" s="36" t="n">
        <f>6</f>
        <v>6.0</v>
      </c>
    </row>
    <row r="82">
      <c r="A82" s="27" t="s">
        <v>42</v>
      </c>
      <c r="B82" s="27" t="s">
        <v>288</v>
      </c>
      <c r="C82" s="27" t="s">
        <v>289</v>
      </c>
      <c r="D82" s="27" t="s">
        <v>290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21030</f>
        <v>21030.0</v>
      </c>
      <c r="L82" s="34" t="s">
        <v>48</v>
      </c>
      <c r="M82" s="33" t="n">
        <f>21240</f>
        <v>21240.0</v>
      </c>
      <c r="N82" s="34" t="s">
        <v>50</v>
      </c>
      <c r="O82" s="33" t="n">
        <f>20800</f>
        <v>20800.0</v>
      </c>
      <c r="P82" s="34" t="s">
        <v>119</v>
      </c>
      <c r="Q82" s="33" t="n">
        <f>21240</f>
        <v>21240.0</v>
      </c>
      <c r="R82" s="34" t="s">
        <v>51</v>
      </c>
      <c r="S82" s="35" t="n">
        <f>21045.79</f>
        <v>21045.79</v>
      </c>
      <c r="T82" s="32" t="n">
        <f>1381</f>
        <v>1381.0</v>
      </c>
      <c r="U82" s="32" t="str">
        <f>"－"</f>
        <v>－</v>
      </c>
      <c r="V82" s="32" t="n">
        <f>28972650</f>
        <v>2.897265E7</v>
      </c>
      <c r="W82" s="32" t="str">
        <f>"－"</f>
        <v>－</v>
      </c>
      <c r="X82" s="36" t="n">
        <f>19</f>
        <v>19.0</v>
      </c>
    </row>
    <row r="83">
      <c r="A83" s="27" t="s">
        <v>42</v>
      </c>
      <c r="B83" s="27" t="s">
        <v>291</v>
      </c>
      <c r="C83" s="27" t="s">
        <v>292</v>
      </c>
      <c r="D83" s="27" t="s">
        <v>293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18400</f>
        <v>18400.0</v>
      </c>
      <c r="L83" s="34" t="s">
        <v>48</v>
      </c>
      <c r="M83" s="33" t="n">
        <f>18540</f>
        <v>18540.0</v>
      </c>
      <c r="N83" s="34" t="s">
        <v>50</v>
      </c>
      <c r="O83" s="33" t="n">
        <f>18130</f>
        <v>18130.0</v>
      </c>
      <c r="P83" s="34" t="s">
        <v>119</v>
      </c>
      <c r="Q83" s="33" t="n">
        <f>18520</f>
        <v>18520.0</v>
      </c>
      <c r="R83" s="34" t="s">
        <v>51</v>
      </c>
      <c r="S83" s="35" t="n">
        <f>18308.95</f>
        <v>18308.95</v>
      </c>
      <c r="T83" s="32" t="n">
        <f>226218</f>
        <v>226218.0</v>
      </c>
      <c r="U83" s="32" t="n">
        <f>42000</f>
        <v>42000.0</v>
      </c>
      <c r="V83" s="32" t="n">
        <f>4168271790</f>
        <v>4.16827179E9</v>
      </c>
      <c r="W83" s="32" t="n">
        <f>770318780</f>
        <v>7.7031878E8</v>
      </c>
      <c r="X83" s="36" t="n">
        <f>19</f>
        <v>19.0</v>
      </c>
    </row>
    <row r="84">
      <c r="A84" s="27" t="s">
        <v>42</v>
      </c>
      <c r="B84" s="27" t="s">
        <v>294</v>
      </c>
      <c r="C84" s="27" t="s">
        <v>295</v>
      </c>
      <c r="D84" s="27" t="s">
        <v>296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2200</f>
        <v>2200.0</v>
      </c>
      <c r="L84" s="34" t="s">
        <v>48</v>
      </c>
      <c r="M84" s="33" t="n">
        <f>2291</f>
        <v>2291.0</v>
      </c>
      <c r="N84" s="34" t="s">
        <v>51</v>
      </c>
      <c r="O84" s="33" t="n">
        <f>2172</f>
        <v>2172.0</v>
      </c>
      <c r="P84" s="34" t="s">
        <v>119</v>
      </c>
      <c r="Q84" s="33" t="n">
        <f>2285</f>
        <v>2285.0</v>
      </c>
      <c r="R84" s="34" t="s">
        <v>51</v>
      </c>
      <c r="S84" s="35" t="n">
        <f>2223</f>
        <v>2223.0</v>
      </c>
      <c r="T84" s="32" t="n">
        <f>192180</f>
        <v>192180.0</v>
      </c>
      <c r="U84" s="32" t="n">
        <f>60000</f>
        <v>60000.0</v>
      </c>
      <c r="V84" s="32" t="n">
        <f>429243580</f>
        <v>4.2924358E8</v>
      </c>
      <c r="W84" s="32" t="n">
        <f>133938600</f>
        <v>1.339386E8</v>
      </c>
      <c r="X84" s="36" t="n">
        <f>19</f>
        <v>19.0</v>
      </c>
    </row>
    <row r="85">
      <c r="A85" s="27" t="s">
        <v>42</v>
      </c>
      <c r="B85" s="27" t="s">
        <v>297</v>
      </c>
      <c r="C85" s="27" t="s">
        <v>298</v>
      </c>
      <c r="D85" s="27" t="s">
        <v>299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34200</f>
        <v>34200.0</v>
      </c>
      <c r="L85" s="34" t="s">
        <v>48</v>
      </c>
      <c r="M85" s="33" t="n">
        <f>34900</f>
        <v>34900.0</v>
      </c>
      <c r="N85" s="34" t="s">
        <v>49</v>
      </c>
      <c r="O85" s="33" t="n">
        <f>33200</f>
        <v>33200.0</v>
      </c>
      <c r="P85" s="34" t="s">
        <v>50</v>
      </c>
      <c r="Q85" s="33" t="n">
        <f>33500</f>
        <v>33500.0</v>
      </c>
      <c r="R85" s="34" t="s">
        <v>51</v>
      </c>
      <c r="S85" s="35" t="n">
        <f>34263.16</f>
        <v>34263.16</v>
      </c>
      <c r="T85" s="32" t="n">
        <f>22398</f>
        <v>22398.0</v>
      </c>
      <c r="U85" s="32" t="n">
        <f>8</f>
        <v>8.0</v>
      </c>
      <c r="V85" s="32" t="n">
        <f>765830220</f>
        <v>7.6583022E8</v>
      </c>
      <c r="W85" s="32" t="n">
        <f>274970</f>
        <v>274970.0</v>
      </c>
      <c r="X85" s="36" t="n">
        <f>19</f>
        <v>19.0</v>
      </c>
    </row>
    <row r="86">
      <c r="A86" s="27" t="s">
        <v>42</v>
      </c>
      <c r="B86" s="27" t="s">
        <v>300</v>
      </c>
      <c r="C86" s="27" t="s">
        <v>301</v>
      </c>
      <c r="D86" s="27" t="s">
        <v>302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9150</f>
        <v>9150.0</v>
      </c>
      <c r="L86" s="34" t="s">
        <v>65</v>
      </c>
      <c r="M86" s="33" t="n">
        <f>9150</f>
        <v>9150.0</v>
      </c>
      <c r="N86" s="34" t="s">
        <v>65</v>
      </c>
      <c r="O86" s="33" t="n">
        <f>9020</f>
        <v>9020.0</v>
      </c>
      <c r="P86" s="34" t="s">
        <v>99</v>
      </c>
      <c r="Q86" s="33" t="n">
        <f>9090</f>
        <v>9090.0</v>
      </c>
      <c r="R86" s="34" t="s">
        <v>50</v>
      </c>
      <c r="S86" s="35" t="n">
        <f>9085</f>
        <v>9085.0</v>
      </c>
      <c r="T86" s="32" t="n">
        <f>16970</f>
        <v>16970.0</v>
      </c>
      <c r="U86" s="32" t="n">
        <f>16000</f>
        <v>16000.0</v>
      </c>
      <c r="V86" s="32" t="n">
        <f>153802600</f>
        <v>1.538026E8</v>
      </c>
      <c r="W86" s="32" t="n">
        <f>144992000</f>
        <v>1.44992E8</v>
      </c>
      <c r="X86" s="36" t="n">
        <f>10</f>
        <v>10.0</v>
      </c>
    </row>
    <row r="87">
      <c r="A87" s="27" t="s">
        <v>42</v>
      </c>
      <c r="B87" s="27" t="s">
        <v>303</v>
      </c>
      <c r="C87" s="27" t="s">
        <v>304</v>
      </c>
      <c r="D87" s="27" t="s">
        <v>305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14800</f>
        <v>14800.0</v>
      </c>
      <c r="L87" s="34" t="s">
        <v>48</v>
      </c>
      <c r="M87" s="33" t="n">
        <f>14940</f>
        <v>14940.0</v>
      </c>
      <c r="N87" s="34" t="s">
        <v>48</v>
      </c>
      <c r="O87" s="33" t="n">
        <f>14020</f>
        <v>14020.0</v>
      </c>
      <c r="P87" s="34" t="s">
        <v>51</v>
      </c>
      <c r="Q87" s="33" t="n">
        <f>14150</f>
        <v>14150.0</v>
      </c>
      <c r="R87" s="34" t="s">
        <v>51</v>
      </c>
      <c r="S87" s="35" t="n">
        <f>14576.67</f>
        <v>14576.67</v>
      </c>
      <c r="T87" s="32" t="n">
        <f>2219</f>
        <v>2219.0</v>
      </c>
      <c r="U87" s="32" t="str">
        <f>"－"</f>
        <v>－</v>
      </c>
      <c r="V87" s="32" t="n">
        <f>32251430</f>
        <v>3.225143E7</v>
      </c>
      <c r="W87" s="32" t="str">
        <f>"－"</f>
        <v>－</v>
      </c>
      <c r="X87" s="36" t="n">
        <f>18</f>
        <v>18.0</v>
      </c>
    </row>
    <row r="88">
      <c r="A88" s="27" t="s">
        <v>42</v>
      </c>
      <c r="B88" s="27" t="s">
        <v>306</v>
      </c>
      <c r="C88" s="27" t="s">
        <v>307</v>
      </c>
      <c r="D88" s="27" t="s">
        <v>308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14640</f>
        <v>14640.0</v>
      </c>
      <c r="L88" s="34" t="s">
        <v>48</v>
      </c>
      <c r="M88" s="33" t="n">
        <f>14860</f>
        <v>14860.0</v>
      </c>
      <c r="N88" s="34" t="s">
        <v>309</v>
      </c>
      <c r="O88" s="33" t="n">
        <f>14040</f>
        <v>14040.0</v>
      </c>
      <c r="P88" s="34" t="s">
        <v>50</v>
      </c>
      <c r="Q88" s="33" t="n">
        <f>14230</f>
        <v>14230.0</v>
      </c>
      <c r="R88" s="34" t="s">
        <v>51</v>
      </c>
      <c r="S88" s="35" t="n">
        <f>14602.11</f>
        <v>14602.11</v>
      </c>
      <c r="T88" s="32" t="n">
        <f>1792</f>
        <v>1792.0</v>
      </c>
      <c r="U88" s="32" t="str">
        <f>"－"</f>
        <v>－</v>
      </c>
      <c r="V88" s="32" t="n">
        <f>26114990</f>
        <v>2.611499E7</v>
      </c>
      <c r="W88" s="32" t="str">
        <f>"－"</f>
        <v>－</v>
      </c>
      <c r="X88" s="36" t="n">
        <f>19</f>
        <v>19.0</v>
      </c>
    </row>
    <row r="89">
      <c r="A89" s="27" t="s">
        <v>42</v>
      </c>
      <c r="B89" s="27" t="s">
        <v>310</v>
      </c>
      <c r="C89" s="27" t="s">
        <v>311</v>
      </c>
      <c r="D89" s="27" t="s">
        <v>312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18580</f>
        <v>18580.0</v>
      </c>
      <c r="L89" s="34" t="s">
        <v>48</v>
      </c>
      <c r="M89" s="33" t="n">
        <f>18800</f>
        <v>18800.0</v>
      </c>
      <c r="N89" s="34" t="s">
        <v>100</v>
      </c>
      <c r="O89" s="33" t="n">
        <f>17930</f>
        <v>17930.0</v>
      </c>
      <c r="P89" s="34" t="s">
        <v>50</v>
      </c>
      <c r="Q89" s="33" t="n">
        <f>18140</f>
        <v>18140.0</v>
      </c>
      <c r="R89" s="34" t="s">
        <v>51</v>
      </c>
      <c r="S89" s="35" t="n">
        <f>18477.89</f>
        <v>18477.89</v>
      </c>
      <c r="T89" s="32" t="n">
        <f>1085</f>
        <v>1085.0</v>
      </c>
      <c r="U89" s="32" t="str">
        <f>"－"</f>
        <v>－</v>
      </c>
      <c r="V89" s="32" t="n">
        <f>19963150</f>
        <v>1.996315E7</v>
      </c>
      <c r="W89" s="32" t="str">
        <f>"－"</f>
        <v>－</v>
      </c>
      <c r="X89" s="36" t="n">
        <f>19</f>
        <v>19.0</v>
      </c>
    </row>
    <row r="90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11580</f>
        <v>11580.0</v>
      </c>
      <c r="L90" s="34" t="s">
        <v>48</v>
      </c>
      <c r="M90" s="33" t="n">
        <f>11870</f>
        <v>11870.0</v>
      </c>
      <c r="N90" s="34" t="s">
        <v>86</v>
      </c>
      <c r="O90" s="33" t="n">
        <f>11300</f>
        <v>11300.0</v>
      </c>
      <c r="P90" s="34" t="s">
        <v>65</v>
      </c>
      <c r="Q90" s="33" t="n">
        <f>11410</f>
        <v>11410.0</v>
      </c>
      <c r="R90" s="34" t="s">
        <v>51</v>
      </c>
      <c r="S90" s="35" t="n">
        <f>11608.42</f>
        <v>11608.42</v>
      </c>
      <c r="T90" s="32" t="n">
        <f>6750</f>
        <v>6750.0</v>
      </c>
      <c r="U90" s="32" t="str">
        <f>"－"</f>
        <v>－</v>
      </c>
      <c r="V90" s="32" t="n">
        <f>78324300</f>
        <v>7.83243E7</v>
      </c>
      <c r="W90" s="32" t="str">
        <f>"－"</f>
        <v>－</v>
      </c>
      <c r="X90" s="36" t="n">
        <f>19</f>
        <v>19.0</v>
      </c>
    </row>
    <row r="91">
      <c r="A91" s="27" t="s">
        <v>42</v>
      </c>
      <c r="B91" s="27" t="s">
        <v>316</v>
      </c>
      <c r="C91" s="27" t="s">
        <v>317</v>
      </c>
      <c r="D91" s="27" t="s">
        <v>318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2540</f>
        <v>2540.0</v>
      </c>
      <c r="L91" s="34" t="s">
        <v>48</v>
      </c>
      <c r="M91" s="33" t="n">
        <f>2561</f>
        <v>2561.0</v>
      </c>
      <c r="N91" s="34" t="s">
        <v>51</v>
      </c>
      <c r="O91" s="33" t="n">
        <f>2510</f>
        <v>2510.0</v>
      </c>
      <c r="P91" s="34" t="s">
        <v>119</v>
      </c>
      <c r="Q91" s="33" t="n">
        <f>2546</f>
        <v>2546.0</v>
      </c>
      <c r="R91" s="34" t="s">
        <v>51</v>
      </c>
      <c r="S91" s="35" t="n">
        <f>2533.21</f>
        <v>2533.21</v>
      </c>
      <c r="T91" s="32" t="n">
        <f>501995</f>
        <v>501995.0</v>
      </c>
      <c r="U91" s="32" t="n">
        <f>253290</f>
        <v>253290.0</v>
      </c>
      <c r="V91" s="32" t="n">
        <f>1273128797</f>
        <v>1.273128797E9</v>
      </c>
      <c r="W91" s="32" t="n">
        <f>644346137</f>
        <v>6.44346137E8</v>
      </c>
      <c r="X91" s="36" t="n">
        <f>19</f>
        <v>19.0</v>
      </c>
    </row>
    <row r="92">
      <c r="A92" s="27" t="s">
        <v>42</v>
      </c>
      <c r="B92" s="27" t="s">
        <v>319</v>
      </c>
      <c r="C92" s="27" t="s">
        <v>320</v>
      </c>
      <c r="D92" s="27" t="s">
        <v>321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2419</f>
        <v>2419.0</v>
      </c>
      <c r="L92" s="34" t="s">
        <v>48</v>
      </c>
      <c r="M92" s="33" t="n">
        <f>2431</f>
        <v>2431.0</v>
      </c>
      <c r="N92" s="34" t="s">
        <v>100</v>
      </c>
      <c r="O92" s="33" t="n">
        <f>2370</f>
        <v>2370.0</v>
      </c>
      <c r="P92" s="34" t="s">
        <v>95</v>
      </c>
      <c r="Q92" s="33" t="n">
        <f>2387</f>
        <v>2387.0</v>
      </c>
      <c r="R92" s="34" t="s">
        <v>51</v>
      </c>
      <c r="S92" s="35" t="n">
        <f>2401</f>
        <v>2401.0</v>
      </c>
      <c r="T92" s="32" t="n">
        <f>329818</f>
        <v>329818.0</v>
      </c>
      <c r="U92" s="32" t="n">
        <f>262460</f>
        <v>262460.0</v>
      </c>
      <c r="V92" s="32" t="n">
        <f>791158669</f>
        <v>7.91158669E8</v>
      </c>
      <c r="W92" s="32" t="n">
        <f>629140406</f>
        <v>6.29140406E8</v>
      </c>
      <c r="X92" s="36" t="n">
        <f>19</f>
        <v>19.0</v>
      </c>
    </row>
    <row r="93">
      <c r="A93" s="27" t="s">
        <v>42</v>
      </c>
      <c r="B93" s="27" t="s">
        <v>322</v>
      </c>
      <c r="C93" s="27" t="s">
        <v>323</v>
      </c>
      <c r="D93" s="27" t="s">
        <v>324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13010</f>
        <v>13010.0</v>
      </c>
      <c r="L93" s="34" t="s">
        <v>48</v>
      </c>
      <c r="M93" s="33" t="n">
        <f>13300</f>
        <v>13300.0</v>
      </c>
      <c r="N93" s="34" t="s">
        <v>49</v>
      </c>
      <c r="O93" s="33" t="n">
        <f>12750</f>
        <v>12750.0</v>
      </c>
      <c r="P93" s="34" t="s">
        <v>50</v>
      </c>
      <c r="Q93" s="33" t="n">
        <f>12930</f>
        <v>12930.0</v>
      </c>
      <c r="R93" s="34" t="s">
        <v>51</v>
      </c>
      <c r="S93" s="35" t="n">
        <f>13091.05</f>
        <v>13091.05</v>
      </c>
      <c r="T93" s="32" t="n">
        <f>37638</f>
        <v>37638.0</v>
      </c>
      <c r="U93" s="32" t="n">
        <f>34200</f>
        <v>34200.0</v>
      </c>
      <c r="V93" s="32" t="n">
        <f>493379840</f>
        <v>4.9337984E8</v>
      </c>
      <c r="W93" s="32" t="n">
        <f>448457480</f>
        <v>4.4845748E8</v>
      </c>
      <c r="X93" s="36" t="n">
        <f>19</f>
        <v>19.0</v>
      </c>
    </row>
    <row r="94">
      <c r="A94" s="27" t="s">
        <v>42</v>
      </c>
      <c r="B94" s="27" t="s">
        <v>325</v>
      </c>
      <c r="C94" s="27" t="s">
        <v>326</v>
      </c>
      <c r="D94" s="27" t="s">
        <v>327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9430</f>
        <v>9430.0</v>
      </c>
      <c r="L94" s="34" t="s">
        <v>48</v>
      </c>
      <c r="M94" s="33" t="n">
        <f>9910</f>
        <v>9910.0</v>
      </c>
      <c r="N94" s="34" t="s">
        <v>48</v>
      </c>
      <c r="O94" s="33" t="n">
        <f>8980</f>
        <v>8980.0</v>
      </c>
      <c r="P94" s="34" t="s">
        <v>90</v>
      </c>
      <c r="Q94" s="33" t="n">
        <f>9030</f>
        <v>9030.0</v>
      </c>
      <c r="R94" s="34" t="s">
        <v>51</v>
      </c>
      <c r="S94" s="35" t="n">
        <f>9201.58</f>
        <v>9201.58</v>
      </c>
      <c r="T94" s="32" t="n">
        <f>8878</f>
        <v>8878.0</v>
      </c>
      <c r="U94" s="32" t="n">
        <f>3171</f>
        <v>3171.0</v>
      </c>
      <c r="V94" s="32" t="n">
        <f>81214400</f>
        <v>8.12144E7</v>
      </c>
      <c r="W94" s="32" t="n">
        <f>28774940</f>
        <v>2.877494E7</v>
      </c>
      <c r="X94" s="36" t="n">
        <f>19</f>
        <v>19.0</v>
      </c>
    </row>
    <row r="95">
      <c r="A95" s="27" t="s">
        <v>42</v>
      </c>
      <c r="B95" s="27" t="s">
        <v>328</v>
      </c>
      <c r="C95" s="27" t="s">
        <v>329</v>
      </c>
      <c r="D95" s="27" t="s">
        <v>330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5220</f>
        <v>5220.0</v>
      </c>
      <c r="L95" s="34" t="s">
        <v>48</v>
      </c>
      <c r="M95" s="33" t="n">
        <f>5350</f>
        <v>5350.0</v>
      </c>
      <c r="N95" s="34" t="s">
        <v>65</v>
      </c>
      <c r="O95" s="33" t="n">
        <f>5190</f>
        <v>5190.0</v>
      </c>
      <c r="P95" s="34" t="s">
        <v>100</v>
      </c>
      <c r="Q95" s="33" t="n">
        <f>5300</f>
        <v>5300.0</v>
      </c>
      <c r="R95" s="34" t="s">
        <v>51</v>
      </c>
      <c r="S95" s="35" t="n">
        <f>5267.37</f>
        <v>5267.37</v>
      </c>
      <c r="T95" s="32" t="n">
        <f>1915490</f>
        <v>1915490.0</v>
      </c>
      <c r="U95" s="32" t="n">
        <f>467902</f>
        <v>467902.0</v>
      </c>
      <c r="V95" s="32" t="n">
        <f>10077821025</f>
        <v>1.0077821025E10</v>
      </c>
      <c r="W95" s="32" t="n">
        <f>2464450455</f>
        <v>2.464450455E9</v>
      </c>
      <c r="X95" s="36" t="n">
        <f>19</f>
        <v>19.0</v>
      </c>
    </row>
    <row r="96">
      <c r="A96" s="27" t="s">
        <v>42</v>
      </c>
      <c r="B96" s="27" t="s">
        <v>331</v>
      </c>
      <c r="C96" s="27" t="s">
        <v>332</v>
      </c>
      <c r="D96" s="27" t="s">
        <v>333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3190</f>
        <v>3190.0</v>
      </c>
      <c r="L96" s="34" t="s">
        <v>48</v>
      </c>
      <c r="M96" s="33" t="n">
        <f>3400</f>
        <v>3400.0</v>
      </c>
      <c r="N96" s="34" t="s">
        <v>49</v>
      </c>
      <c r="O96" s="33" t="n">
        <f>3115</f>
        <v>3115.0</v>
      </c>
      <c r="P96" s="34" t="s">
        <v>119</v>
      </c>
      <c r="Q96" s="33" t="n">
        <f>3210</f>
        <v>3210.0</v>
      </c>
      <c r="R96" s="34" t="s">
        <v>51</v>
      </c>
      <c r="S96" s="35" t="n">
        <f>3250</f>
        <v>3250.0</v>
      </c>
      <c r="T96" s="32" t="n">
        <f>661064</f>
        <v>661064.0</v>
      </c>
      <c r="U96" s="32" t="n">
        <f>1338</f>
        <v>1338.0</v>
      </c>
      <c r="V96" s="32" t="n">
        <f>2159189600</f>
        <v>2.1591896E9</v>
      </c>
      <c r="W96" s="32" t="n">
        <f>4422525</f>
        <v>4422525.0</v>
      </c>
      <c r="X96" s="36" t="n">
        <f>19</f>
        <v>19.0</v>
      </c>
    </row>
    <row r="97">
      <c r="A97" s="27" t="s">
        <v>42</v>
      </c>
      <c r="B97" s="27" t="s">
        <v>334</v>
      </c>
      <c r="C97" s="27" t="s">
        <v>335</v>
      </c>
      <c r="D97" s="27" t="s">
        <v>336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5810</f>
        <v>5810.0</v>
      </c>
      <c r="L97" s="34" t="s">
        <v>48</v>
      </c>
      <c r="M97" s="33" t="n">
        <f>5940</f>
        <v>5940.0</v>
      </c>
      <c r="N97" s="34" t="s">
        <v>65</v>
      </c>
      <c r="O97" s="33" t="n">
        <f>5640</f>
        <v>5640.0</v>
      </c>
      <c r="P97" s="34" t="s">
        <v>245</v>
      </c>
      <c r="Q97" s="33" t="n">
        <f>5740</f>
        <v>5740.0</v>
      </c>
      <c r="R97" s="34" t="s">
        <v>51</v>
      </c>
      <c r="S97" s="35" t="n">
        <f>5801.05</f>
        <v>5801.05</v>
      </c>
      <c r="T97" s="32" t="n">
        <f>101243</f>
        <v>101243.0</v>
      </c>
      <c r="U97" s="32" t="n">
        <f>61</f>
        <v>61.0</v>
      </c>
      <c r="V97" s="32" t="n">
        <f>590310457</f>
        <v>5.90310457E8</v>
      </c>
      <c r="W97" s="32" t="n">
        <f>349267</f>
        <v>349267.0</v>
      </c>
      <c r="X97" s="36" t="n">
        <f>19</f>
        <v>19.0</v>
      </c>
    </row>
    <row r="98">
      <c r="A98" s="27" t="s">
        <v>42</v>
      </c>
      <c r="B98" s="27" t="s">
        <v>337</v>
      </c>
      <c r="C98" s="27" t="s">
        <v>338</v>
      </c>
      <c r="D98" s="27" t="s">
        <v>339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64300</f>
        <v>64300.0</v>
      </c>
      <c r="L98" s="34" t="s">
        <v>48</v>
      </c>
      <c r="M98" s="33" t="n">
        <f>89900</f>
        <v>89900.0</v>
      </c>
      <c r="N98" s="34" t="s">
        <v>150</v>
      </c>
      <c r="O98" s="33" t="n">
        <f>64200</f>
        <v>64200.0</v>
      </c>
      <c r="P98" s="34" t="s">
        <v>48</v>
      </c>
      <c r="Q98" s="33" t="n">
        <f>77000</f>
        <v>77000.0</v>
      </c>
      <c r="R98" s="34" t="s">
        <v>51</v>
      </c>
      <c r="S98" s="35" t="n">
        <f>76600</f>
        <v>76600.0</v>
      </c>
      <c r="T98" s="32" t="n">
        <f>8920</f>
        <v>8920.0</v>
      </c>
      <c r="U98" s="32" t="str">
        <f>"－"</f>
        <v>－</v>
      </c>
      <c r="V98" s="32" t="n">
        <f>705811100</f>
        <v>7.058111E8</v>
      </c>
      <c r="W98" s="32" t="str">
        <f>"－"</f>
        <v>－</v>
      </c>
      <c r="X98" s="36" t="n">
        <f>19</f>
        <v>19.0</v>
      </c>
    </row>
    <row r="99">
      <c r="A99" s="27" t="s">
        <v>42</v>
      </c>
      <c r="B99" s="27" t="s">
        <v>340</v>
      </c>
      <c r="C99" s="27" t="s">
        <v>341</v>
      </c>
      <c r="D99" s="27" t="s">
        <v>342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9580</f>
        <v>9580.0</v>
      </c>
      <c r="L99" s="34" t="s">
        <v>48</v>
      </c>
      <c r="M99" s="33" t="n">
        <f>10290</f>
        <v>10290.0</v>
      </c>
      <c r="N99" s="34" t="s">
        <v>309</v>
      </c>
      <c r="O99" s="33" t="n">
        <f>9440</f>
        <v>9440.0</v>
      </c>
      <c r="P99" s="34" t="s">
        <v>65</v>
      </c>
      <c r="Q99" s="33" t="n">
        <f>10170</f>
        <v>10170.0</v>
      </c>
      <c r="R99" s="34" t="s">
        <v>51</v>
      </c>
      <c r="S99" s="35" t="n">
        <f>10029.47</f>
        <v>10029.47</v>
      </c>
      <c r="T99" s="32" t="n">
        <f>467560</f>
        <v>467560.0</v>
      </c>
      <c r="U99" s="32" t="n">
        <f>42490</f>
        <v>42490.0</v>
      </c>
      <c r="V99" s="32" t="n">
        <f>4671891136</f>
        <v>4.671891136E9</v>
      </c>
      <c r="W99" s="32" t="n">
        <f>427438236</f>
        <v>4.27438236E8</v>
      </c>
      <c r="X99" s="36" t="n">
        <f>19</f>
        <v>19.0</v>
      </c>
    </row>
    <row r="100">
      <c r="A100" s="27" t="s">
        <v>42</v>
      </c>
      <c r="B100" s="27" t="s">
        <v>343</v>
      </c>
      <c r="C100" s="27" t="s">
        <v>344</v>
      </c>
      <c r="D100" s="27" t="s">
        <v>345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29950</f>
        <v>29950.0</v>
      </c>
      <c r="L100" s="34" t="s">
        <v>48</v>
      </c>
      <c r="M100" s="33" t="n">
        <f>31500</f>
        <v>31500.0</v>
      </c>
      <c r="N100" s="34" t="s">
        <v>79</v>
      </c>
      <c r="O100" s="33" t="n">
        <f>29460</f>
        <v>29460.0</v>
      </c>
      <c r="P100" s="34" t="s">
        <v>65</v>
      </c>
      <c r="Q100" s="33" t="n">
        <f>30700</f>
        <v>30700.0</v>
      </c>
      <c r="R100" s="34" t="s">
        <v>51</v>
      </c>
      <c r="S100" s="35" t="n">
        <f>30796.84</f>
        <v>30796.84</v>
      </c>
      <c r="T100" s="32" t="n">
        <f>87849</f>
        <v>87849.0</v>
      </c>
      <c r="U100" s="32" t="n">
        <f>240</f>
        <v>240.0</v>
      </c>
      <c r="V100" s="32" t="n">
        <f>2685453791</f>
        <v>2.685453791E9</v>
      </c>
      <c r="W100" s="32" t="n">
        <f>7377691</f>
        <v>7377691.0</v>
      </c>
      <c r="X100" s="36" t="n">
        <f>19</f>
        <v>19.0</v>
      </c>
    </row>
    <row r="101">
      <c r="A101" s="27" t="s">
        <v>42</v>
      </c>
      <c r="B101" s="27" t="s">
        <v>346</v>
      </c>
      <c r="C101" s="27" t="s">
        <v>347</v>
      </c>
      <c r="D101" s="27" t="s">
        <v>348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3790</f>
        <v>3790.0</v>
      </c>
      <c r="L101" s="34" t="s">
        <v>48</v>
      </c>
      <c r="M101" s="33" t="n">
        <f>3970</f>
        <v>3970.0</v>
      </c>
      <c r="N101" s="34" t="s">
        <v>72</v>
      </c>
      <c r="O101" s="33" t="n">
        <f>3735</f>
        <v>3735.0</v>
      </c>
      <c r="P101" s="34" t="s">
        <v>65</v>
      </c>
      <c r="Q101" s="33" t="n">
        <f>3870</f>
        <v>3870.0</v>
      </c>
      <c r="R101" s="34" t="s">
        <v>51</v>
      </c>
      <c r="S101" s="35" t="n">
        <f>3894.21</f>
        <v>3894.21</v>
      </c>
      <c r="T101" s="32" t="n">
        <f>1054430</f>
        <v>1054430.0</v>
      </c>
      <c r="U101" s="32" t="n">
        <f>399740</f>
        <v>399740.0</v>
      </c>
      <c r="V101" s="32" t="n">
        <f>4078816844</f>
        <v>4.078816844E9</v>
      </c>
      <c r="W101" s="32" t="n">
        <f>1533316544</f>
        <v>1.533316544E9</v>
      </c>
      <c r="X101" s="36" t="n">
        <f>19</f>
        <v>19.0</v>
      </c>
    </row>
    <row r="102">
      <c r="A102" s="27" t="s">
        <v>42</v>
      </c>
      <c r="B102" s="27" t="s">
        <v>349</v>
      </c>
      <c r="C102" s="27" t="s">
        <v>350</v>
      </c>
      <c r="D102" s="27" t="s">
        <v>351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2569</f>
        <v>2569.0</v>
      </c>
      <c r="L102" s="34" t="s">
        <v>48</v>
      </c>
      <c r="M102" s="33" t="n">
        <f>2700</f>
        <v>2700.0</v>
      </c>
      <c r="N102" s="34" t="s">
        <v>49</v>
      </c>
      <c r="O102" s="33" t="n">
        <f>2528</f>
        <v>2528.0</v>
      </c>
      <c r="P102" s="34" t="s">
        <v>65</v>
      </c>
      <c r="Q102" s="33" t="n">
        <f>2646</f>
        <v>2646.0</v>
      </c>
      <c r="R102" s="34" t="s">
        <v>51</v>
      </c>
      <c r="S102" s="35" t="n">
        <f>2637.26</f>
        <v>2637.26</v>
      </c>
      <c r="T102" s="32" t="n">
        <f>99600</f>
        <v>99600.0</v>
      </c>
      <c r="U102" s="32" t="n">
        <f>8000</f>
        <v>8000.0</v>
      </c>
      <c r="V102" s="32" t="n">
        <f>261277380</f>
        <v>2.6127738E8</v>
      </c>
      <c r="W102" s="32" t="n">
        <f>21001600</f>
        <v>2.10016E7</v>
      </c>
      <c r="X102" s="36" t="n">
        <f>19</f>
        <v>19.0</v>
      </c>
    </row>
    <row r="103">
      <c r="A103" s="27" t="s">
        <v>42</v>
      </c>
      <c r="B103" s="27" t="s">
        <v>352</v>
      </c>
      <c r="C103" s="27" t="s">
        <v>353</v>
      </c>
      <c r="D103" s="27" t="s">
        <v>354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4545</f>
        <v>4545.0</v>
      </c>
      <c r="L103" s="34" t="s">
        <v>48</v>
      </c>
      <c r="M103" s="33" t="n">
        <f>4745</f>
        <v>4745.0</v>
      </c>
      <c r="N103" s="34" t="s">
        <v>86</v>
      </c>
      <c r="O103" s="33" t="n">
        <f>4245</f>
        <v>4245.0</v>
      </c>
      <c r="P103" s="34" t="s">
        <v>50</v>
      </c>
      <c r="Q103" s="33" t="n">
        <f>4315</f>
        <v>4315.0</v>
      </c>
      <c r="R103" s="34" t="s">
        <v>51</v>
      </c>
      <c r="S103" s="35" t="n">
        <f>4580.26</f>
        <v>4580.26</v>
      </c>
      <c r="T103" s="32" t="n">
        <f>45030</f>
        <v>45030.0</v>
      </c>
      <c r="U103" s="32" t="str">
        <f>"－"</f>
        <v>－</v>
      </c>
      <c r="V103" s="32" t="n">
        <f>204504550</f>
        <v>2.0450455E8</v>
      </c>
      <c r="W103" s="32" t="str">
        <f>"－"</f>
        <v>－</v>
      </c>
      <c r="X103" s="36" t="n">
        <f>19</f>
        <v>19.0</v>
      </c>
    </row>
    <row r="104">
      <c r="A104" s="27" t="s">
        <v>42</v>
      </c>
      <c r="B104" s="27" t="s">
        <v>355</v>
      </c>
      <c r="C104" s="27" t="s">
        <v>356</v>
      </c>
      <c r="D104" s="27" t="s">
        <v>357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5370</f>
        <v>5370.0</v>
      </c>
      <c r="L104" s="34" t="s">
        <v>48</v>
      </c>
      <c r="M104" s="33" t="n">
        <f>5780</f>
        <v>5780.0</v>
      </c>
      <c r="N104" s="34" t="s">
        <v>65</v>
      </c>
      <c r="O104" s="33" t="n">
        <f>4610</f>
        <v>4610.0</v>
      </c>
      <c r="P104" s="34" t="s">
        <v>309</v>
      </c>
      <c r="Q104" s="33" t="n">
        <f>5040</f>
        <v>5040.0</v>
      </c>
      <c r="R104" s="34" t="s">
        <v>51</v>
      </c>
      <c r="S104" s="35" t="n">
        <f>4962.63</f>
        <v>4962.63</v>
      </c>
      <c r="T104" s="32" t="n">
        <f>6427353</f>
        <v>6427353.0</v>
      </c>
      <c r="U104" s="32" t="n">
        <f>17783</f>
        <v>17783.0</v>
      </c>
      <c r="V104" s="32" t="n">
        <f>32622848111</f>
        <v>3.2622848111E10</v>
      </c>
      <c r="W104" s="32" t="n">
        <f>91934356</f>
        <v>9.1934356E7</v>
      </c>
      <c r="X104" s="36" t="n">
        <f>19</f>
        <v>19.0</v>
      </c>
    </row>
    <row r="105">
      <c r="A105" s="27" t="s">
        <v>42</v>
      </c>
      <c r="B105" s="27" t="s">
        <v>358</v>
      </c>
      <c r="C105" s="27" t="s">
        <v>359</v>
      </c>
      <c r="D105" s="27" t="s">
        <v>360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2256</f>
        <v>2256.0</v>
      </c>
      <c r="L105" s="34" t="s">
        <v>48</v>
      </c>
      <c r="M105" s="33" t="n">
        <f>2374</f>
        <v>2374.0</v>
      </c>
      <c r="N105" s="34" t="s">
        <v>72</v>
      </c>
      <c r="O105" s="33" t="n">
        <f>2235</f>
        <v>2235.0</v>
      </c>
      <c r="P105" s="34" t="s">
        <v>65</v>
      </c>
      <c r="Q105" s="33" t="n">
        <f>2315</f>
        <v>2315.0</v>
      </c>
      <c r="R105" s="34" t="s">
        <v>51</v>
      </c>
      <c r="S105" s="35" t="n">
        <f>2322.16</f>
        <v>2322.16</v>
      </c>
      <c r="T105" s="32" t="n">
        <f>69700</f>
        <v>69700.0</v>
      </c>
      <c r="U105" s="32" t="str">
        <f>"－"</f>
        <v>－</v>
      </c>
      <c r="V105" s="32" t="n">
        <f>160994530</f>
        <v>1.6099453E8</v>
      </c>
      <c r="W105" s="32" t="str">
        <f>"－"</f>
        <v>－</v>
      </c>
      <c r="X105" s="36" t="n">
        <f>19</f>
        <v>19.0</v>
      </c>
    </row>
    <row r="106">
      <c r="A106" s="27" t="s">
        <v>42</v>
      </c>
      <c r="B106" s="27" t="s">
        <v>361</v>
      </c>
      <c r="C106" s="27" t="s">
        <v>362</v>
      </c>
      <c r="D106" s="27" t="s">
        <v>363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1650</f>
        <v>1650.0</v>
      </c>
      <c r="L106" s="34" t="s">
        <v>48</v>
      </c>
      <c r="M106" s="33" t="n">
        <f>1708</f>
        <v>1708.0</v>
      </c>
      <c r="N106" s="34" t="s">
        <v>79</v>
      </c>
      <c r="O106" s="33" t="n">
        <f>1620</f>
        <v>1620.0</v>
      </c>
      <c r="P106" s="34" t="s">
        <v>65</v>
      </c>
      <c r="Q106" s="33" t="n">
        <f>1662</f>
        <v>1662.0</v>
      </c>
      <c r="R106" s="34" t="s">
        <v>51</v>
      </c>
      <c r="S106" s="35" t="n">
        <f>1672.63</f>
        <v>1672.63</v>
      </c>
      <c r="T106" s="32" t="n">
        <f>196470</f>
        <v>196470.0</v>
      </c>
      <c r="U106" s="32" t="n">
        <f>116000</f>
        <v>116000.0</v>
      </c>
      <c r="V106" s="32" t="n">
        <f>328049030</f>
        <v>3.2804903E8</v>
      </c>
      <c r="W106" s="32" t="n">
        <f>193871600</f>
        <v>1.938716E8</v>
      </c>
      <c r="X106" s="36" t="n">
        <f>19</f>
        <v>19.0</v>
      </c>
    </row>
    <row r="107">
      <c r="A107" s="27" t="s">
        <v>42</v>
      </c>
      <c r="B107" s="27" t="s">
        <v>364</v>
      </c>
      <c r="C107" s="27" t="s">
        <v>365</v>
      </c>
      <c r="D107" s="27" t="s">
        <v>366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34800</f>
        <v>34800.0</v>
      </c>
      <c r="L107" s="34" t="s">
        <v>48</v>
      </c>
      <c r="M107" s="33" t="n">
        <f>36650</f>
        <v>36650.0</v>
      </c>
      <c r="N107" s="34" t="s">
        <v>309</v>
      </c>
      <c r="O107" s="33" t="n">
        <f>34200</f>
        <v>34200.0</v>
      </c>
      <c r="P107" s="34" t="s">
        <v>65</v>
      </c>
      <c r="Q107" s="33" t="n">
        <f>35800</f>
        <v>35800.0</v>
      </c>
      <c r="R107" s="34" t="s">
        <v>51</v>
      </c>
      <c r="S107" s="35" t="n">
        <f>35857.89</f>
        <v>35857.89</v>
      </c>
      <c r="T107" s="32" t="n">
        <f>123226</f>
        <v>123226.0</v>
      </c>
      <c r="U107" s="32" t="str">
        <f>"－"</f>
        <v>－</v>
      </c>
      <c r="V107" s="32" t="n">
        <f>4394462400</f>
        <v>4.3944624E9</v>
      </c>
      <c r="W107" s="32" t="str">
        <f>"－"</f>
        <v>－</v>
      </c>
      <c r="X107" s="36" t="n">
        <f>19</f>
        <v>19.0</v>
      </c>
    </row>
    <row r="108">
      <c r="A108" s="27" t="s">
        <v>42</v>
      </c>
      <c r="B108" s="27" t="s">
        <v>367</v>
      </c>
      <c r="C108" s="27" t="s">
        <v>368</v>
      </c>
      <c r="D108" s="27" t="s">
        <v>369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3385</f>
        <v>3385.0</v>
      </c>
      <c r="L108" s="34" t="s">
        <v>48</v>
      </c>
      <c r="M108" s="33" t="n">
        <f>3385</f>
        <v>3385.0</v>
      </c>
      <c r="N108" s="34" t="s">
        <v>48</v>
      </c>
      <c r="O108" s="33" t="n">
        <f>3200</f>
        <v>3200.0</v>
      </c>
      <c r="P108" s="34" t="s">
        <v>51</v>
      </c>
      <c r="Q108" s="33" t="n">
        <f>3205</f>
        <v>3205.0</v>
      </c>
      <c r="R108" s="34" t="s">
        <v>51</v>
      </c>
      <c r="S108" s="35" t="n">
        <f>3330.53</f>
        <v>3330.53</v>
      </c>
      <c r="T108" s="32" t="n">
        <f>10569</f>
        <v>10569.0</v>
      </c>
      <c r="U108" s="32" t="str">
        <f>"－"</f>
        <v>－</v>
      </c>
      <c r="V108" s="32" t="n">
        <f>35472980</f>
        <v>3.547298E7</v>
      </c>
      <c r="W108" s="32" t="str">
        <f>"－"</f>
        <v>－</v>
      </c>
      <c r="X108" s="36" t="n">
        <f>19</f>
        <v>19.0</v>
      </c>
    </row>
    <row r="109">
      <c r="A109" s="27" t="s">
        <v>42</v>
      </c>
      <c r="B109" s="27" t="s">
        <v>370</v>
      </c>
      <c r="C109" s="27" t="s">
        <v>371</v>
      </c>
      <c r="D109" s="27" t="s">
        <v>372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4000</f>
        <v>4000.0</v>
      </c>
      <c r="L109" s="34" t="s">
        <v>48</v>
      </c>
      <c r="M109" s="33" t="n">
        <f>4030</f>
        <v>4030.0</v>
      </c>
      <c r="N109" s="34" t="s">
        <v>49</v>
      </c>
      <c r="O109" s="33" t="n">
        <f>3920</f>
        <v>3920.0</v>
      </c>
      <c r="P109" s="34" t="s">
        <v>51</v>
      </c>
      <c r="Q109" s="33" t="n">
        <f>3975</f>
        <v>3975.0</v>
      </c>
      <c r="R109" s="34" t="s">
        <v>51</v>
      </c>
      <c r="S109" s="35" t="n">
        <f>3987.89</f>
        <v>3987.89</v>
      </c>
      <c r="T109" s="32" t="n">
        <f>3663</f>
        <v>3663.0</v>
      </c>
      <c r="U109" s="32" t="str">
        <f>"－"</f>
        <v>－</v>
      </c>
      <c r="V109" s="32" t="n">
        <f>14577850</f>
        <v>1.457785E7</v>
      </c>
      <c r="W109" s="32" t="str">
        <f>"－"</f>
        <v>－</v>
      </c>
      <c r="X109" s="36" t="n">
        <f>19</f>
        <v>19.0</v>
      </c>
    </row>
    <row r="110">
      <c r="A110" s="27" t="s">
        <v>42</v>
      </c>
      <c r="B110" s="27" t="s">
        <v>373</v>
      </c>
      <c r="C110" s="27" t="s">
        <v>374</v>
      </c>
      <c r="D110" s="27" t="s">
        <v>375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2799</f>
        <v>2799.0</v>
      </c>
      <c r="L110" s="34" t="s">
        <v>48</v>
      </c>
      <c r="M110" s="33" t="n">
        <f>2799</f>
        <v>2799.0</v>
      </c>
      <c r="N110" s="34" t="s">
        <v>48</v>
      </c>
      <c r="O110" s="33" t="n">
        <f>2512</f>
        <v>2512.0</v>
      </c>
      <c r="P110" s="34" t="s">
        <v>50</v>
      </c>
      <c r="Q110" s="33" t="n">
        <f>2578</f>
        <v>2578.0</v>
      </c>
      <c r="R110" s="34" t="s">
        <v>51</v>
      </c>
      <c r="S110" s="35" t="n">
        <f>2700.05</f>
        <v>2700.05</v>
      </c>
      <c r="T110" s="32" t="n">
        <f>74349</f>
        <v>74349.0</v>
      </c>
      <c r="U110" s="32" t="n">
        <f>34</f>
        <v>34.0</v>
      </c>
      <c r="V110" s="32" t="n">
        <f>198685815</f>
        <v>1.98685815E8</v>
      </c>
      <c r="W110" s="32" t="n">
        <f>92310</f>
        <v>92310.0</v>
      </c>
      <c r="X110" s="36" t="n">
        <f>19</f>
        <v>19.0</v>
      </c>
    </row>
    <row r="111">
      <c r="A111" s="27" t="s">
        <v>42</v>
      </c>
      <c r="B111" s="27" t="s">
        <v>376</v>
      </c>
      <c r="C111" s="27" t="s">
        <v>377</v>
      </c>
      <c r="D111" s="27" t="s">
        <v>378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48000</f>
        <v>48000.0</v>
      </c>
      <c r="L111" s="34" t="s">
        <v>48</v>
      </c>
      <c r="M111" s="33" t="n">
        <f>48500</f>
        <v>48500.0</v>
      </c>
      <c r="N111" s="34" t="s">
        <v>79</v>
      </c>
      <c r="O111" s="33" t="n">
        <f>47500</f>
        <v>47500.0</v>
      </c>
      <c r="P111" s="34" t="s">
        <v>91</v>
      </c>
      <c r="Q111" s="33" t="n">
        <f>47800</f>
        <v>47800.0</v>
      </c>
      <c r="R111" s="34" t="s">
        <v>51</v>
      </c>
      <c r="S111" s="35" t="n">
        <f>48126.32</f>
        <v>48126.32</v>
      </c>
      <c r="T111" s="32" t="n">
        <f>32733</f>
        <v>32733.0</v>
      </c>
      <c r="U111" s="32" t="n">
        <f>11125</f>
        <v>11125.0</v>
      </c>
      <c r="V111" s="32" t="n">
        <f>1574970202</f>
        <v>1.574970202E9</v>
      </c>
      <c r="W111" s="32" t="n">
        <f>535897102</f>
        <v>5.35897102E8</v>
      </c>
      <c r="X111" s="36" t="n">
        <f>19</f>
        <v>19.0</v>
      </c>
    </row>
    <row r="112">
      <c r="A112" s="27" t="s">
        <v>42</v>
      </c>
      <c r="B112" s="27" t="s">
        <v>379</v>
      </c>
      <c r="C112" s="27" t="s">
        <v>380</v>
      </c>
      <c r="D112" s="27" t="s">
        <v>381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1260</f>
        <v>1260.0</v>
      </c>
      <c r="L112" s="34" t="s">
        <v>65</v>
      </c>
      <c r="M112" s="33" t="n">
        <f>1404</f>
        <v>1404.0</v>
      </c>
      <c r="N112" s="34" t="s">
        <v>72</v>
      </c>
      <c r="O112" s="33" t="n">
        <f>1184</f>
        <v>1184.0</v>
      </c>
      <c r="P112" s="34" t="s">
        <v>99</v>
      </c>
      <c r="Q112" s="33" t="n">
        <f>1300</f>
        <v>1300.0</v>
      </c>
      <c r="R112" s="34" t="s">
        <v>50</v>
      </c>
      <c r="S112" s="35" t="n">
        <f>1284.56</f>
        <v>1284.56</v>
      </c>
      <c r="T112" s="32" t="n">
        <f>650</f>
        <v>650.0</v>
      </c>
      <c r="U112" s="32" t="str">
        <f>"－"</f>
        <v>－</v>
      </c>
      <c r="V112" s="32" t="n">
        <f>838420</f>
        <v>838420.0</v>
      </c>
      <c r="W112" s="32" t="str">
        <f>"－"</f>
        <v>－</v>
      </c>
      <c r="X112" s="36" t="n">
        <f>9</f>
        <v>9.0</v>
      </c>
    </row>
    <row r="113">
      <c r="A113" s="27" t="s">
        <v>42</v>
      </c>
      <c r="B113" s="27" t="s">
        <v>382</v>
      </c>
      <c r="C113" s="27" t="s">
        <v>383</v>
      </c>
      <c r="D113" s="27" t="s">
        <v>384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18510</f>
        <v>18510.0</v>
      </c>
      <c r="L113" s="34" t="s">
        <v>48</v>
      </c>
      <c r="M113" s="33" t="n">
        <f>19450</f>
        <v>19450.0</v>
      </c>
      <c r="N113" s="34" t="s">
        <v>49</v>
      </c>
      <c r="O113" s="33" t="n">
        <f>17700</f>
        <v>17700.0</v>
      </c>
      <c r="P113" s="34" t="s">
        <v>50</v>
      </c>
      <c r="Q113" s="33" t="n">
        <f>18070</f>
        <v>18070.0</v>
      </c>
      <c r="R113" s="34" t="s">
        <v>51</v>
      </c>
      <c r="S113" s="35" t="n">
        <f>18839.47</f>
        <v>18839.47</v>
      </c>
      <c r="T113" s="32" t="n">
        <f>2042430</f>
        <v>2042430.0</v>
      </c>
      <c r="U113" s="32" t="n">
        <f>2650</f>
        <v>2650.0</v>
      </c>
      <c r="V113" s="32" t="n">
        <f>38229286766</f>
        <v>3.8229286766E10</v>
      </c>
      <c r="W113" s="32" t="n">
        <f>49538066</f>
        <v>4.9538066E7</v>
      </c>
      <c r="X113" s="36" t="n">
        <f>19</f>
        <v>19.0</v>
      </c>
    </row>
    <row r="114">
      <c r="A114" s="27" t="s">
        <v>42</v>
      </c>
      <c r="B114" s="27" t="s">
        <v>385</v>
      </c>
      <c r="C114" s="27" t="s">
        <v>386</v>
      </c>
      <c r="D114" s="27" t="s">
        <v>387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2902</f>
        <v>2902.0</v>
      </c>
      <c r="L114" s="34" t="s">
        <v>48</v>
      </c>
      <c r="M114" s="33" t="n">
        <f>2947</f>
        <v>2947.0</v>
      </c>
      <c r="N114" s="34" t="s">
        <v>50</v>
      </c>
      <c r="O114" s="33" t="n">
        <f>2816</f>
        <v>2816.0</v>
      </c>
      <c r="P114" s="34" t="s">
        <v>49</v>
      </c>
      <c r="Q114" s="33" t="n">
        <f>2918</f>
        <v>2918.0</v>
      </c>
      <c r="R114" s="34" t="s">
        <v>51</v>
      </c>
      <c r="S114" s="35" t="n">
        <f>2861.53</f>
        <v>2861.53</v>
      </c>
      <c r="T114" s="32" t="n">
        <f>269940</f>
        <v>269940.0</v>
      </c>
      <c r="U114" s="32" t="n">
        <f>390</f>
        <v>390.0</v>
      </c>
      <c r="V114" s="32" t="n">
        <f>778278110</f>
        <v>7.7827811E8</v>
      </c>
      <c r="W114" s="32" t="n">
        <f>1130710</f>
        <v>1130710.0</v>
      </c>
      <c r="X114" s="36" t="n">
        <f>19</f>
        <v>19.0</v>
      </c>
    </row>
    <row r="115">
      <c r="A115" s="27" t="s">
        <v>42</v>
      </c>
      <c r="B115" s="27" t="s">
        <v>388</v>
      </c>
      <c r="C115" s="27" t="s">
        <v>389</v>
      </c>
      <c r="D115" s="27" t="s">
        <v>390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21660</f>
        <v>21660.0</v>
      </c>
      <c r="L115" s="34" t="s">
        <v>48</v>
      </c>
      <c r="M115" s="33" t="n">
        <f>23240</f>
        <v>23240.0</v>
      </c>
      <c r="N115" s="34" t="s">
        <v>79</v>
      </c>
      <c r="O115" s="33" t="n">
        <f>20890</f>
        <v>20890.0</v>
      </c>
      <c r="P115" s="34" t="s">
        <v>50</v>
      </c>
      <c r="Q115" s="33" t="n">
        <f>21460</f>
        <v>21460.0</v>
      </c>
      <c r="R115" s="34" t="s">
        <v>51</v>
      </c>
      <c r="S115" s="35" t="n">
        <f>22317.37</f>
        <v>22317.37</v>
      </c>
      <c r="T115" s="32" t="n">
        <f>102806055</f>
        <v>1.02806055E8</v>
      </c>
      <c r="U115" s="32" t="n">
        <f>857757</f>
        <v>857757.0</v>
      </c>
      <c r="V115" s="32" t="n">
        <f>2270770886308</f>
        <v>2.270770886308E12</v>
      </c>
      <c r="W115" s="32" t="n">
        <f>18943350388</f>
        <v>1.8943350388E10</v>
      </c>
      <c r="X115" s="36" t="n">
        <f>19</f>
        <v>19.0</v>
      </c>
    </row>
    <row r="116">
      <c r="A116" s="27" t="s">
        <v>42</v>
      </c>
      <c r="B116" s="27" t="s">
        <v>391</v>
      </c>
      <c r="C116" s="27" t="s">
        <v>392</v>
      </c>
      <c r="D116" s="27" t="s">
        <v>393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1431</f>
        <v>1431.0</v>
      </c>
      <c r="L116" s="34" t="s">
        <v>48</v>
      </c>
      <c r="M116" s="33" t="n">
        <f>1449</f>
        <v>1449.0</v>
      </c>
      <c r="N116" s="34" t="s">
        <v>65</v>
      </c>
      <c r="O116" s="33" t="n">
        <f>1378</f>
        <v>1378.0</v>
      </c>
      <c r="P116" s="34" t="s">
        <v>79</v>
      </c>
      <c r="Q116" s="33" t="n">
        <f>1432</f>
        <v>1432.0</v>
      </c>
      <c r="R116" s="34" t="s">
        <v>51</v>
      </c>
      <c r="S116" s="35" t="n">
        <f>1406.05</f>
        <v>1406.05</v>
      </c>
      <c r="T116" s="32" t="n">
        <f>15621716</f>
        <v>1.5621716E7</v>
      </c>
      <c r="U116" s="32" t="n">
        <f>1125861</f>
        <v>1125861.0</v>
      </c>
      <c r="V116" s="32" t="n">
        <f>22161418656</f>
        <v>2.2161418656E10</v>
      </c>
      <c r="W116" s="32" t="n">
        <f>1582846567</f>
        <v>1.582846567E9</v>
      </c>
      <c r="X116" s="36" t="n">
        <f>19</f>
        <v>19.0</v>
      </c>
    </row>
    <row r="117">
      <c r="A117" s="27" t="s">
        <v>42</v>
      </c>
      <c r="B117" s="27" t="s">
        <v>394</v>
      </c>
      <c r="C117" s="27" t="s">
        <v>395</v>
      </c>
      <c r="D117" s="27" t="s">
        <v>396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12510</f>
        <v>12510.0</v>
      </c>
      <c r="L117" s="34" t="s">
        <v>48</v>
      </c>
      <c r="M117" s="33" t="n">
        <f>13400</f>
        <v>13400.0</v>
      </c>
      <c r="N117" s="34" t="s">
        <v>49</v>
      </c>
      <c r="O117" s="33" t="n">
        <f>10700</f>
        <v>10700.0</v>
      </c>
      <c r="P117" s="34" t="s">
        <v>51</v>
      </c>
      <c r="Q117" s="33" t="n">
        <f>11000</f>
        <v>11000.0</v>
      </c>
      <c r="R117" s="34" t="s">
        <v>51</v>
      </c>
      <c r="S117" s="35" t="n">
        <f>12300</f>
        <v>12300.0</v>
      </c>
      <c r="T117" s="32" t="n">
        <f>13300</f>
        <v>13300.0</v>
      </c>
      <c r="U117" s="32" t="n">
        <f>10</f>
        <v>10.0</v>
      </c>
      <c r="V117" s="32" t="n">
        <f>159498100</f>
        <v>1.594981E8</v>
      </c>
      <c r="W117" s="32" t="n">
        <f>111900</f>
        <v>111900.0</v>
      </c>
      <c r="X117" s="36" t="n">
        <f>19</f>
        <v>19.0</v>
      </c>
    </row>
    <row r="118">
      <c r="A118" s="27" t="s">
        <v>42</v>
      </c>
      <c r="B118" s="27" t="s">
        <v>397</v>
      </c>
      <c r="C118" s="27" t="s">
        <v>398</v>
      </c>
      <c r="D118" s="27" t="s">
        <v>399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7300</f>
        <v>7300.0</v>
      </c>
      <c r="L118" s="34" t="s">
        <v>48</v>
      </c>
      <c r="M118" s="33" t="n">
        <f>9780</f>
        <v>9780.0</v>
      </c>
      <c r="N118" s="34" t="s">
        <v>51</v>
      </c>
      <c r="O118" s="33" t="n">
        <f>7170</f>
        <v>7170.0</v>
      </c>
      <c r="P118" s="34" t="s">
        <v>90</v>
      </c>
      <c r="Q118" s="33" t="n">
        <f>8910</f>
        <v>8910.0</v>
      </c>
      <c r="R118" s="34" t="s">
        <v>51</v>
      </c>
      <c r="S118" s="35" t="n">
        <f>7654.21</f>
        <v>7654.21</v>
      </c>
      <c r="T118" s="32" t="n">
        <f>55950</f>
        <v>55950.0</v>
      </c>
      <c r="U118" s="32" t="str">
        <f>"－"</f>
        <v>－</v>
      </c>
      <c r="V118" s="32" t="n">
        <f>471567900</f>
        <v>4.715679E8</v>
      </c>
      <c r="W118" s="32" t="str">
        <f>"－"</f>
        <v>－</v>
      </c>
      <c r="X118" s="36" t="n">
        <f>19</f>
        <v>19.0</v>
      </c>
    </row>
    <row r="119">
      <c r="A119" s="27" t="s">
        <v>42</v>
      </c>
      <c r="B119" s="27" t="s">
        <v>400</v>
      </c>
      <c r="C119" s="27" t="s">
        <v>401</v>
      </c>
      <c r="D119" s="27" t="s">
        <v>402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1626</f>
        <v>1626.0</v>
      </c>
      <c r="L119" s="34" t="s">
        <v>50</v>
      </c>
      <c r="M119" s="33" t="n">
        <f>1626</f>
        <v>1626.0</v>
      </c>
      <c r="N119" s="34" t="s">
        <v>50</v>
      </c>
      <c r="O119" s="33" t="n">
        <f>1626</f>
        <v>1626.0</v>
      </c>
      <c r="P119" s="34" t="s">
        <v>50</v>
      </c>
      <c r="Q119" s="33" t="n">
        <f>1626</f>
        <v>1626.0</v>
      </c>
      <c r="R119" s="34" t="s">
        <v>50</v>
      </c>
      <c r="S119" s="35" t="n">
        <f>1626</f>
        <v>1626.0</v>
      </c>
      <c r="T119" s="32" t="n">
        <f>10</f>
        <v>10.0</v>
      </c>
      <c r="U119" s="32" t="str">
        <f>"－"</f>
        <v>－</v>
      </c>
      <c r="V119" s="32" t="n">
        <f>16260</f>
        <v>16260.0</v>
      </c>
      <c r="W119" s="32" t="str">
        <f>"－"</f>
        <v>－</v>
      </c>
      <c r="X119" s="36" t="n">
        <f>1</f>
        <v>1.0</v>
      </c>
    </row>
    <row r="120">
      <c r="A120" s="27" t="s">
        <v>42</v>
      </c>
      <c r="B120" s="27" t="s">
        <v>403</v>
      </c>
      <c r="C120" s="27" t="s">
        <v>404</v>
      </c>
      <c r="D120" s="27" t="s">
        <v>405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651</f>
        <v>651.0</v>
      </c>
      <c r="L120" s="34" t="s">
        <v>48</v>
      </c>
      <c r="M120" s="33" t="n">
        <f>686</f>
        <v>686.0</v>
      </c>
      <c r="N120" s="34" t="s">
        <v>90</v>
      </c>
      <c r="O120" s="33" t="n">
        <f>592</f>
        <v>592.0</v>
      </c>
      <c r="P120" s="34" t="s">
        <v>51</v>
      </c>
      <c r="Q120" s="33" t="n">
        <f>599</f>
        <v>599.0</v>
      </c>
      <c r="R120" s="34" t="s">
        <v>51</v>
      </c>
      <c r="S120" s="35" t="n">
        <f>650.58</f>
        <v>650.58</v>
      </c>
      <c r="T120" s="32" t="n">
        <f>18970</f>
        <v>18970.0</v>
      </c>
      <c r="U120" s="32" t="str">
        <f>"－"</f>
        <v>－</v>
      </c>
      <c r="V120" s="32" t="n">
        <f>12006050</f>
        <v>1.200605E7</v>
      </c>
      <c r="W120" s="32" t="str">
        <f>"－"</f>
        <v>－</v>
      </c>
      <c r="X120" s="36" t="n">
        <f>19</f>
        <v>19.0</v>
      </c>
    </row>
    <row r="121">
      <c r="A121" s="27" t="s">
        <v>42</v>
      </c>
      <c r="B121" s="27" t="s">
        <v>406</v>
      </c>
      <c r="C121" s="27" t="s">
        <v>407</v>
      </c>
      <c r="D121" s="27" t="s">
        <v>408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668</f>
        <v>668.0</v>
      </c>
      <c r="L121" s="34" t="s">
        <v>48</v>
      </c>
      <c r="M121" s="33" t="n">
        <f>680</f>
        <v>680.0</v>
      </c>
      <c r="N121" s="34" t="s">
        <v>90</v>
      </c>
      <c r="O121" s="33" t="n">
        <f>574</f>
        <v>574.0</v>
      </c>
      <c r="P121" s="34" t="s">
        <v>95</v>
      </c>
      <c r="Q121" s="33" t="n">
        <f>578</f>
        <v>578.0</v>
      </c>
      <c r="R121" s="34" t="s">
        <v>51</v>
      </c>
      <c r="S121" s="35" t="n">
        <f>631.39</f>
        <v>631.39</v>
      </c>
      <c r="T121" s="32" t="n">
        <f>3840</f>
        <v>3840.0</v>
      </c>
      <c r="U121" s="32" t="str">
        <f>"－"</f>
        <v>－</v>
      </c>
      <c r="V121" s="32" t="n">
        <f>2393150</f>
        <v>2393150.0</v>
      </c>
      <c r="W121" s="32" t="str">
        <f>"－"</f>
        <v>－</v>
      </c>
      <c r="X121" s="36" t="n">
        <f>18</f>
        <v>18.0</v>
      </c>
    </row>
    <row r="122">
      <c r="A122" s="27" t="s">
        <v>42</v>
      </c>
      <c r="B122" s="27" t="s">
        <v>409</v>
      </c>
      <c r="C122" s="27" t="s">
        <v>410</v>
      </c>
      <c r="D122" s="27" t="s">
        <v>411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22780</f>
        <v>22780.0</v>
      </c>
      <c r="L122" s="34" t="s">
        <v>48</v>
      </c>
      <c r="M122" s="33" t="n">
        <f>23230</f>
        <v>23230.0</v>
      </c>
      <c r="N122" s="34" t="s">
        <v>49</v>
      </c>
      <c r="O122" s="33" t="n">
        <f>22120</f>
        <v>22120.0</v>
      </c>
      <c r="P122" s="34" t="s">
        <v>50</v>
      </c>
      <c r="Q122" s="33" t="n">
        <f>22350</f>
        <v>22350.0</v>
      </c>
      <c r="R122" s="34" t="s">
        <v>51</v>
      </c>
      <c r="S122" s="35" t="n">
        <f>22794.74</f>
        <v>22794.74</v>
      </c>
      <c r="T122" s="32" t="n">
        <f>41847</f>
        <v>41847.0</v>
      </c>
      <c r="U122" s="32" t="n">
        <f>317</f>
        <v>317.0</v>
      </c>
      <c r="V122" s="32" t="n">
        <f>944854870</f>
        <v>9.4485487E8</v>
      </c>
      <c r="W122" s="32" t="n">
        <f>7277840</f>
        <v>7277840.0</v>
      </c>
      <c r="X122" s="36" t="n">
        <f>19</f>
        <v>19.0</v>
      </c>
    </row>
    <row r="123">
      <c r="A123" s="27" t="s">
        <v>42</v>
      </c>
      <c r="B123" s="27" t="s">
        <v>412</v>
      </c>
      <c r="C123" s="27" t="s">
        <v>413</v>
      </c>
      <c r="D123" s="27" t="s">
        <v>414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1884</f>
        <v>1884.0</v>
      </c>
      <c r="L123" s="34" t="s">
        <v>48</v>
      </c>
      <c r="M123" s="33" t="n">
        <f>1928</f>
        <v>1928.0</v>
      </c>
      <c r="N123" s="34" t="s">
        <v>49</v>
      </c>
      <c r="O123" s="33" t="n">
        <f>1825</f>
        <v>1825.0</v>
      </c>
      <c r="P123" s="34" t="s">
        <v>50</v>
      </c>
      <c r="Q123" s="33" t="n">
        <f>1851</f>
        <v>1851.0</v>
      </c>
      <c r="R123" s="34" t="s">
        <v>51</v>
      </c>
      <c r="S123" s="35" t="n">
        <f>1886.58</f>
        <v>1886.58</v>
      </c>
      <c r="T123" s="32" t="n">
        <f>12953</f>
        <v>12953.0</v>
      </c>
      <c r="U123" s="32" t="str">
        <f>"－"</f>
        <v>－</v>
      </c>
      <c r="V123" s="32" t="n">
        <f>24359884</f>
        <v>2.4359884E7</v>
      </c>
      <c r="W123" s="32" t="str">
        <f>"－"</f>
        <v>－</v>
      </c>
      <c r="X123" s="36" t="n">
        <f>19</f>
        <v>19.0</v>
      </c>
    </row>
    <row r="124">
      <c r="A124" s="27" t="s">
        <v>42</v>
      </c>
      <c r="B124" s="27" t="s">
        <v>415</v>
      </c>
      <c r="C124" s="27" t="s">
        <v>416</v>
      </c>
      <c r="D124" s="27" t="s">
        <v>417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22880</f>
        <v>22880.0</v>
      </c>
      <c r="L124" s="34" t="s">
        <v>48</v>
      </c>
      <c r="M124" s="33" t="n">
        <f>24570</f>
        <v>24570.0</v>
      </c>
      <c r="N124" s="34" t="s">
        <v>79</v>
      </c>
      <c r="O124" s="33" t="n">
        <f>22090</f>
        <v>22090.0</v>
      </c>
      <c r="P124" s="34" t="s">
        <v>50</v>
      </c>
      <c r="Q124" s="33" t="n">
        <f>22690</f>
        <v>22690.0</v>
      </c>
      <c r="R124" s="34" t="s">
        <v>51</v>
      </c>
      <c r="S124" s="35" t="n">
        <f>23596.32</f>
        <v>23596.32</v>
      </c>
      <c r="T124" s="32" t="n">
        <f>5017360</f>
        <v>5017360.0</v>
      </c>
      <c r="U124" s="32" t="n">
        <f>12820</f>
        <v>12820.0</v>
      </c>
      <c r="V124" s="32" t="n">
        <f>116624838685</f>
        <v>1.16624838685E11</v>
      </c>
      <c r="W124" s="32" t="n">
        <f>293525585</f>
        <v>2.93525585E8</v>
      </c>
      <c r="X124" s="36" t="n">
        <f>19</f>
        <v>19.0</v>
      </c>
    </row>
    <row r="125">
      <c r="A125" s="27" t="s">
        <v>42</v>
      </c>
      <c r="B125" s="27" t="s">
        <v>418</v>
      </c>
      <c r="C125" s="27" t="s">
        <v>419</v>
      </c>
      <c r="D125" s="27" t="s">
        <v>420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3820</f>
        <v>3820.0</v>
      </c>
      <c r="L125" s="34" t="s">
        <v>48</v>
      </c>
      <c r="M125" s="33" t="n">
        <f>3875</f>
        <v>3875.0</v>
      </c>
      <c r="N125" s="34" t="s">
        <v>65</v>
      </c>
      <c r="O125" s="33" t="n">
        <f>3685</f>
        <v>3685.0</v>
      </c>
      <c r="P125" s="34" t="s">
        <v>79</v>
      </c>
      <c r="Q125" s="33" t="n">
        <f>3820</f>
        <v>3820.0</v>
      </c>
      <c r="R125" s="34" t="s">
        <v>51</v>
      </c>
      <c r="S125" s="35" t="n">
        <f>3757.89</f>
        <v>3757.89</v>
      </c>
      <c r="T125" s="32" t="n">
        <f>3212450</f>
        <v>3212450.0</v>
      </c>
      <c r="U125" s="32" t="n">
        <f>8400</f>
        <v>8400.0</v>
      </c>
      <c r="V125" s="32" t="n">
        <f>12231354134</f>
        <v>1.2231354134E10</v>
      </c>
      <c r="W125" s="32" t="n">
        <f>31059084</f>
        <v>3.1059084E7</v>
      </c>
      <c r="X125" s="36" t="n">
        <f>19</f>
        <v>19.0</v>
      </c>
    </row>
    <row r="126">
      <c r="A126" s="27" t="s">
        <v>42</v>
      </c>
      <c r="B126" s="27" t="s">
        <v>421</v>
      </c>
      <c r="C126" s="27" t="s">
        <v>422</v>
      </c>
      <c r="D126" s="27" t="s">
        <v>423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651</f>
        <v>651.0</v>
      </c>
      <c r="L126" s="34" t="s">
        <v>48</v>
      </c>
      <c r="M126" s="33" t="n">
        <f>750</f>
        <v>750.0</v>
      </c>
      <c r="N126" s="34" t="s">
        <v>119</v>
      </c>
      <c r="O126" s="33" t="n">
        <f>635</f>
        <v>635.0</v>
      </c>
      <c r="P126" s="34" t="s">
        <v>100</v>
      </c>
      <c r="Q126" s="33" t="n">
        <f>664</f>
        <v>664.0</v>
      </c>
      <c r="R126" s="34" t="s">
        <v>51</v>
      </c>
      <c r="S126" s="35" t="n">
        <f>684.53</f>
        <v>684.53</v>
      </c>
      <c r="T126" s="32" t="n">
        <f>13030</f>
        <v>13030.0</v>
      </c>
      <c r="U126" s="32" t="str">
        <f>"－"</f>
        <v>－</v>
      </c>
      <c r="V126" s="32" t="n">
        <f>9179770</f>
        <v>9179770.0</v>
      </c>
      <c r="W126" s="32" t="str">
        <f>"－"</f>
        <v>－</v>
      </c>
      <c r="X126" s="36" t="n">
        <f>17</f>
        <v>17.0</v>
      </c>
    </row>
    <row r="127">
      <c r="A127" s="27" t="s">
        <v>42</v>
      </c>
      <c r="B127" s="27" t="s">
        <v>424</v>
      </c>
      <c r="C127" s="27" t="s">
        <v>425</v>
      </c>
      <c r="D127" s="27" t="s">
        <v>426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1335</f>
        <v>1335.0</v>
      </c>
      <c r="L127" s="34" t="s">
        <v>65</v>
      </c>
      <c r="M127" s="33" t="n">
        <f>1357</f>
        <v>1357.0</v>
      </c>
      <c r="N127" s="34" t="s">
        <v>49</v>
      </c>
      <c r="O127" s="33" t="n">
        <f>1282</f>
        <v>1282.0</v>
      </c>
      <c r="P127" s="34" t="s">
        <v>50</v>
      </c>
      <c r="Q127" s="33" t="n">
        <f>1317</f>
        <v>1317.0</v>
      </c>
      <c r="R127" s="34" t="s">
        <v>51</v>
      </c>
      <c r="S127" s="35" t="n">
        <f>1322.67</f>
        <v>1322.67</v>
      </c>
      <c r="T127" s="32" t="n">
        <f>2260</f>
        <v>2260.0</v>
      </c>
      <c r="U127" s="32" t="str">
        <f>"－"</f>
        <v>－</v>
      </c>
      <c r="V127" s="32" t="n">
        <f>2985930</f>
        <v>2985930.0</v>
      </c>
      <c r="W127" s="32" t="str">
        <f>"－"</f>
        <v>－</v>
      </c>
      <c r="X127" s="36" t="n">
        <f>9</f>
        <v>9.0</v>
      </c>
    </row>
    <row r="128">
      <c r="A128" s="27" t="s">
        <v>42</v>
      </c>
      <c r="B128" s="27" t="s">
        <v>427</v>
      </c>
      <c r="C128" s="27" t="s">
        <v>428</v>
      </c>
      <c r="D128" s="27" t="s">
        <v>429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1502</f>
        <v>1502.0</v>
      </c>
      <c r="L128" s="34" t="s">
        <v>48</v>
      </c>
      <c r="M128" s="33" t="n">
        <f>1531</f>
        <v>1531.0</v>
      </c>
      <c r="N128" s="34" t="s">
        <v>150</v>
      </c>
      <c r="O128" s="33" t="n">
        <f>1464</f>
        <v>1464.0</v>
      </c>
      <c r="P128" s="34" t="s">
        <v>65</v>
      </c>
      <c r="Q128" s="33" t="n">
        <f>1481</f>
        <v>1481.0</v>
      </c>
      <c r="R128" s="34" t="s">
        <v>51</v>
      </c>
      <c r="S128" s="35" t="n">
        <f>1506.47</f>
        <v>1506.47</v>
      </c>
      <c r="T128" s="32" t="n">
        <f>61560</f>
        <v>61560.0</v>
      </c>
      <c r="U128" s="32" t="str">
        <f>"－"</f>
        <v>－</v>
      </c>
      <c r="V128" s="32" t="n">
        <f>93660083</f>
        <v>9.3660083E7</v>
      </c>
      <c r="W128" s="32" t="str">
        <f>"－"</f>
        <v>－</v>
      </c>
      <c r="X128" s="36" t="n">
        <f>19</f>
        <v>19.0</v>
      </c>
    </row>
    <row r="129">
      <c r="A129" s="27" t="s">
        <v>42</v>
      </c>
      <c r="B129" s="27" t="s">
        <v>430</v>
      </c>
      <c r="C129" s="27" t="s">
        <v>431</v>
      </c>
      <c r="D129" s="27" t="s">
        <v>432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15200</f>
        <v>15200.0</v>
      </c>
      <c r="L129" s="34" t="s">
        <v>48</v>
      </c>
      <c r="M129" s="33" t="n">
        <f>15680</f>
        <v>15680.0</v>
      </c>
      <c r="N129" s="34" t="s">
        <v>49</v>
      </c>
      <c r="O129" s="33" t="n">
        <f>15000</f>
        <v>15000.0</v>
      </c>
      <c r="P129" s="34" t="s">
        <v>50</v>
      </c>
      <c r="Q129" s="33" t="n">
        <f>15150</f>
        <v>15150.0</v>
      </c>
      <c r="R129" s="34" t="s">
        <v>51</v>
      </c>
      <c r="S129" s="35" t="n">
        <f>15437.89</f>
        <v>15437.89</v>
      </c>
      <c r="T129" s="32" t="n">
        <f>78301</f>
        <v>78301.0</v>
      </c>
      <c r="U129" s="32" t="n">
        <f>30052</f>
        <v>30052.0</v>
      </c>
      <c r="V129" s="32" t="n">
        <f>1199928740</f>
        <v>1.19992874E9</v>
      </c>
      <c r="W129" s="32" t="n">
        <f>460184460</f>
        <v>4.6018446E8</v>
      </c>
      <c r="X129" s="36" t="n">
        <f>19</f>
        <v>19.0</v>
      </c>
    </row>
    <row r="130">
      <c r="A130" s="27" t="s">
        <v>42</v>
      </c>
      <c r="B130" s="27" t="s">
        <v>433</v>
      </c>
      <c r="C130" s="27" t="s">
        <v>434</v>
      </c>
      <c r="D130" s="27" t="s">
        <v>435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1396</f>
        <v>1396.0</v>
      </c>
      <c r="L130" s="34" t="s">
        <v>48</v>
      </c>
      <c r="M130" s="33" t="n">
        <f>1427</f>
        <v>1427.0</v>
      </c>
      <c r="N130" s="34" t="s">
        <v>49</v>
      </c>
      <c r="O130" s="33" t="n">
        <f>1366</f>
        <v>1366.0</v>
      </c>
      <c r="P130" s="34" t="s">
        <v>50</v>
      </c>
      <c r="Q130" s="33" t="n">
        <f>1381</f>
        <v>1381.0</v>
      </c>
      <c r="R130" s="34" t="s">
        <v>51</v>
      </c>
      <c r="S130" s="35" t="n">
        <f>1406.42</f>
        <v>1406.42</v>
      </c>
      <c r="T130" s="32" t="n">
        <f>450778</f>
        <v>450778.0</v>
      </c>
      <c r="U130" s="32" t="n">
        <f>144000</f>
        <v>144000.0</v>
      </c>
      <c r="V130" s="32" t="n">
        <f>635257880</f>
        <v>6.3525788E8</v>
      </c>
      <c r="W130" s="32" t="n">
        <f>202608000</f>
        <v>2.02608E8</v>
      </c>
      <c r="X130" s="36" t="n">
        <f>19</f>
        <v>19.0</v>
      </c>
    </row>
    <row r="131">
      <c r="A131" s="27" t="s">
        <v>42</v>
      </c>
      <c r="B131" s="27" t="s">
        <v>436</v>
      </c>
      <c r="C131" s="27" t="s">
        <v>437</v>
      </c>
      <c r="D131" s="27" t="s">
        <v>438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15590</f>
        <v>15590.0</v>
      </c>
      <c r="L131" s="34" t="s">
        <v>48</v>
      </c>
      <c r="M131" s="33" t="n">
        <f>16050</f>
        <v>16050.0</v>
      </c>
      <c r="N131" s="34" t="s">
        <v>90</v>
      </c>
      <c r="O131" s="33" t="n">
        <f>15230</f>
        <v>15230.0</v>
      </c>
      <c r="P131" s="34" t="s">
        <v>50</v>
      </c>
      <c r="Q131" s="33" t="n">
        <f>15360</f>
        <v>15360.0</v>
      </c>
      <c r="R131" s="34" t="s">
        <v>51</v>
      </c>
      <c r="S131" s="35" t="n">
        <f>15740</f>
        <v>15740.0</v>
      </c>
      <c r="T131" s="32" t="n">
        <f>105486</f>
        <v>105486.0</v>
      </c>
      <c r="U131" s="32" t="n">
        <f>70200</f>
        <v>70200.0</v>
      </c>
      <c r="V131" s="32" t="n">
        <f>1662884550</f>
        <v>1.66288455E9</v>
      </c>
      <c r="W131" s="32" t="n">
        <f>1105069280</f>
        <v>1.10506928E9</v>
      </c>
      <c r="X131" s="36" t="n">
        <f>19</f>
        <v>19.0</v>
      </c>
    </row>
    <row r="132">
      <c r="A132" s="27" t="s">
        <v>42</v>
      </c>
      <c r="B132" s="27" t="s">
        <v>439</v>
      </c>
      <c r="C132" s="27" t="s">
        <v>440</v>
      </c>
      <c r="D132" s="27" t="s">
        <v>441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2194</f>
        <v>2194.0</v>
      </c>
      <c r="L132" s="34" t="s">
        <v>48</v>
      </c>
      <c r="M132" s="33" t="n">
        <f>2259</f>
        <v>2259.0</v>
      </c>
      <c r="N132" s="34" t="s">
        <v>51</v>
      </c>
      <c r="O132" s="33" t="n">
        <f>2152</f>
        <v>2152.0</v>
      </c>
      <c r="P132" s="34" t="s">
        <v>86</v>
      </c>
      <c r="Q132" s="33" t="n">
        <f>2250</f>
        <v>2250.0</v>
      </c>
      <c r="R132" s="34" t="s">
        <v>51</v>
      </c>
      <c r="S132" s="35" t="n">
        <f>2197.26</f>
        <v>2197.26</v>
      </c>
      <c r="T132" s="32" t="n">
        <f>823730</f>
        <v>823730.0</v>
      </c>
      <c r="U132" s="32" t="n">
        <f>10200</f>
        <v>10200.0</v>
      </c>
      <c r="V132" s="32" t="n">
        <f>1812118490</f>
        <v>1.81211849E9</v>
      </c>
      <c r="W132" s="32" t="n">
        <f>22397500</f>
        <v>2.23975E7</v>
      </c>
      <c r="X132" s="36" t="n">
        <f>19</f>
        <v>19.0</v>
      </c>
    </row>
    <row r="133">
      <c r="A133" s="27" t="s">
        <v>42</v>
      </c>
      <c r="B133" s="27" t="s">
        <v>442</v>
      </c>
      <c r="C133" s="27" t="s">
        <v>443</v>
      </c>
      <c r="D133" s="27" t="s">
        <v>444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1525</f>
        <v>1525.0</v>
      </c>
      <c r="L133" s="34" t="s">
        <v>100</v>
      </c>
      <c r="M133" s="33" t="n">
        <f>1539</f>
        <v>1539.0</v>
      </c>
      <c r="N133" s="34" t="s">
        <v>61</v>
      </c>
      <c r="O133" s="33" t="n">
        <f>1442</f>
        <v>1442.0</v>
      </c>
      <c r="P133" s="34" t="s">
        <v>50</v>
      </c>
      <c r="Q133" s="33" t="n">
        <f>1473</f>
        <v>1473.0</v>
      </c>
      <c r="R133" s="34" t="s">
        <v>51</v>
      </c>
      <c r="S133" s="35" t="n">
        <f>1498</f>
        <v>1498.0</v>
      </c>
      <c r="T133" s="32" t="n">
        <f>94530</f>
        <v>94530.0</v>
      </c>
      <c r="U133" s="32" t="n">
        <f>94000</f>
        <v>94000.0</v>
      </c>
      <c r="V133" s="32" t="n">
        <f>145302110</f>
        <v>1.4530211E8</v>
      </c>
      <c r="W133" s="32" t="n">
        <f>144500560</f>
        <v>1.4450056E8</v>
      </c>
      <c r="X133" s="36" t="n">
        <f>5</f>
        <v>5.0</v>
      </c>
    </row>
    <row r="134">
      <c r="A134" s="27" t="s">
        <v>42</v>
      </c>
      <c r="B134" s="27" t="s">
        <v>445</v>
      </c>
      <c r="C134" s="27" t="s">
        <v>446</v>
      </c>
      <c r="D134" s="27" t="s">
        <v>447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2187</f>
        <v>2187.0</v>
      </c>
      <c r="L134" s="34" t="s">
        <v>48</v>
      </c>
      <c r="M134" s="33" t="n">
        <f>2279</f>
        <v>2279.0</v>
      </c>
      <c r="N134" s="34" t="s">
        <v>51</v>
      </c>
      <c r="O134" s="33" t="n">
        <f>2157</f>
        <v>2157.0</v>
      </c>
      <c r="P134" s="34" t="s">
        <v>119</v>
      </c>
      <c r="Q134" s="33" t="n">
        <f>2275</f>
        <v>2275.0</v>
      </c>
      <c r="R134" s="34" t="s">
        <v>51</v>
      </c>
      <c r="S134" s="35" t="n">
        <f>2209.95</f>
        <v>2209.95</v>
      </c>
      <c r="T134" s="32" t="n">
        <f>553720</f>
        <v>553720.0</v>
      </c>
      <c r="U134" s="32" t="n">
        <f>60080</f>
        <v>60080.0</v>
      </c>
      <c r="V134" s="32" t="n">
        <f>1220071300</f>
        <v>1.2200713E9</v>
      </c>
      <c r="W134" s="32" t="n">
        <f>131623920</f>
        <v>1.3162392E8</v>
      </c>
      <c r="X134" s="36" t="n">
        <f>19</f>
        <v>19.0</v>
      </c>
    </row>
    <row r="135">
      <c r="A135" s="27" t="s">
        <v>42</v>
      </c>
      <c r="B135" s="27" t="s">
        <v>448</v>
      </c>
      <c r="C135" s="27" t="s">
        <v>449</v>
      </c>
      <c r="D135" s="27" t="s">
        <v>450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18100</f>
        <v>18100.0</v>
      </c>
      <c r="L135" s="34" t="s">
        <v>65</v>
      </c>
      <c r="M135" s="33" t="n">
        <f>18370</f>
        <v>18370.0</v>
      </c>
      <c r="N135" s="34" t="s">
        <v>90</v>
      </c>
      <c r="O135" s="33" t="n">
        <f>18100</f>
        <v>18100.0</v>
      </c>
      <c r="P135" s="34" t="s">
        <v>65</v>
      </c>
      <c r="Q135" s="33" t="n">
        <f>18370</f>
        <v>18370.0</v>
      </c>
      <c r="R135" s="34" t="s">
        <v>90</v>
      </c>
      <c r="S135" s="35" t="n">
        <f>18235</f>
        <v>18235.0</v>
      </c>
      <c r="T135" s="32" t="n">
        <f>2</f>
        <v>2.0</v>
      </c>
      <c r="U135" s="32" t="str">
        <f>"－"</f>
        <v>－</v>
      </c>
      <c r="V135" s="32" t="n">
        <f>36470</f>
        <v>36470.0</v>
      </c>
      <c r="W135" s="32" t="str">
        <f>"－"</f>
        <v>－</v>
      </c>
      <c r="X135" s="36" t="n">
        <f>2</f>
        <v>2.0</v>
      </c>
    </row>
    <row r="136">
      <c r="A136" s="27" t="s">
        <v>42</v>
      </c>
      <c r="B136" s="27" t="s">
        <v>451</v>
      </c>
      <c r="C136" s="27" t="s">
        <v>452</v>
      </c>
      <c r="D136" s="27" t="s">
        <v>453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15450</f>
        <v>15450.0</v>
      </c>
      <c r="L136" s="34" t="s">
        <v>48</v>
      </c>
      <c r="M136" s="33" t="n">
        <f>15770</f>
        <v>15770.0</v>
      </c>
      <c r="N136" s="34" t="s">
        <v>150</v>
      </c>
      <c r="O136" s="33" t="n">
        <f>15100</f>
        <v>15100.0</v>
      </c>
      <c r="P136" s="34" t="s">
        <v>100</v>
      </c>
      <c r="Q136" s="33" t="n">
        <f>15270</f>
        <v>15270.0</v>
      </c>
      <c r="R136" s="34" t="s">
        <v>51</v>
      </c>
      <c r="S136" s="35" t="n">
        <f>15573.53</f>
        <v>15573.53</v>
      </c>
      <c r="T136" s="32" t="n">
        <f>105384</f>
        <v>105384.0</v>
      </c>
      <c r="U136" s="32" t="n">
        <f>91000</f>
        <v>91000.0</v>
      </c>
      <c r="V136" s="32" t="n">
        <f>1632172940</f>
        <v>1.63217294E9</v>
      </c>
      <c r="W136" s="32" t="n">
        <f>1408287800</f>
        <v>1.4082878E9</v>
      </c>
      <c r="X136" s="36" t="n">
        <f>17</f>
        <v>17.0</v>
      </c>
    </row>
    <row r="137">
      <c r="A137" s="27" t="s">
        <v>42</v>
      </c>
      <c r="B137" s="27" t="s">
        <v>454</v>
      </c>
      <c r="C137" s="27" t="s">
        <v>455</v>
      </c>
      <c r="D137" s="27" t="s">
        <v>456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10.0</v>
      </c>
      <c r="K137" s="33" t="n">
        <f>2523</f>
        <v>2523.0</v>
      </c>
      <c r="L137" s="34" t="s">
        <v>48</v>
      </c>
      <c r="M137" s="33" t="n">
        <f>2685</f>
        <v>2685.0</v>
      </c>
      <c r="N137" s="34" t="s">
        <v>175</v>
      </c>
      <c r="O137" s="33" t="n">
        <f>2523</f>
        <v>2523.0</v>
      </c>
      <c r="P137" s="34" t="s">
        <v>48</v>
      </c>
      <c r="Q137" s="33" t="n">
        <f>2545</f>
        <v>2545.0</v>
      </c>
      <c r="R137" s="34" t="s">
        <v>50</v>
      </c>
      <c r="S137" s="35" t="n">
        <f>2631.29</f>
        <v>2631.29</v>
      </c>
      <c r="T137" s="32" t="n">
        <f>3840</f>
        <v>3840.0</v>
      </c>
      <c r="U137" s="32" t="str">
        <f>"－"</f>
        <v>－</v>
      </c>
      <c r="V137" s="32" t="n">
        <f>9997760</f>
        <v>9997760.0</v>
      </c>
      <c r="W137" s="32" t="str">
        <f>"－"</f>
        <v>－</v>
      </c>
      <c r="X137" s="36" t="n">
        <f>14</f>
        <v>14.0</v>
      </c>
    </row>
    <row r="138">
      <c r="A138" s="27" t="s">
        <v>42</v>
      </c>
      <c r="B138" s="27" t="s">
        <v>457</v>
      </c>
      <c r="C138" s="27" t="s">
        <v>458</v>
      </c>
      <c r="D138" s="27" t="s">
        <v>459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100.0</v>
      </c>
      <c r="K138" s="33" t="n">
        <f>154</f>
        <v>154.0</v>
      </c>
      <c r="L138" s="34" t="s">
        <v>48</v>
      </c>
      <c r="M138" s="33" t="n">
        <f>156</f>
        <v>156.0</v>
      </c>
      <c r="N138" s="34" t="s">
        <v>100</v>
      </c>
      <c r="O138" s="33" t="n">
        <f>147</f>
        <v>147.0</v>
      </c>
      <c r="P138" s="34" t="s">
        <v>95</v>
      </c>
      <c r="Q138" s="33" t="n">
        <f>149</f>
        <v>149.0</v>
      </c>
      <c r="R138" s="34" t="s">
        <v>51</v>
      </c>
      <c r="S138" s="35" t="n">
        <f>151.89</f>
        <v>151.89</v>
      </c>
      <c r="T138" s="32" t="n">
        <f>9445000</f>
        <v>9445000.0</v>
      </c>
      <c r="U138" s="32" t="n">
        <f>86800</f>
        <v>86800.0</v>
      </c>
      <c r="V138" s="32" t="n">
        <f>1432783344</f>
        <v>1.432783344E9</v>
      </c>
      <c r="W138" s="32" t="n">
        <f>12824144</f>
        <v>1.2824144E7</v>
      </c>
      <c r="X138" s="36" t="n">
        <f>19</f>
        <v>19.0</v>
      </c>
    </row>
    <row r="139">
      <c r="A139" s="27" t="s">
        <v>42</v>
      </c>
      <c r="B139" s="27" t="s">
        <v>460</v>
      </c>
      <c r="C139" s="27" t="s">
        <v>461</v>
      </c>
      <c r="D139" s="27" t="s">
        <v>462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28170</f>
        <v>28170.0</v>
      </c>
      <c r="L139" s="34" t="s">
        <v>48</v>
      </c>
      <c r="M139" s="33" t="n">
        <f>28770</f>
        <v>28770.0</v>
      </c>
      <c r="N139" s="34" t="s">
        <v>49</v>
      </c>
      <c r="O139" s="33" t="n">
        <f>27870</f>
        <v>27870.0</v>
      </c>
      <c r="P139" s="34" t="s">
        <v>48</v>
      </c>
      <c r="Q139" s="33" t="n">
        <f>28300</f>
        <v>28300.0</v>
      </c>
      <c r="R139" s="34" t="s">
        <v>51</v>
      </c>
      <c r="S139" s="35" t="n">
        <f>28324.17</f>
        <v>28324.17</v>
      </c>
      <c r="T139" s="32" t="n">
        <f>112</f>
        <v>112.0</v>
      </c>
      <c r="U139" s="32" t="str">
        <f>"－"</f>
        <v>－</v>
      </c>
      <c r="V139" s="32" t="n">
        <f>3183260</f>
        <v>3183260.0</v>
      </c>
      <c r="W139" s="32" t="str">
        <f>"－"</f>
        <v>－</v>
      </c>
      <c r="X139" s="36" t="n">
        <f>12</f>
        <v>12.0</v>
      </c>
    </row>
    <row r="140">
      <c r="A140" s="27" t="s">
        <v>42</v>
      </c>
      <c r="B140" s="27" t="s">
        <v>463</v>
      </c>
      <c r="C140" s="27" t="s">
        <v>464</v>
      </c>
      <c r="D140" s="27" t="s">
        <v>465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11700</f>
        <v>11700.0</v>
      </c>
      <c r="L140" s="34" t="s">
        <v>48</v>
      </c>
      <c r="M140" s="33" t="n">
        <f>12070</f>
        <v>12070.0</v>
      </c>
      <c r="N140" s="34" t="s">
        <v>65</v>
      </c>
      <c r="O140" s="33" t="n">
        <f>10650</f>
        <v>10650.0</v>
      </c>
      <c r="P140" s="34" t="s">
        <v>50</v>
      </c>
      <c r="Q140" s="33" t="n">
        <f>10660</f>
        <v>10660.0</v>
      </c>
      <c r="R140" s="34" t="s">
        <v>51</v>
      </c>
      <c r="S140" s="35" t="n">
        <f>11318.95</f>
        <v>11318.95</v>
      </c>
      <c r="T140" s="32" t="n">
        <f>2748</f>
        <v>2748.0</v>
      </c>
      <c r="U140" s="32" t="str">
        <f>"－"</f>
        <v>－</v>
      </c>
      <c r="V140" s="32" t="n">
        <f>31467940</f>
        <v>3.146794E7</v>
      </c>
      <c r="W140" s="32" t="str">
        <f>"－"</f>
        <v>－</v>
      </c>
      <c r="X140" s="36" t="n">
        <f>19</f>
        <v>19.0</v>
      </c>
    </row>
    <row r="141">
      <c r="A141" s="27" t="s">
        <v>42</v>
      </c>
      <c r="B141" s="27" t="s">
        <v>466</v>
      </c>
      <c r="C141" s="27" t="s">
        <v>467</v>
      </c>
      <c r="D141" s="27" t="s">
        <v>468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21890</f>
        <v>21890.0</v>
      </c>
      <c r="L141" s="34" t="s">
        <v>48</v>
      </c>
      <c r="M141" s="33" t="n">
        <f>22740</f>
        <v>22740.0</v>
      </c>
      <c r="N141" s="34" t="s">
        <v>309</v>
      </c>
      <c r="O141" s="33" t="n">
        <f>21550</f>
        <v>21550.0</v>
      </c>
      <c r="P141" s="34" t="s">
        <v>50</v>
      </c>
      <c r="Q141" s="33" t="n">
        <f>21910</f>
        <v>21910.0</v>
      </c>
      <c r="R141" s="34" t="s">
        <v>51</v>
      </c>
      <c r="S141" s="35" t="n">
        <f>22137.89</f>
        <v>22137.89</v>
      </c>
      <c r="T141" s="32" t="n">
        <f>1788</f>
        <v>1788.0</v>
      </c>
      <c r="U141" s="32" t="str">
        <f>"－"</f>
        <v>－</v>
      </c>
      <c r="V141" s="32" t="n">
        <f>39693570</f>
        <v>3.969357E7</v>
      </c>
      <c r="W141" s="32" t="str">
        <f>"－"</f>
        <v>－</v>
      </c>
      <c r="X141" s="36" t="n">
        <f>19</f>
        <v>19.0</v>
      </c>
    </row>
    <row r="142">
      <c r="A142" s="27" t="s">
        <v>42</v>
      </c>
      <c r="B142" s="27" t="s">
        <v>469</v>
      </c>
      <c r="C142" s="27" t="s">
        <v>470</v>
      </c>
      <c r="D142" s="27" t="s">
        <v>471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24690</f>
        <v>24690.0</v>
      </c>
      <c r="L142" s="34" t="s">
        <v>100</v>
      </c>
      <c r="M142" s="33" t="n">
        <f>25450</f>
        <v>25450.0</v>
      </c>
      <c r="N142" s="34" t="s">
        <v>79</v>
      </c>
      <c r="O142" s="33" t="n">
        <f>24030</f>
        <v>24030.0</v>
      </c>
      <c r="P142" s="34" t="s">
        <v>50</v>
      </c>
      <c r="Q142" s="33" t="n">
        <f>24050</f>
        <v>24050.0</v>
      </c>
      <c r="R142" s="34" t="s">
        <v>50</v>
      </c>
      <c r="S142" s="35" t="n">
        <f>24743.85</f>
        <v>24743.85</v>
      </c>
      <c r="T142" s="32" t="n">
        <f>177</f>
        <v>177.0</v>
      </c>
      <c r="U142" s="32" t="str">
        <f>"－"</f>
        <v>－</v>
      </c>
      <c r="V142" s="32" t="n">
        <f>4369150</f>
        <v>4369150.0</v>
      </c>
      <c r="W142" s="32" t="str">
        <f>"－"</f>
        <v>－</v>
      </c>
      <c r="X142" s="36" t="n">
        <f>13</f>
        <v>13.0</v>
      </c>
    </row>
    <row r="143">
      <c r="A143" s="27" t="s">
        <v>42</v>
      </c>
      <c r="B143" s="27" t="s">
        <v>472</v>
      </c>
      <c r="C143" s="27" t="s">
        <v>473</v>
      </c>
      <c r="D143" s="27" t="s">
        <v>474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24300</f>
        <v>24300.0</v>
      </c>
      <c r="L143" s="34" t="s">
        <v>48</v>
      </c>
      <c r="M143" s="33" t="n">
        <f>25290</f>
        <v>25290.0</v>
      </c>
      <c r="N143" s="34" t="s">
        <v>72</v>
      </c>
      <c r="O143" s="33" t="n">
        <f>24080</f>
        <v>24080.0</v>
      </c>
      <c r="P143" s="34" t="s">
        <v>48</v>
      </c>
      <c r="Q143" s="33" t="n">
        <f>24890</f>
        <v>24890.0</v>
      </c>
      <c r="R143" s="34" t="s">
        <v>51</v>
      </c>
      <c r="S143" s="35" t="n">
        <f>24871.58</f>
        <v>24871.58</v>
      </c>
      <c r="T143" s="32" t="n">
        <f>2294</f>
        <v>2294.0</v>
      </c>
      <c r="U143" s="32" t="str">
        <f>"－"</f>
        <v>－</v>
      </c>
      <c r="V143" s="32" t="n">
        <f>57079120</f>
        <v>5.707912E7</v>
      </c>
      <c r="W143" s="32" t="str">
        <f>"－"</f>
        <v>－</v>
      </c>
      <c r="X143" s="36" t="n">
        <f>19</f>
        <v>19.0</v>
      </c>
    </row>
    <row r="144">
      <c r="A144" s="27" t="s">
        <v>42</v>
      </c>
      <c r="B144" s="27" t="s">
        <v>475</v>
      </c>
      <c r="C144" s="27" t="s">
        <v>476</v>
      </c>
      <c r="D144" s="27" t="s">
        <v>477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20290</f>
        <v>20290.0</v>
      </c>
      <c r="L144" s="34" t="s">
        <v>48</v>
      </c>
      <c r="M144" s="33" t="n">
        <f>20780</f>
        <v>20780.0</v>
      </c>
      <c r="N144" s="34" t="s">
        <v>150</v>
      </c>
      <c r="O144" s="33" t="n">
        <f>19730</f>
        <v>19730.0</v>
      </c>
      <c r="P144" s="34" t="s">
        <v>50</v>
      </c>
      <c r="Q144" s="33" t="n">
        <f>19850</f>
        <v>19850.0</v>
      </c>
      <c r="R144" s="34" t="s">
        <v>51</v>
      </c>
      <c r="S144" s="35" t="n">
        <f>20301.18</f>
        <v>20301.18</v>
      </c>
      <c r="T144" s="32" t="n">
        <f>3271</f>
        <v>3271.0</v>
      </c>
      <c r="U144" s="32" t="str">
        <f>"－"</f>
        <v>－</v>
      </c>
      <c r="V144" s="32" t="n">
        <f>66482740</f>
        <v>6.648274E7</v>
      </c>
      <c r="W144" s="32" t="str">
        <f>"－"</f>
        <v>－</v>
      </c>
      <c r="X144" s="36" t="n">
        <f>17</f>
        <v>17.0</v>
      </c>
    </row>
    <row r="145">
      <c r="A145" s="27" t="s">
        <v>42</v>
      </c>
      <c r="B145" s="27" t="s">
        <v>478</v>
      </c>
      <c r="C145" s="27" t="s">
        <v>479</v>
      </c>
      <c r="D145" s="27" t="s">
        <v>480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14500</f>
        <v>14500.0</v>
      </c>
      <c r="L145" s="34" t="s">
        <v>48</v>
      </c>
      <c r="M145" s="33" t="n">
        <f>14830</f>
        <v>14830.0</v>
      </c>
      <c r="N145" s="34" t="s">
        <v>49</v>
      </c>
      <c r="O145" s="33" t="n">
        <f>13380</f>
        <v>13380.0</v>
      </c>
      <c r="P145" s="34" t="s">
        <v>50</v>
      </c>
      <c r="Q145" s="33" t="n">
        <f>13520</f>
        <v>13520.0</v>
      </c>
      <c r="R145" s="34" t="s">
        <v>51</v>
      </c>
      <c r="S145" s="35" t="n">
        <f>14260.53</f>
        <v>14260.53</v>
      </c>
      <c r="T145" s="32" t="n">
        <f>5843</f>
        <v>5843.0</v>
      </c>
      <c r="U145" s="32" t="str">
        <f>"－"</f>
        <v>－</v>
      </c>
      <c r="V145" s="32" t="n">
        <f>83468200</f>
        <v>8.34682E7</v>
      </c>
      <c r="W145" s="32" t="str">
        <f>"－"</f>
        <v>－</v>
      </c>
      <c r="X145" s="36" t="n">
        <f>19</f>
        <v>19.0</v>
      </c>
    </row>
    <row r="146">
      <c r="A146" s="27" t="s">
        <v>42</v>
      </c>
      <c r="B146" s="27" t="s">
        <v>481</v>
      </c>
      <c r="C146" s="27" t="s">
        <v>482</v>
      </c>
      <c r="D146" s="27" t="s">
        <v>483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33850</f>
        <v>33850.0</v>
      </c>
      <c r="L146" s="34" t="s">
        <v>48</v>
      </c>
      <c r="M146" s="33" t="n">
        <f>35250</f>
        <v>35250.0</v>
      </c>
      <c r="N146" s="34" t="s">
        <v>309</v>
      </c>
      <c r="O146" s="33" t="n">
        <f>33300</f>
        <v>33300.0</v>
      </c>
      <c r="P146" s="34" t="s">
        <v>50</v>
      </c>
      <c r="Q146" s="33" t="n">
        <f>33500</f>
        <v>33500.0</v>
      </c>
      <c r="R146" s="34" t="s">
        <v>51</v>
      </c>
      <c r="S146" s="35" t="n">
        <f>34433.33</f>
        <v>34433.33</v>
      </c>
      <c r="T146" s="32" t="n">
        <f>358</f>
        <v>358.0</v>
      </c>
      <c r="U146" s="32" t="str">
        <f>"－"</f>
        <v>－</v>
      </c>
      <c r="V146" s="32" t="n">
        <f>12212000</f>
        <v>1.2212E7</v>
      </c>
      <c r="W146" s="32" t="str">
        <f>"－"</f>
        <v>－</v>
      </c>
      <c r="X146" s="36" t="n">
        <f>15</f>
        <v>15.0</v>
      </c>
    </row>
    <row r="147">
      <c r="A147" s="27" t="s">
        <v>42</v>
      </c>
      <c r="B147" s="27" t="s">
        <v>484</v>
      </c>
      <c r="C147" s="27" t="s">
        <v>485</v>
      </c>
      <c r="D147" s="27" t="s">
        <v>486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21280</f>
        <v>21280.0</v>
      </c>
      <c r="L147" s="34" t="s">
        <v>48</v>
      </c>
      <c r="M147" s="33" t="n">
        <f>22250</f>
        <v>22250.0</v>
      </c>
      <c r="N147" s="34" t="s">
        <v>90</v>
      </c>
      <c r="O147" s="33" t="n">
        <f>20900</f>
        <v>20900.0</v>
      </c>
      <c r="P147" s="34" t="s">
        <v>50</v>
      </c>
      <c r="Q147" s="33" t="n">
        <f>21300</f>
        <v>21300.0</v>
      </c>
      <c r="R147" s="34" t="s">
        <v>51</v>
      </c>
      <c r="S147" s="35" t="n">
        <f>21784.21</f>
        <v>21784.21</v>
      </c>
      <c r="T147" s="32" t="n">
        <f>2561</f>
        <v>2561.0</v>
      </c>
      <c r="U147" s="32" t="str">
        <f>"－"</f>
        <v>－</v>
      </c>
      <c r="V147" s="32" t="n">
        <f>55936100</f>
        <v>5.59361E7</v>
      </c>
      <c r="W147" s="32" t="str">
        <f>"－"</f>
        <v>－</v>
      </c>
      <c r="X147" s="36" t="n">
        <f>19</f>
        <v>19.0</v>
      </c>
    </row>
    <row r="148">
      <c r="A148" s="27" t="s">
        <v>42</v>
      </c>
      <c r="B148" s="27" t="s">
        <v>487</v>
      </c>
      <c r="C148" s="27" t="s">
        <v>488</v>
      </c>
      <c r="D148" s="27" t="s">
        <v>489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24000</f>
        <v>24000.0</v>
      </c>
      <c r="L148" s="34" t="s">
        <v>48</v>
      </c>
      <c r="M148" s="33" t="n">
        <f>24670</f>
        <v>24670.0</v>
      </c>
      <c r="N148" s="34" t="s">
        <v>90</v>
      </c>
      <c r="O148" s="33" t="n">
        <f>23730</f>
        <v>23730.0</v>
      </c>
      <c r="P148" s="34" t="s">
        <v>65</v>
      </c>
      <c r="Q148" s="33" t="n">
        <f>23770</f>
        <v>23770.0</v>
      </c>
      <c r="R148" s="34" t="s">
        <v>51</v>
      </c>
      <c r="S148" s="35" t="n">
        <f>24220</f>
        <v>24220.0</v>
      </c>
      <c r="T148" s="32" t="n">
        <f>276</f>
        <v>276.0</v>
      </c>
      <c r="U148" s="32" t="str">
        <f>"－"</f>
        <v>－</v>
      </c>
      <c r="V148" s="32" t="n">
        <f>6681280</f>
        <v>6681280.0</v>
      </c>
      <c r="W148" s="32" t="str">
        <f>"－"</f>
        <v>－</v>
      </c>
      <c r="X148" s="36" t="n">
        <f>17</f>
        <v>17.0</v>
      </c>
    </row>
    <row r="149">
      <c r="A149" s="27" t="s">
        <v>42</v>
      </c>
      <c r="B149" s="27" t="s">
        <v>490</v>
      </c>
      <c r="C149" s="27" t="s">
        <v>491</v>
      </c>
      <c r="D149" s="27" t="s">
        <v>492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6970</f>
        <v>6970.0</v>
      </c>
      <c r="L149" s="34" t="s">
        <v>48</v>
      </c>
      <c r="M149" s="33" t="n">
        <f>6970</f>
        <v>6970.0</v>
      </c>
      <c r="N149" s="34" t="s">
        <v>48</v>
      </c>
      <c r="O149" s="33" t="n">
        <f>6540</f>
        <v>6540.0</v>
      </c>
      <c r="P149" s="34" t="s">
        <v>91</v>
      </c>
      <c r="Q149" s="33" t="n">
        <f>6600</f>
        <v>6600.0</v>
      </c>
      <c r="R149" s="34" t="s">
        <v>51</v>
      </c>
      <c r="S149" s="35" t="n">
        <f>6702.11</f>
        <v>6702.11</v>
      </c>
      <c r="T149" s="32" t="n">
        <f>4262</f>
        <v>4262.0</v>
      </c>
      <c r="U149" s="32" t="str">
        <f>"－"</f>
        <v>－</v>
      </c>
      <c r="V149" s="32" t="n">
        <f>28678890</f>
        <v>2.867889E7</v>
      </c>
      <c r="W149" s="32" t="str">
        <f>"－"</f>
        <v>－</v>
      </c>
      <c r="X149" s="36" t="n">
        <f>19</f>
        <v>19.0</v>
      </c>
    </row>
    <row r="150">
      <c r="A150" s="27" t="s">
        <v>42</v>
      </c>
      <c r="B150" s="27" t="s">
        <v>493</v>
      </c>
      <c r="C150" s="27" t="s">
        <v>494</v>
      </c>
      <c r="D150" s="27" t="s">
        <v>495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18200</f>
        <v>18200.0</v>
      </c>
      <c r="L150" s="34" t="s">
        <v>48</v>
      </c>
      <c r="M150" s="33" t="n">
        <f>18450</f>
        <v>18450.0</v>
      </c>
      <c r="N150" s="34" t="s">
        <v>72</v>
      </c>
      <c r="O150" s="33" t="n">
        <f>17760</f>
        <v>17760.0</v>
      </c>
      <c r="P150" s="34" t="s">
        <v>95</v>
      </c>
      <c r="Q150" s="33" t="n">
        <f>17850</f>
        <v>17850.0</v>
      </c>
      <c r="R150" s="34" t="s">
        <v>50</v>
      </c>
      <c r="S150" s="35" t="n">
        <f>18117.78</f>
        <v>18117.78</v>
      </c>
      <c r="T150" s="32" t="n">
        <f>308</f>
        <v>308.0</v>
      </c>
      <c r="U150" s="32" t="str">
        <f>"－"</f>
        <v>－</v>
      </c>
      <c r="V150" s="32" t="n">
        <f>5597210</f>
        <v>5597210.0</v>
      </c>
      <c r="W150" s="32" t="str">
        <f>"－"</f>
        <v>－</v>
      </c>
      <c r="X150" s="36" t="n">
        <f>9</f>
        <v>9.0</v>
      </c>
    </row>
    <row r="151">
      <c r="A151" s="27" t="s">
        <v>42</v>
      </c>
      <c r="B151" s="27" t="s">
        <v>496</v>
      </c>
      <c r="C151" s="27" t="s">
        <v>497</v>
      </c>
      <c r="D151" s="27" t="s">
        <v>498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34900</f>
        <v>34900.0</v>
      </c>
      <c r="L151" s="34" t="s">
        <v>100</v>
      </c>
      <c r="M151" s="33" t="n">
        <f>35550</f>
        <v>35550.0</v>
      </c>
      <c r="N151" s="34" t="s">
        <v>150</v>
      </c>
      <c r="O151" s="33" t="n">
        <f>34300</f>
        <v>34300.0</v>
      </c>
      <c r="P151" s="34" t="s">
        <v>50</v>
      </c>
      <c r="Q151" s="33" t="n">
        <f>34350</f>
        <v>34350.0</v>
      </c>
      <c r="R151" s="34" t="s">
        <v>51</v>
      </c>
      <c r="S151" s="35" t="n">
        <f>34936.67</f>
        <v>34936.67</v>
      </c>
      <c r="T151" s="32" t="n">
        <f>804</f>
        <v>804.0</v>
      </c>
      <c r="U151" s="32" t="str">
        <f>"－"</f>
        <v>－</v>
      </c>
      <c r="V151" s="32" t="n">
        <f>28084250</f>
        <v>2.808425E7</v>
      </c>
      <c r="W151" s="32" t="str">
        <f>"－"</f>
        <v>－</v>
      </c>
      <c r="X151" s="36" t="n">
        <f>15</f>
        <v>15.0</v>
      </c>
    </row>
    <row r="152">
      <c r="A152" s="27" t="s">
        <v>42</v>
      </c>
      <c r="B152" s="27" t="s">
        <v>499</v>
      </c>
      <c r="C152" s="27" t="s">
        <v>500</v>
      </c>
      <c r="D152" s="27" t="s">
        <v>501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20660</f>
        <v>20660.0</v>
      </c>
      <c r="L152" s="34" t="s">
        <v>119</v>
      </c>
      <c r="M152" s="33" t="n">
        <f>21030</f>
        <v>21030.0</v>
      </c>
      <c r="N152" s="34" t="s">
        <v>79</v>
      </c>
      <c r="O152" s="33" t="n">
        <f>20660</f>
        <v>20660.0</v>
      </c>
      <c r="P152" s="34" t="s">
        <v>119</v>
      </c>
      <c r="Q152" s="33" t="n">
        <f>21030</f>
        <v>21030.0</v>
      </c>
      <c r="R152" s="34" t="s">
        <v>79</v>
      </c>
      <c r="S152" s="35" t="n">
        <f>20975</f>
        <v>20975.0</v>
      </c>
      <c r="T152" s="32" t="n">
        <f>34</f>
        <v>34.0</v>
      </c>
      <c r="U152" s="32" t="str">
        <f>"－"</f>
        <v>－</v>
      </c>
      <c r="V152" s="32" t="n">
        <f>707010</f>
        <v>707010.0</v>
      </c>
      <c r="W152" s="32" t="str">
        <f>"－"</f>
        <v>－</v>
      </c>
      <c r="X152" s="36" t="n">
        <f>2</f>
        <v>2.0</v>
      </c>
    </row>
    <row r="153">
      <c r="A153" s="27" t="s">
        <v>42</v>
      </c>
      <c r="B153" s="27" t="s">
        <v>502</v>
      </c>
      <c r="C153" s="27" t="s">
        <v>503</v>
      </c>
      <c r="D153" s="27" t="s">
        <v>504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8850</f>
        <v>8850.0</v>
      </c>
      <c r="L153" s="34" t="s">
        <v>48</v>
      </c>
      <c r="M153" s="33" t="n">
        <f>8850</f>
        <v>8850.0</v>
      </c>
      <c r="N153" s="34" t="s">
        <v>48</v>
      </c>
      <c r="O153" s="33" t="n">
        <f>8410</f>
        <v>8410.0</v>
      </c>
      <c r="P153" s="34" t="s">
        <v>95</v>
      </c>
      <c r="Q153" s="33" t="n">
        <f>8530</f>
        <v>8530.0</v>
      </c>
      <c r="R153" s="34" t="s">
        <v>51</v>
      </c>
      <c r="S153" s="35" t="n">
        <f>8656.32</f>
        <v>8656.32</v>
      </c>
      <c r="T153" s="32" t="n">
        <f>5555</f>
        <v>5555.0</v>
      </c>
      <c r="U153" s="32" t="n">
        <f>11</f>
        <v>11.0</v>
      </c>
      <c r="V153" s="32" t="n">
        <f>48084470</f>
        <v>4.808447E7</v>
      </c>
      <c r="W153" s="32" t="n">
        <f>93390</f>
        <v>93390.0</v>
      </c>
      <c r="X153" s="36" t="n">
        <f>19</f>
        <v>19.0</v>
      </c>
    </row>
    <row r="154">
      <c r="A154" s="27" t="s">
        <v>42</v>
      </c>
      <c r="B154" s="27" t="s">
        <v>505</v>
      </c>
      <c r="C154" s="27" t="s">
        <v>506</v>
      </c>
      <c r="D154" s="27" t="s">
        <v>507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12560</f>
        <v>12560.0</v>
      </c>
      <c r="L154" s="34" t="s">
        <v>48</v>
      </c>
      <c r="M154" s="33" t="n">
        <f>12900</f>
        <v>12900.0</v>
      </c>
      <c r="N154" s="34" t="s">
        <v>90</v>
      </c>
      <c r="O154" s="33" t="n">
        <f>12500</f>
        <v>12500.0</v>
      </c>
      <c r="P154" s="34" t="s">
        <v>91</v>
      </c>
      <c r="Q154" s="33" t="n">
        <f>12700</f>
        <v>12700.0</v>
      </c>
      <c r="R154" s="34" t="s">
        <v>51</v>
      </c>
      <c r="S154" s="35" t="n">
        <f>12740</f>
        <v>12740.0</v>
      </c>
      <c r="T154" s="32" t="n">
        <f>334</f>
        <v>334.0</v>
      </c>
      <c r="U154" s="32" t="str">
        <f>"－"</f>
        <v>－</v>
      </c>
      <c r="V154" s="32" t="n">
        <f>4217430</f>
        <v>4217430.0</v>
      </c>
      <c r="W154" s="32" t="str">
        <f>"－"</f>
        <v>－</v>
      </c>
      <c r="X154" s="36" t="n">
        <f>15</f>
        <v>15.0</v>
      </c>
    </row>
    <row r="155">
      <c r="A155" s="27" t="s">
        <v>42</v>
      </c>
      <c r="B155" s="27" t="s">
        <v>508</v>
      </c>
      <c r="C155" s="27" t="s">
        <v>509</v>
      </c>
      <c r="D155" s="27" t="s">
        <v>510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30950</f>
        <v>30950.0</v>
      </c>
      <c r="L155" s="34" t="s">
        <v>48</v>
      </c>
      <c r="M155" s="33" t="n">
        <f>32100</f>
        <v>32100.0</v>
      </c>
      <c r="N155" s="34" t="s">
        <v>91</v>
      </c>
      <c r="O155" s="33" t="n">
        <f>30550</f>
        <v>30550.0</v>
      </c>
      <c r="P155" s="34" t="s">
        <v>65</v>
      </c>
      <c r="Q155" s="33" t="n">
        <f>31900</f>
        <v>31900.0</v>
      </c>
      <c r="R155" s="34" t="s">
        <v>51</v>
      </c>
      <c r="S155" s="35" t="n">
        <f>31297.22</f>
        <v>31297.22</v>
      </c>
      <c r="T155" s="32" t="n">
        <f>1434</f>
        <v>1434.0</v>
      </c>
      <c r="U155" s="32" t="n">
        <f>32</f>
        <v>32.0</v>
      </c>
      <c r="V155" s="32" t="n">
        <f>44798100</f>
        <v>4.47981E7</v>
      </c>
      <c r="W155" s="32" t="n">
        <f>1025600</f>
        <v>1025600.0</v>
      </c>
      <c r="X155" s="36" t="n">
        <f>18</f>
        <v>18.0</v>
      </c>
    </row>
    <row r="156">
      <c r="A156" s="27" t="s">
        <v>42</v>
      </c>
      <c r="B156" s="27" t="s">
        <v>511</v>
      </c>
      <c r="C156" s="27" t="s">
        <v>512</v>
      </c>
      <c r="D156" s="27" t="s">
        <v>513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991</f>
        <v>991.0</v>
      </c>
      <c r="L156" s="34" t="s">
        <v>48</v>
      </c>
      <c r="M156" s="33" t="n">
        <f>1009</f>
        <v>1009.0</v>
      </c>
      <c r="N156" s="34" t="s">
        <v>49</v>
      </c>
      <c r="O156" s="33" t="n">
        <f>968</f>
        <v>968.0</v>
      </c>
      <c r="P156" s="34" t="s">
        <v>50</v>
      </c>
      <c r="Q156" s="33" t="n">
        <f>976</f>
        <v>976.0</v>
      </c>
      <c r="R156" s="34" t="s">
        <v>51</v>
      </c>
      <c r="S156" s="35" t="n">
        <f>991.74</f>
        <v>991.74</v>
      </c>
      <c r="T156" s="32" t="n">
        <f>306920</f>
        <v>306920.0</v>
      </c>
      <c r="U156" s="32" t="str">
        <f>"－"</f>
        <v>－</v>
      </c>
      <c r="V156" s="32" t="n">
        <f>304783240</f>
        <v>3.0478324E8</v>
      </c>
      <c r="W156" s="32" t="str">
        <f>"－"</f>
        <v>－</v>
      </c>
      <c r="X156" s="36" t="n">
        <f>19</f>
        <v>19.0</v>
      </c>
    </row>
    <row r="157">
      <c r="A157" s="27" t="s">
        <v>42</v>
      </c>
      <c r="B157" s="27" t="s">
        <v>514</v>
      </c>
      <c r="C157" s="27" t="s">
        <v>515</v>
      </c>
      <c r="D157" s="27" t="s">
        <v>516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2116</f>
        <v>2116.0</v>
      </c>
      <c r="L157" s="34" t="s">
        <v>100</v>
      </c>
      <c r="M157" s="33" t="n">
        <f>2140</f>
        <v>2140.0</v>
      </c>
      <c r="N157" s="34" t="s">
        <v>90</v>
      </c>
      <c r="O157" s="33" t="n">
        <f>2067</f>
        <v>2067.0</v>
      </c>
      <c r="P157" s="34" t="s">
        <v>50</v>
      </c>
      <c r="Q157" s="33" t="n">
        <f>2067</f>
        <v>2067.0</v>
      </c>
      <c r="R157" s="34" t="s">
        <v>50</v>
      </c>
      <c r="S157" s="35" t="n">
        <f>2120.45</f>
        <v>2120.45</v>
      </c>
      <c r="T157" s="32" t="n">
        <f>6000</f>
        <v>6000.0</v>
      </c>
      <c r="U157" s="32" t="str">
        <f>"－"</f>
        <v>－</v>
      </c>
      <c r="V157" s="32" t="n">
        <f>12792900</f>
        <v>1.27929E7</v>
      </c>
      <c r="W157" s="32" t="str">
        <f>"－"</f>
        <v>－</v>
      </c>
      <c r="X157" s="36" t="n">
        <f>11</f>
        <v>11.0</v>
      </c>
    </row>
    <row r="158">
      <c r="A158" s="27" t="s">
        <v>42</v>
      </c>
      <c r="B158" s="27" t="s">
        <v>517</v>
      </c>
      <c r="C158" s="27" t="s">
        <v>518</v>
      </c>
      <c r="D158" s="27" t="s">
        <v>519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2137</f>
        <v>2137.0</v>
      </c>
      <c r="L158" s="34" t="s">
        <v>48</v>
      </c>
      <c r="M158" s="33" t="n">
        <f>2181</f>
        <v>2181.0</v>
      </c>
      <c r="N158" s="34" t="s">
        <v>49</v>
      </c>
      <c r="O158" s="33" t="n">
        <f>2116</f>
        <v>2116.0</v>
      </c>
      <c r="P158" s="34" t="s">
        <v>65</v>
      </c>
      <c r="Q158" s="33" t="n">
        <f>2124</f>
        <v>2124.0</v>
      </c>
      <c r="R158" s="34" t="s">
        <v>51</v>
      </c>
      <c r="S158" s="35" t="n">
        <f>2151.53</f>
        <v>2151.53</v>
      </c>
      <c r="T158" s="32" t="n">
        <f>31690</f>
        <v>31690.0</v>
      </c>
      <c r="U158" s="32" t="str">
        <f>"－"</f>
        <v>－</v>
      </c>
      <c r="V158" s="32" t="n">
        <f>68026480</f>
        <v>6.802648E7</v>
      </c>
      <c r="W158" s="32" t="str">
        <f>"－"</f>
        <v>－</v>
      </c>
      <c r="X158" s="36" t="n">
        <f>17</f>
        <v>17.0</v>
      </c>
    </row>
    <row r="159">
      <c r="A159" s="27" t="s">
        <v>42</v>
      </c>
      <c r="B159" s="27" t="s">
        <v>520</v>
      </c>
      <c r="C159" s="27" t="s">
        <v>521</v>
      </c>
      <c r="D159" s="27" t="s">
        <v>522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1298</f>
        <v>1298.0</v>
      </c>
      <c r="L159" s="34" t="s">
        <v>48</v>
      </c>
      <c r="M159" s="33" t="n">
        <f>1323</f>
        <v>1323.0</v>
      </c>
      <c r="N159" s="34" t="s">
        <v>49</v>
      </c>
      <c r="O159" s="33" t="n">
        <f>1274</f>
        <v>1274.0</v>
      </c>
      <c r="P159" s="34" t="s">
        <v>50</v>
      </c>
      <c r="Q159" s="33" t="n">
        <f>1294</f>
        <v>1294.0</v>
      </c>
      <c r="R159" s="34" t="s">
        <v>51</v>
      </c>
      <c r="S159" s="35" t="n">
        <f>1302.33</f>
        <v>1302.33</v>
      </c>
      <c r="T159" s="32" t="n">
        <f>49510</f>
        <v>49510.0</v>
      </c>
      <c r="U159" s="32" t="str">
        <f>"－"</f>
        <v>－</v>
      </c>
      <c r="V159" s="32" t="n">
        <f>64540750</f>
        <v>6.454075E7</v>
      </c>
      <c r="W159" s="32" t="str">
        <f>"－"</f>
        <v>－</v>
      </c>
      <c r="X159" s="36" t="n">
        <f>15</f>
        <v>15.0</v>
      </c>
    </row>
    <row r="160">
      <c r="A160" s="27" t="s">
        <v>42</v>
      </c>
      <c r="B160" s="27" t="s">
        <v>523</v>
      </c>
      <c r="C160" s="27" t="s">
        <v>524</v>
      </c>
      <c r="D160" s="27" t="s">
        <v>525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2494</f>
        <v>2494.0</v>
      </c>
      <c r="L160" s="34" t="s">
        <v>48</v>
      </c>
      <c r="M160" s="33" t="n">
        <f>2632</f>
        <v>2632.0</v>
      </c>
      <c r="N160" s="34" t="s">
        <v>309</v>
      </c>
      <c r="O160" s="33" t="n">
        <f>2455</f>
        <v>2455.0</v>
      </c>
      <c r="P160" s="34" t="s">
        <v>65</v>
      </c>
      <c r="Q160" s="33" t="n">
        <f>2573</f>
        <v>2573.0</v>
      </c>
      <c r="R160" s="34" t="s">
        <v>51</v>
      </c>
      <c r="S160" s="35" t="n">
        <f>2576.53</f>
        <v>2576.53</v>
      </c>
      <c r="T160" s="32" t="n">
        <f>968080</f>
        <v>968080.0</v>
      </c>
      <c r="U160" s="32" t="n">
        <f>237032</f>
        <v>237032.0</v>
      </c>
      <c r="V160" s="32" t="n">
        <f>2494414382</f>
        <v>2.494414382E9</v>
      </c>
      <c r="W160" s="32" t="n">
        <f>612862380</f>
        <v>6.1286238E8</v>
      </c>
      <c r="X160" s="36" t="n">
        <f>19</f>
        <v>19.0</v>
      </c>
    </row>
    <row r="161">
      <c r="A161" s="27" t="s">
        <v>42</v>
      </c>
      <c r="B161" s="27" t="s">
        <v>526</v>
      </c>
      <c r="C161" s="27" t="s">
        <v>527</v>
      </c>
      <c r="D161" s="27" t="s">
        <v>528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2530</f>
        <v>2530.0</v>
      </c>
      <c r="L161" s="34" t="s">
        <v>48</v>
      </c>
      <c r="M161" s="33" t="n">
        <f>2580</f>
        <v>2580.0</v>
      </c>
      <c r="N161" s="34" t="s">
        <v>50</v>
      </c>
      <c r="O161" s="33" t="n">
        <f>2522</f>
        <v>2522.0</v>
      </c>
      <c r="P161" s="34" t="s">
        <v>65</v>
      </c>
      <c r="Q161" s="33" t="n">
        <f>2580</f>
        <v>2580.0</v>
      </c>
      <c r="R161" s="34" t="s">
        <v>51</v>
      </c>
      <c r="S161" s="35" t="n">
        <f>2550.37</f>
        <v>2550.37</v>
      </c>
      <c r="T161" s="32" t="n">
        <f>414696</f>
        <v>414696.0</v>
      </c>
      <c r="U161" s="32" t="n">
        <f>378000</f>
        <v>378000.0</v>
      </c>
      <c r="V161" s="32" t="n">
        <f>1055073276</f>
        <v>1.055073276E9</v>
      </c>
      <c r="W161" s="32" t="n">
        <f>961493330</f>
        <v>9.6149333E8</v>
      </c>
      <c r="X161" s="36" t="n">
        <f>19</f>
        <v>19.0</v>
      </c>
    </row>
    <row r="162">
      <c r="A162" s="27" t="s">
        <v>42</v>
      </c>
      <c r="B162" s="27" t="s">
        <v>529</v>
      </c>
      <c r="C162" s="27" t="s">
        <v>530</v>
      </c>
      <c r="D162" s="27" t="s">
        <v>531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2324</f>
        <v>2324.0</v>
      </c>
      <c r="L162" s="34" t="s">
        <v>48</v>
      </c>
      <c r="M162" s="33" t="n">
        <f>2450</f>
        <v>2450.0</v>
      </c>
      <c r="N162" s="34" t="s">
        <v>49</v>
      </c>
      <c r="O162" s="33" t="n">
        <f>2291</f>
        <v>2291.0</v>
      </c>
      <c r="P162" s="34" t="s">
        <v>65</v>
      </c>
      <c r="Q162" s="33" t="n">
        <f>2390</f>
        <v>2390.0</v>
      </c>
      <c r="R162" s="34" t="s">
        <v>51</v>
      </c>
      <c r="S162" s="35" t="n">
        <f>2392.68</f>
        <v>2392.68</v>
      </c>
      <c r="T162" s="32" t="n">
        <f>533019</f>
        <v>533019.0</v>
      </c>
      <c r="U162" s="32" t="n">
        <f>424000</f>
        <v>424000.0</v>
      </c>
      <c r="V162" s="32" t="n">
        <f>1269520041</f>
        <v>1.269520041E9</v>
      </c>
      <c r="W162" s="32" t="n">
        <f>1008754050</f>
        <v>1.00875405E9</v>
      </c>
      <c r="X162" s="36" t="n">
        <f>19</f>
        <v>19.0</v>
      </c>
    </row>
    <row r="163">
      <c r="A163" s="27" t="s">
        <v>42</v>
      </c>
      <c r="B163" s="27" t="s">
        <v>532</v>
      </c>
      <c r="C163" s="27" t="s">
        <v>533</v>
      </c>
      <c r="D163" s="27" t="s">
        <v>534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2008</f>
        <v>2008.0</v>
      </c>
      <c r="L163" s="34" t="s">
        <v>48</v>
      </c>
      <c r="M163" s="33" t="n">
        <f>2092</f>
        <v>2092.0</v>
      </c>
      <c r="N163" s="34" t="s">
        <v>90</v>
      </c>
      <c r="O163" s="33" t="n">
        <f>1923</f>
        <v>1923.0</v>
      </c>
      <c r="P163" s="34" t="s">
        <v>50</v>
      </c>
      <c r="Q163" s="33" t="n">
        <f>1928</f>
        <v>1928.0</v>
      </c>
      <c r="R163" s="34" t="s">
        <v>51</v>
      </c>
      <c r="S163" s="35" t="n">
        <f>2015.32</f>
        <v>2015.32</v>
      </c>
      <c r="T163" s="32" t="n">
        <f>345812</f>
        <v>345812.0</v>
      </c>
      <c r="U163" s="32" t="n">
        <f>200000</f>
        <v>200000.0</v>
      </c>
      <c r="V163" s="32" t="n">
        <f>692498635</f>
        <v>6.92498635E8</v>
      </c>
      <c r="W163" s="32" t="n">
        <f>399840000</f>
        <v>3.9984E8</v>
      </c>
      <c r="X163" s="36" t="n">
        <f>19</f>
        <v>19.0</v>
      </c>
    </row>
    <row r="164">
      <c r="A164" s="27" t="s">
        <v>42</v>
      </c>
      <c r="B164" s="27" t="s">
        <v>535</v>
      </c>
      <c r="C164" s="27" t="s">
        <v>536</v>
      </c>
      <c r="D164" s="27" t="s">
        <v>537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2195</f>
        <v>2195.0</v>
      </c>
      <c r="L164" s="34" t="s">
        <v>48</v>
      </c>
      <c r="M164" s="33" t="n">
        <f>2319</f>
        <v>2319.0</v>
      </c>
      <c r="N164" s="34" t="s">
        <v>309</v>
      </c>
      <c r="O164" s="33" t="n">
        <f>2168</f>
        <v>2168.0</v>
      </c>
      <c r="P164" s="34" t="s">
        <v>65</v>
      </c>
      <c r="Q164" s="33" t="n">
        <f>2278</f>
        <v>2278.0</v>
      </c>
      <c r="R164" s="34" t="s">
        <v>51</v>
      </c>
      <c r="S164" s="35" t="n">
        <f>2259.63</f>
        <v>2259.63</v>
      </c>
      <c r="T164" s="32" t="n">
        <f>211365</f>
        <v>211365.0</v>
      </c>
      <c r="U164" s="32" t="n">
        <f>58300</f>
        <v>58300.0</v>
      </c>
      <c r="V164" s="32" t="n">
        <f>480587757</f>
        <v>4.80587757E8</v>
      </c>
      <c r="W164" s="32" t="n">
        <f>133536240</f>
        <v>1.3353624E8</v>
      </c>
      <c r="X164" s="36" t="n">
        <f>19</f>
        <v>19.0</v>
      </c>
    </row>
    <row r="165">
      <c r="A165" s="27" t="s">
        <v>42</v>
      </c>
      <c r="B165" s="27" t="s">
        <v>538</v>
      </c>
      <c r="C165" s="27" t="s">
        <v>539</v>
      </c>
      <c r="D165" s="27" t="s">
        <v>540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11560</f>
        <v>11560.0</v>
      </c>
      <c r="L165" s="34" t="s">
        <v>48</v>
      </c>
      <c r="M165" s="33" t="n">
        <f>11680</f>
        <v>11680.0</v>
      </c>
      <c r="N165" s="34" t="s">
        <v>51</v>
      </c>
      <c r="O165" s="33" t="n">
        <f>11240</f>
        <v>11240.0</v>
      </c>
      <c r="P165" s="34" t="s">
        <v>119</v>
      </c>
      <c r="Q165" s="33" t="n">
        <f>11630</f>
        <v>11630.0</v>
      </c>
      <c r="R165" s="34" t="s">
        <v>51</v>
      </c>
      <c r="S165" s="35" t="n">
        <f>11448.42</f>
        <v>11448.42</v>
      </c>
      <c r="T165" s="32" t="n">
        <f>23908</f>
        <v>23908.0</v>
      </c>
      <c r="U165" s="32" t="n">
        <f>4000</f>
        <v>4000.0</v>
      </c>
      <c r="V165" s="32" t="n">
        <f>274279140</f>
        <v>2.7427914E8</v>
      </c>
      <c r="W165" s="32" t="n">
        <f>45696720</f>
        <v>4.569672E7</v>
      </c>
      <c r="X165" s="36" t="n">
        <f>19</f>
        <v>19.0</v>
      </c>
    </row>
    <row r="166">
      <c r="A166" s="27" t="s">
        <v>42</v>
      </c>
      <c r="B166" s="27" t="s">
        <v>541</v>
      </c>
      <c r="C166" s="27" t="s">
        <v>542</v>
      </c>
      <c r="D166" s="27" t="s">
        <v>543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100.0</v>
      </c>
      <c r="K166" s="33" t="n">
        <f>136</f>
        <v>136.0</v>
      </c>
      <c r="L166" s="34" t="s">
        <v>48</v>
      </c>
      <c r="M166" s="33" t="n">
        <f>140</f>
        <v>140.0</v>
      </c>
      <c r="N166" s="34" t="s">
        <v>90</v>
      </c>
      <c r="O166" s="33" t="n">
        <f>133</f>
        <v>133.0</v>
      </c>
      <c r="P166" s="34" t="s">
        <v>50</v>
      </c>
      <c r="Q166" s="33" t="n">
        <f>138</f>
        <v>138.0</v>
      </c>
      <c r="R166" s="34" t="s">
        <v>51</v>
      </c>
      <c r="S166" s="35" t="n">
        <f>136.69</f>
        <v>136.69</v>
      </c>
      <c r="T166" s="32" t="n">
        <f>13900</f>
        <v>13900.0</v>
      </c>
      <c r="U166" s="32" t="str">
        <f>"－"</f>
        <v>－</v>
      </c>
      <c r="V166" s="32" t="n">
        <f>1918800</f>
        <v>1918800.0</v>
      </c>
      <c r="W166" s="32" t="str">
        <f>"－"</f>
        <v>－</v>
      </c>
      <c r="X166" s="36" t="n">
        <f>16</f>
        <v>16.0</v>
      </c>
    </row>
    <row r="167">
      <c r="A167" s="27" t="s">
        <v>42</v>
      </c>
      <c r="B167" s="27" t="s">
        <v>544</v>
      </c>
      <c r="C167" s="27" t="s">
        <v>545</v>
      </c>
      <c r="D167" s="27" t="s">
        <v>546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2749</f>
        <v>2749.0</v>
      </c>
      <c r="L167" s="34" t="s">
        <v>48</v>
      </c>
      <c r="M167" s="33" t="n">
        <f>2822</f>
        <v>2822.0</v>
      </c>
      <c r="N167" s="34" t="s">
        <v>65</v>
      </c>
      <c r="O167" s="33" t="n">
        <f>2303</f>
        <v>2303.0</v>
      </c>
      <c r="P167" s="34" t="s">
        <v>91</v>
      </c>
      <c r="Q167" s="33" t="n">
        <f>2331</f>
        <v>2331.0</v>
      </c>
      <c r="R167" s="34" t="s">
        <v>51</v>
      </c>
      <c r="S167" s="35" t="n">
        <f>2527.32</f>
        <v>2527.32</v>
      </c>
      <c r="T167" s="32" t="n">
        <f>1861301</f>
        <v>1861301.0</v>
      </c>
      <c r="U167" s="32" t="n">
        <f>10144</f>
        <v>10144.0</v>
      </c>
      <c r="V167" s="32" t="n">
        <f>4789595059</f>
        <v>4.789595059E9</v>
      </c>
      <c r="W167" s="32" t="n">
        <f>27244093</f>
        <v>2.7244093E7</v>
      </c>
      <c r="X167" s="36" t="n">
        <f>19</f>
        <v>19.0</v>
      </c>
    </row>
    <row r="168">
      <c r="A168" s="27" t="s">
        <v>42</v>
      </c>
      <c r="B168" s="27" t="s">
        <v>547</v>
      </c>
      <c r="C168" s="27" t="s">
        <v>548</v>
      </c>
      <c r="D168" s="27" t="s">
        <v>549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15800</f>
        <v>15800.0</v>
      </c>
      <c r="L168" s="34" t="s">
        <v>48</v>
      </c>
      <c r="M168" s="33" t="n">
        <f>16200</f>
        <v>16200.0</v>
      </c>
      <c r="N168" s="34" t="s">
        <v>51</v>
      </c>
      <c r="O168" s="33" t="n">
        <f>15420</f>
        <v>15420.0</v>
      </c>
      <c r="P168" s="34" t="s">
        <v>61</v>
      </c>
      <c r="Q168" s="33" t="n">
        <f>16200</f>
        <v>16200.0</v>
      </c>
      <c r="R168" s="34" t="s">
        <v>51</v>
      </c>
      <c r="S168" s="35" t="n">
        <f>15944.21</f>
        <v>15944.21</v>
      </c>
      <c r="T168" s="32" t="n">
        <f>2270</f>
        <v>2270.0</v>
      </c>
      <c r="U168" s="32" t="str">
        <f>"－"</f>
        <v>－</v>
      </c>
      <c r="V168" s="32" t="n">
        <f>36053060</f>
        <v>3.605306E7</v>
      </c>
      <c r="W168" s="32" t="str">
        <f>"－"</f>
        <v>－</v>
      </c>
      <c r="X168" s="36" t="n">
        <f>19</f>
        <v>19.0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1710</f>
        <v>1710.0</v>
      </c>
      <c r="L169" s="34" t="s">
        <v>48</v>
      </c>
      <c r="M169" s="33" t="n">
        <f>1800</f>
        <v>1800.0</v>
      </c>
      <c r="N169" s="34" t="s">
        <v>61</v>
      </c>
      <c r="O169" s="33" t="n">
        <f>1590</f>
        <v>1590.0</v>
      </c>
      <c r="P169" s="34" t="s">
        <v>50</v>
      </c>
      <c r="Q169" s="33" t="n">
        <f>1600</f>
        <v>1600.0</v>
      </c>
      <c r="R169" s="34" t="s">
        <v>51</v>
      </c>
      <c r="S169" s="35" t="n">
        <f>1657.45</f>
        <v>1657.45</v>
      </c>
      <c r="T169" s="32" t="n">
        <f>930</f>
        <v>930.0</v>
      </c>
      <c r="U169" s="32" t="str">
        <f>"－"</f>
        <v>－</v>
      </c>
      <c r="V169" s="32" t="n">
        <f>1535170</f>
        <v>1535170.0</v>
      </c>
      <c r="W169" s="32" t="str">
        <f>"－"</f>
        <v>－</v>
      </c>
      <c r="X169" s="36" t="n">
        <f>11</f>
        <v>11.0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9470</f>
        <v>9470.0</v>
      </c>
      <c r="L170" s="34" t="s">
        <v>48</v>
      </c>
      <c r="M170" s="33" t="n">
        <f>10840</f>
        <v>10840.0</v>
      </c>
      <c r="N170" s="34" t="s">
        <v>91</v>
      </c>
      <c r="O170" s="33" t="n">
        <f>9330</f>
        <v>9330.0</v>
      </c>
      <c r="P170" s="34" t="s">
        <v>48</v>
      </c>
      <c r="Q170" s="33" t="n">
        <f>9790</f>
        <v>9790.0</v>
      </c>
      <c r="R170" s="34" t="s">
        <v>51</v>
      </c>
      <c r="S170" s="35" t="n">
        <f>10008.67</f>
        <v>10008.67</v>
      </c>
      <c r="T170" s="32" t="n">
        <f>1805</f>
        <v>1805.0</v>
      </c>
      <c r="U170" s="32" t="str">
        <f>"－"</f>
        <v>－</v>
      </c>
      <c r="V170" s="32" t="n">
        <f>18023810</f>
        <v>1.802381E7</v>
      </c>
      <c r="W170" s="32" t="str">
        <f>"－"</f>
        <v>－</v>
      </c>
      <c r="X170" s="36" t="n">
        <f>15</f>
        <v>15.0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21830</f>
        <v>21830.0</v>
      </c>
      <c r="L171" s="34" t="s">
        <v>100</v>
      </c>
      <c r="M171" s="33" t="n">
        <f>38350</f>
        <v>38350.0</v>
      </c>
      <c r="N171" s="34" t="s">
        <v>99</v>
      </c>
      <c r="O171" s="33" t="n">
        <f>17610</f>
        <v>17610.0</v>
      </c>
      <c r="P171" s="34" t="s">
        <v>61</v>
      </c>
      <c r="Q171" s="33" t="n">
        <f>28330</f>
        <v>28330.0</v>
      </c>
      <c r="R171" s="34" t="s">
        <v>51</v>
      </c>
      <c r="S171" s="35" t="n">
        <f>25521.67</f>
        <v>25521.67</v>
      </c>
      <c r="T171" s="32" t="n">
        <f>726</f>
        <v>726.0</v>
      </c>
      <c r="U171" s="32" t="str">
        <f>"－"</f>
        <v>－</v>
      </c>
      <c r="V171" s="32" t="n">
        <f>20973800</f>
        <v>2.09738E7</v>
      </c>
      <c r="W171" s="32" t="str">
        <f>"－"</f>
        <v>－</v>
      </c>
      <c r="X171" s="36" t="n">
        <f>18</f>
        <v>18.0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1.0</v>
      </c>
      <c r="K172" s="33" t="n">
        <f>13200</f>
        <v>13200.0</v>
      </c>
      <c r="L172" s="34" t="s">
        <v>119</v>
      </c>
      <c r="M172" s="33" t="n">
        <f>15230</f>
        <v>15230.0</v>
      </c>
      <c r="N172" s="34" t="s">
        <v>99</v>
      </c>
      <c r="O172" s="33" t="n">
        <f>11760</f>
        <v>11760.0</v>
      </c>
      <c r="P172" s="34" t="s">
        <v>50</v>
      </c>
      <c r="Q172" s="33" t="n">
        <f>11760</f>
        <v>11760.0</v>
      </c>
      <c r="R172" s="34" t="s">
        <v>50</v>
      </c>
      <c r="S172" s="35" t="n">
        <f>13874.29</f>
        <v>13874.29</v>
      </c>
      <c r="T172" s="32" t="n">
        <f>25</f>
        <v>25.0</v>
      </c>
      <c r="U172" s="32" t="str">
        <f>"－"</f>
        <v>－</v>
      </c>
      <c r="V172" s="32" t="n">
        <f>346900</f>
        <v>346900.0</v>
      </c>
      <c r="W172" s="32" t="str">
        <f>"－"</f>
        <v>－</v>
      </c>
      <c r="X172" s="36" t="n">
        <f>7</f>
        <v>7.0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50100</f>
        <v>50100.0</v>
      </c>
      <c r="L173" s="34" t="s">
        <v>48</v>
      </c>
      <c r="M173" s="33" t="n">
        <f>50600</f>
        <v>50600.0</v>
      </c>
      <c r="N173" s="34" t="s">
        <v>79</v>
      </c>
      <c r="O173" s="33" t="n">
        <f>49950</f>
        <v>49950.0</v>
      </c>
      <c r="P173" s="34" t="s">
        <v>48</v>
      </c>
      <c r="Q173" s="33" t="n">
        <f>50500</f>
        <v>50500.0</v>
      </c>
      <c r="R173" s="34" t="s">
        <v>51</v>
      </c>
      <c r="S173" s="35" t="n">
        <f>50300</f>
        <v>50300.0</v>
      </c>
      <c r="T173" s="32" t="n">
        <f>22110</f>
        <v>22110.0</v>
      </c>
      <c r="U173" s="32" t="n">
        <f>15500</f>
        <v>15500.0</v>
      </c>
      <c r="V173" s="32" t="n">
        <f>1111378200</f>
        <v>1.1113782E9</v>
      </c>
      <c r="W173" s="32" t="n">
        <f>779090700</f>
        <v>7.790907E8</v>
      </c>
      <c r="X173" s="36" t="n">
        <f>19</f>
        <v>19.0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162</f>
        <v>162.0</v>
      </c>
      <c r="L174" s="34" t="s">
        <v>48</v>
      </c>
      <c r="M174" s="33" t="n">
        <f>169</f>
        <v>169.0</v>
      </c>
      <c r="N174" s="34" t="s">
        <v>79</v>
      </c>
      <c r="O174" s="33" t="n">
        <f>158</f>
        <v>158.0</v>
      </c>
      <c r="P174" s="34" t="s">
        <v>65</v>
      </c>
      <c r="Q174" s="33" t="n">
        <f>163</f>
        <v>163.0</v>
      </c>
      <c r="R174" s="34" t="s">
        <v>51</v>
      </c>
      <c r="S174" s="35" t="n">
        <f>163.89</f>
        <v>163.89</v>
      </c>
      <c r="T174" s="32" t="n">
        <f>2531200</f>
        <v>2531200.0</v>
      </c>
      <c r="U174" s="32" t="n">
        <f>11200</f>
        <v>11200.0</v>
      </c>
      <c r="V174" s="32" t="n">
        <f>416656361</f>
        <v>4.16656361E8</v>
      </c>
      <c r="W174" s="32" t="n">
        <f>1849361</f>
        <v>1849361.0</v>
      </c>
      <c r="X174" s="36" t="n">
        <f>19</f>
        <v>19.0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27640</f>
        <v>27640.0</v>
      </c>
      <c r="L175" s="34" t="s">
        <v>48</v>
      </c>
      <c r="M175" s="33" t="n">
        <f>29050</f>
        <v>29050.0</v>
      </c>
      <c r="N175" s="34" t="s">
        <v>49</v>
      </c>
      <c r="O175" s="33" t="n">
        <f>27200</f>
        <v>27200.0</v>
      </c>
      <c r="P175" s="34" t="s">
        <v>65</v>
      </c>
      <c r="Q175" s="33" t="n">
        <f>28340</f>
        <v>28340.0</v>
      </c>
      <c r="R175" s="34" t="s">
        <v>51</v>
      </c>
      <c r="S175" s="35" t="n">
        <f>28345.26</f>
        <v>28345.26</v>
      </c>
      <c r="T175" s="32" t="n">
        <f>2960</f>
        <v>2960.0</v>
      </c>
      <c r="U175" s="32" t="str">
        <f>"－"</f>
        <v>－</v>
      </c>
      <c r="V175" s="32" t="n">
        <f>83686900</f>
        <v>8.36869E7</v>
      </c>
      <c r="W175" s="32" t="str">
        <f>"－"</f>
        <v>－</v>
      </c>
      <c r="X175" s="36" t="n">
        <f>19</f>
        <v>19.0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2666</f>
        <v>2666.0</v>
      </c>
      <c r="L176" s="34" t="s">
        <v>48</v>
      </c>
      <c r="M176" s="33" t="n">
        <f>2780</f>
        <v>2780.0</v>
      </c>
      <c r="N176" s="34" t="s">
        <v>90</v>
      </c>
      <c r="O176" s="33" t="n">
        <f>2630</f>
        <v>2630.0</v>
      </c>
      <c r="P176" s="34" t="s">
        <v>65</v>
      </c>
      <c r="Q176" s="33" t="n">
        <f>2674</f>
        <v>2674.0</v>
      </c>
      <c r="R176" s="34" t="s">
        <v>51</v>
      </c>
      <c r="S176" s="35" t="n">
        <f>2707.95</f>
        <v>2707.95</v>
      </c>
      <c r="T176" s="32" t="n">
        <f>202890</f>
        <v>202890.0</v>
      </c>
      <c r="U176" s="32" t="n">
        <f>113000</f>
        <v>113000.0</v>
      </c>
      <c r="V176" s="32" t="n">
        <f>549718670</f>
        <v>5.4971867E8</v>
      </c>
      <c r="W176" s="32" t="n">
        <f>306516400</f>
        <v>3.065164E8</v>
      </c>
      <c r="X176" s="36" t="n">
        <f>19</f>
        <v>19.0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1506</f>
        <v>1506.0</v>
      </c>
      <c r="L177" s="34" t="s">
        <v>48</v>
      </c>
      <c r="M177" s="33" t="n">
        <f>1585</f>
        <v>1585.0</v>
      </c>
      <c r="N177" s="34" t="s">
        <v>90</v>
      </c>
      <c r="O177" s="33" t="n">
        <f>1445</f>
        <v>1445.0</v>
      </c>
      <c r="P177" s="34" t="s">
        <v>51</v>
      </c>
      <c r="Q177" s="33" t="n">
        <f>1449</f>
        <v>1449.0</v>
      </c>
      <c r="R177" s="34" t="s">
        <v>51</v>
      </c>
      <c r="S177" s="35" t="n">
        <f>1514.79</f>
        <v>1514.79</v>
      </c>
      <c r="T177" s="32" t="n">
        <f>104100</f>
        <v>104100.0</v>
      </c>
      <c r="U177" s="32" t="str">
        <f>"－"</f>
        <v>－</v>
      </c>
      <c r="V177" s="32" t="n">
        <f>158900790</f>
        <v>1.5890079E8</v>
      </c>
      <c r="W177" s="32" t="str">
        <f>"－"</f>
        <v>－</v>
      </c>
      <c r="X177" s="36" t="n">
        <f>19</f>
        <v>19.0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160</f>
        <v>160.0</v>
      </c>
      <c r="L178" s="34" t="s">
        <v>48</v>
      </c>
      <c r="M178" s="33" t="n">
        <f>195</f>
        <v>195.0</v>
      </c>
      <c r="N178" s="34" t="s">
        <v>79</v>
      </c>
      <c r="O178" s="33" t="n">
        <f>158</f>
        <v>158.0</v>
      </c>
      <c r="P178" s="34" t="s">
        <v>119</v>
      </c>
      <c r="Q178" s="33" t="n">
        <f>178</f>
        <v>178.0</v>
      </c>
      <c r="R178" s="34" t="s">
        <v>51</v>
      </c>
      <c r="S178" s="35" t="n">
        <f>175</f>
        <v>175.0</v>
      </c>
      <c r="T178" s="32" t="n">
        <f>505200</f>
        <v>505200.0</v>
      </c>
      <c r="U178" s="32" t="str">
        <f>"－"</f>
        <v>－</v>
      </c>
      <c r="V178" s="32" t="n">
        <f>91661500</f>
        <v>9.16615E7</v>
      </c>
      <c r="W178" s="32" t="str">
        <f>"－"</f>
        <v>－</v>
      </c>
      <c r="X178" s="36" t="n">
        <f>19</f>
        <v>19.0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4240</f>
        <v>4240.0</v>
      </c>
      <c r="L179" s="34" t="s">
        <v>48</v>
      </c>
      <c r="M179" s="33" t="n">
        <f>4450</f>
        <v>4450.0</v>
      </c>
      <c r="N179" s="34" t="s">
        <v>65</v>
      </c>
      <c r="O179" s="33" t="n">
        <f>4145</f>
        <v>4145.0</v>
      </c>
      <c r="P179" s="34" t="s">
        <v>48</v>
      </c>
      <c r="Q179" s="33" t="n">
        <f>4240</f>
        <v>4240.0</v>
      </c>
      <c r="R179" s="34" t="s">
        <v>50</v>
      </c>
      <c r="S179" s="35" t="n">
        <f>4333.75</f>
        <v>4333.75</v>
      </c>
      <c r="T179" s="32" t="n">
        <f>2450</f>
        <v>2450.0</v>
      </c>
      <c r="U179" s="32" t="str">
        <f>"－"</f>
        <v>－</v>
      </c>
      <c r="V179" s="32" t="n">
        <f>10497000</f>
        <v>1.0497E7</v>
      </c>
      <c r="W179" s="32" t="str">
        <f>"－"</f>
        <v>－</v>
      </c>
      <c r="X179" s="36" t="n">
        <f>16</f>
        <v>16.0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818</f>
        <v>818.0</v>
      </c>
      <c r="L180" s="34" t="s">
        <v>61</v>
      </c>
      <c r="M180" s="33" t="n">
        <f>1064</f>
        <v>1064.0</v>
      </c>
      <c r="N180" s="34" t="s">
        <v>86</v>
      </c>
      <c r="O180" s="33" t="n">
        <f>818</f>
        <v>818.0</v>
      </c>
      <c r="P180" s="34" t="s">
        <v>61</v>
      </c>
      <c r="Q180" s="33" t="n">
        <f>835</f>
        <v>835.0</v>
      </c>
      <c r="R180" s="34" t="s">
        <v>175</v>
      </c>
      <c r="S180" s="35" t="n">
        <f>872.29</f>
        <v>872.29</v>
      </c>
      <c r="T180" s="32" t="n">
        <f>760</f>
        <v>760.0</v>
      </c>
      <c r="U180" s="32" t="n">
        <f>50</f>
        <v>50.0</v>
      </c>
      <c r="V180" s="32" t="n">
        <f>663390</f>
        <v>663390.0</v>
      </c>
      <c r="W180" s="32" t="n">
        <f>53200</f>
        <v>53200.0</v>
      </c>
      <c r="X180" s="36" t="n">
        <f>7</f>
        <v>7.0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376</f>
        <v>376.0</v>
      </c>
      <c r="L181" s="34" t="s">
        <v>100</v>
      </c>
      <c r="M181" s="33" t="n">
        <f>403</f>
        <v>403.0</v>
      </c>
      <c r="N181" s="34" t="s">
        <v>61</v>
      </c>
      <c r="O181" s="33" t="n">
        <f>349</f>
        <v>349.0</v>
      </c>
      <c r="P181" s="34" t="s">
        <v>99</v>
      </c>
      <c r="Q181" s="33" t="n">
        <f>349</f>
        <v>349.0</v>
      </c>
      <c r="R181" s="34" t="s">
        <v>99</v>
      </c>
      <c r="S181" s="35" t="n">
        <f>390.4</f>
        <v>390.4</v>
      </c>
      <c r="T181" s="32" t="n">
        <f>370</f>
        <v>370.0</v>
      </c>
      <c r="U181" s="32" t="str">
        <f>"－"</f>
        <v>－</v>
      </c>
      <c r="V181" s="32" t="n">
        <f>140840</f>
        <v>140840.0</v>
      </c>
      <c r="W181" s="32" t="str">
        <f>"－"</f>
        <v>－</v>
      </c>
      <c r="X181" s="36" t="n">
        <f>5</f>
        <v>5.0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1293</f>
        <v>1293.0</v>
      </c>
      <c r="L182" s="34" t="s">
        <v>61</v>
      </c>
      <c r="M182" s="33" t="n">
        <f>1302</f>
        <v>1302.0</v>
      </c>
      <c r="N182" s="34" t="s">
        <v>79</v>
      </c>
      <c r="O182" s="33" t="n">
        <f>975</f>
        <v>975.0</v>
      </c>
      <c r="P182" s="34" t="s">
        <v>50</v>
      </c>
      <c r="Q182" s="33" t="n">
        <f>979</f>
        <v>979.0</v>
      </c>
      <c r="R182" s="34" t="s">
        <v>51</v>
      </c>
      <c r="S182" s="35" t="n">
        <f>1176</f>
        <v>1176.0</v>
      </c>
      <c r="T182" s="32" t="n">
        <f>170</f>
        <v>170.0</v>
      </c>
      <c r="U182" s="32" t="str">
        <f>"－"</f>
        <v>－</v>
      </c>
      <c r="V182" s="32" t="n">
        <f>187140</f>
        <v>187140.0</v>
      </c>
      <c r="W182" s="32" t="str">
        <f>"－"</f>
        <v>－</v>
      </c>
      <c r="X182" s="36" t="n">
        <f>7</f>
        <v>7.0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418</f>
        <v>418.0</v>
      </c>
      <c r="L183" s="34" t="s">
        <v>48</v>
      </c>
      <c r="M183" s="33" t="n">
        <f>447</f>
        <v>447.0</v>
      </c>
      <c r="N183" s="34" t="s">
        <v>49</v>
      </c>
      <c r="O183" s="33" t="n">
        <f>418</f>
        <v>418.0</v>
      </c>
      <c r="P183" s="34" t="s">
        <v>48</v>
      </c>
      <c r="Q183" s="33" t="n">
        <f>430</f>
        <v>430.0</v>
      </c>
      <c r="R183" s="34" t="s">
        <v>51</v>
      </c>
      <c r="S183" s="35" t="n">
        <f>436.11</f>
        <v>436.11</v>
      </c>
      <c r="T183" s="32" t="n">
        <f>1800</f>
        <v>1800.0</v>
      </c>
      <c r="U183" s="32" t="str">
        <f>"－"</f>
        <v>－</v>
      </c>
      <c r="V183" s="32" t="n">
        <f>787440</f>
        <v>787440.0</v>
      </c>
      <c r="W183" s="32" t="str">
        <f>"－"</f>
        <v>－</v>
      </c>
      <c r="X183" s="36" t="n">
        <f>19</f>
        <v>19.0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333</f>
        <v>333.0</v>
      </c>
      <c r="L184" s="34" t="s">
        <v>48</v>
      </c>
      <c r="M184" s="33" t="n">
        <f>342</f>
        <v>342.0</v>
      </c>
      <c r="N184" s="34" t="s">
        <v>95</v>
      </c>
      <c r="O184" s="33" t="n">
        <f>315</f>
        <v>315.0</v>
      </c>
      <c r="P184" s="34" t="s">
        <v>245</v>
      </c>
      <c r="Q184" s="33" t="n">
        <f>328</f>
        <v>328.0</v>
      </c>
      <c r="R184" s="34" t="s">
        <v>51</v>
      </c>
      <c r="S184" s="35" t="n">
        <f>329.71</f>
        <v>329.71</v>
      </c>
      <c r="T184" s="32" t="n">
        <f>14530</f>
        <v>14530.0</v>
      </c>
      <c r="U184" s="32" t="str">
        <f>"－"</f>
        <v>－</v>
      </c>
      <c r="V184" s="32" t="n">
        <f>4750910</f>
        <v>4750910.0</v>
      </c>
      <c r="W184" s="32" t="str">
        <f>"－"</f>
        <v>－</v>
      </c>
      <c r="X184" s="36" t="n">
        <f>17</f>
        <v>17.0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100.0</v>
      </c>
      <c r="K185" s="33" t="n">
        <f>2</f>
        <v>2.0</v>
      </c>
      <c r="L185" s="34" t="s">
        <v>48</v>
      </c>
      <c r="M185" s="33" t="n">
        <f>3</f>
        <v>3.0</v>
      </c>
      <c r="N185" s="34" t="s">
        <v>48</v>
      </c>
      <c r="O185" s="33" t="n">
        <f>1</f>
        <v>1.0</v>
      </c>
      <c r="P185" s="34" t="s">
        <v>51</v>
      </c>
      <c r="Q185" s="33" t="n">
        <f>2</f>
        <v>2.0</v>
      </c>
      <c r="R185" s="34" t="s">
        <v>51</v>
      </c>
      <c r="S185" s="35" t="n">
        <f>2.47</f>
        <v>2.47</v>
      </c>
      <c r="T185" s="32" t="n">
        <f>240677400</f>
        <v>2.406774E8</v>
      </c>
      <c r="U185" s="32" t="str">
        <f>"－"</f>
        <v>－</v>
      </c>
      <c r="V185" s="32" t="n">
        <f>554493000</f>
        <v>5.54493E8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10.0</v>
      </c>
      <c r="K186" s="33" t="n">
        <f>1000</f>
        <v>1000.0</v>
      </c>
      <c r="L186" s="34" t="s">
        <v>48</v>
      </c>
      <c r="M186" s="33" t="n">
        <f>1300</f>
        <v>1300.0</v>
      </c>
      <c r="N186" s="34" t="s">
        <v>65</v>
      </c>
      <c r="O186" s="33" t="n">
        <f>840</f>
        <v>840.0</v>
      </c>
      <c r="P186" s="34" t="s">
        <v>50</v>
      </c>
      <c r="Q186" s="33" t="n">
        <f>860</f>
        <v>860.0</v>
      </c>
      <c r="R186" s="34" t="s">
        <v>51</v>
      </c>
      <c r="S186" s="35" t="n">
        <f>963.58</f>
        <v>963.58</v>
      </c>
      <c r="T186" s="32" t="n">
        <f>48880</f>
        <v>48880.0</v>
      </c>
      <c r="U186" s="32" t="str">
        <f>"－"</f>
        <v>－</v>
      </c>
      <c r="V186" s="32" t="n">
        <f>51452350</f>
        <v>5.145235E7</v>
      </c>
      <c r="W186" s="32" t="str">
        <f>"－"</f>
        <v>－</v>
      </c>
      <c r="X186" s="36" t="n">
        <f>19</f>
        <v>19.0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1.0</v>
      </c>
      <c r="K187" s="33" t="n">
        <f>3060</f>
        <v>3060.0</v>
      </c>
      <c r="L187" s="34" t="s">
        <v>65</v>
      </c>
      <c r="M187" s="33" t="n">
        <f>3060</f>
        <v>3060.0</v>
      </c>
      <c r="N187" s="34" t="s">
        <v>65</v>
      </c>
      <c r="O187" s="33" t="n">
        <f>2631</f>
        <v>2631.0</v>
      </c>
      <c r="P187" s="34" t="s">
        <v>119</v>
      </c>
      <c r="Q187" s="33" t="n">
        <f>2762</f>
        <v>2762.0</v>
      </c>
      <c r="R187" s="34" t="s">
        <v>50</v>
      </c>
      <c r="S187" s="35" t="n">
        <f>2908.64</f>
        <v>2908.64</v>
      </c>
      <c r="T187" s="32" t="n">
        <f>72</f>
        <v>72.0</v>
      </c>
      <c r="U187" s="32" t="str">
        <f>"－"</f>
        <v>－</v>
      </c>
      <c r="V187" s="32" t="n">
        <f>202481</f>
        <v>202481.0</v>
      </c>
      <c r="W187" s="32" t="str">
        <f>"－"</f>
        <v>－</v>
      </c>
      <c r="X187" s="36" t="n">
        <f>11</f>
        <v>11.0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100.0</v>
      </c>
      <c r="K188" s="33" t="n">
        <f>297</f>
        <v>297.0</v>
      </c>
      <c r="L188" s="34" t="s">
        <v>48</v>
      </c>
      <c r="M188" s="33" t="n">
        <f>310</f>
        <v>310.0</v>
      </c>
      <c r="N188" s="34" t="s">
        <v>175</v>
      </c>
      <c r="O188" s="33" t="n">
        <f>270</f>
        <v>270.0</v>
      </c>
      <c r="P188" s="34" t="s">
        <v>50</v>
      </c>
      <c r="Q188" s="33" t="n">
        <f>278</f>
        <v>278.0</v>
      </c>
      <c r="R188" s="34" t="s">
        <v>50</v>
      </c>
      <c r="S188" s="35" t="n">
        <f>295.7</f>
        <v>295.7</v>
      </c>
      <c r="T188" s="32" t="n">
        <f>2800</f>
        <v>2800.0</v>
      </c>
      <c r="U188" s="32" t="str">
        <f>"－"</f>
        <v>－</v>
      </c>
      <c r="V188" s="32" t="n">
        <f>824700</f>
        <v>824700.0</v>
      </c>
      <c r="W188" s="32" t="str">
        <f>"－"</f>
        <v>－</v>
      </c>
      <c r="X188" s="36" t="n">
        <f>10</f>
        <v>10.0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2995</f>
        <v>2995.0</v>
      </c>
      <c r="L189" s="34" t="s">
        <v>48</v>
      </c>
      <c r="M189" s="33" t="n">
        <f>2995</f>
        <v>2995.0</v>
      </c>
      <c r="N189" s="34" t="s">
        <v>48</v>
      </c>
      <c r="O189" s="33" t="n">
        <f>2639</f>
        <v>2639.0</v>
      </c>
      <c r="P189" s="34" t="s">
        <v>91</v>
      </c>
      <c r="Q189" s="33" t="n">
        <f>2681</f>
        <v>2681.0</v>
      </c>
      <c r="R189" s="34" t="s">
        <v>51</v>
      </c>
      <c r="S189" s="35" t="n">
        <f>2777.64</f>
        <v>2777.64</v>
      </c>
      <c r="T189" s="32" t="n">
        <f>860</f>
        <v>860.0</v>
      </c>
      <c r="U189" s="32" t="str">
        <f>"－"</f>
        <v>－</v>
      </c>
      <c r="V189" s="32" t="n">
        <f>2342660</f>
        <v>2342660.0</v>
      </c>
      <c r="W189" s="32" t="str">
        <f>"－"</f>
        <v>－</v>
      </c>
      <c r="X189" s="36" t="n">
        <f>11</f>
        <v>11.0</v>
      </c>
    </row>
    <row r="190">
      <c r="A190" s="27" t="s">
        <v>42</v>
      </c>
      <c r="B190" s="27" t="s">
        <v>613</v>
      </c>
      <c r="C190" s="27" t="s">
        <v>614</v>
      </c>
      <c r="D190" s="27" t="s">
        <v>615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10.0</v>
      </c>
      <c r="K190" s="33" t="n">
        <f>1501</f>
        <v>1501.0</v>
      </c>
      <c r="L190" s="34" t="s">
        <v>119</v>
      </c>
      <c r="M190" s="33" t="n">
        <f>1533</f>
        <v>1533.0</v>
      </c>
      <c r="N190" s="34" t="s">
        <v>61</v>
      </c>
      <c r="O190" s="33" t="n">
        <f>1300</f>
        <v>1300.0</v>
      </c>
      <c r="P190" s="34" t="s">
        <v>245</v>
      </c>
      <c r="Q190" s="33" t="n">
        <f>1300</f>
        <v>1300.0</v>
      </c>
      <c r="R190" s="34" t="s">
        <v>245</v>
      </c>
      <c r="S190" s="35" t="n">
        <f>1422.4</f>
        <v>1422.4</v>
      </c>
      <c r="T190" s="32" t="n">
        <f>1260</f>
        <v>1260.0</v>
      </c>
      <c r="U190" s="32" t="str">
        <f>"－"</f>
        <v>－</v>
      </c>
      <c r="V190" s="32" t="n">
        <f>1801120</f>
        <v>1801120.0</v>
      </c>
      <c r="W190" s="32" t="str">
        <f>"－"</f>
        <v>－</v>
      </c>
      <c r="X190" s="36" t="n">
        <f>10</f>
        <v>10.0</v>
      </c>
    </row>
    <row r="191">
      <c r="A191" s="27" t="s">
        <v>42</v>
      </c>
      <c r="B191" s="27" t="s">
        <v>616</v>
      </c>
      <c r="C191" s="27" t="s">
        <v>617</v>
      </c>
      <c r="D191" s="27" t="s">
        <v>618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100.0</v>
      </c>
      <c r="K191" s="33" t="n">
        <f>71</f>
        <v>71.0</v>
      </c>
      <c r="L191" s="34" t="s">
        <v>48</v>
      </c>
      <c r="M191" s="33" t="n">
        <f>76</f>
        <v>76.0</v>
      </c>
      <c r="N191" s="34" t="s">
        <v>309</v>
      </c>
      <c r="O191" s="33" t="n">
        <f>69</f>
        <v>69.0</v>
      </c>
      <c r="P191" s="34" t="s">
        <v>48</v>
      </c>
      <c r="Q191" s="33" t="n">
        <f>72</f>
        <v>72.0</v>
      </c>
      <c r="R191" s="34" t="s">
        <v>51</v>
      </c>
      <c r="S191" s="35" t="n">
        <f>72.42</f>
        <v>72.42</v>
      </c>
      <c r="T191" s="32" t="n">
        <f>762800</f>
        <v>762800.0</v>
      </c>
      <c r="U191" s="32" t="str">
        <f>"－"</f>
        <v>－</v>
      </c>
      <c r="V191" s="32" t="n">
        <f>54938100</f>
        <v>5.49381E7</v>
      </c>
      <c r="W191" s="32" t="str">
        <f>"－"</f>
        <v>－</v>
      </c>
      <c r="X191" s="36" t="n">
        <f>19</f>
        <v>19.0</v>
      </c>
    </row>
    <row r="192">
      <c r="A192" s="27" t="s">
        <v>42</v>
      </c>
      <c r="B192" s="27" t="s">
        <v>619</v>
      </c>
      <c r="C192" s="27" t="s">
        <v>620</v>
      </c>
      <c r="D192" s="27" t="s">
        <v>621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100.0</v>
      </c>
      <c r="K192" s="33" t="n">
        <f>81</f>
        <v>81.0</v>
      </c>
      <c r="L192" s="34" t="s">
        <v>48</v>
      </c>
      <c r="M192" s="33" t="n">
        <f>82</f>
        <v>82.0</v>
      </c>
      <c r="N192" s="34" t="s">
        <v>48</v>
      </c>
      <c r="O192" s="33" t="n">
        <f>79</f>
        <v>79.0</v>
      </c>
      <c r="P192" s="34" t="s">
        <v>65</v>
      </c>
      <c r="Q192" s="33" t="n">
        <f>80</f>
        <v>80.0</v>
      </c>
      <c r="R192" s="34" t="s">
        <v>51</v>
      </c>
      <c r="S192" s="35" t="n">
        <f>80.95</f>
        <v>80.95</v>
      </c>
      <c r="T192" s="32" t="n">
        <f>241500</f>
        <v>241500.0</v>
      </c>
      <c r="U192" s="32" t="str">
        <f>"－"</f>
        <v>－</v>
      </c>
      <c r="V192" s="32" t="n">
        <f>19608000</f>
        <v>1.9608E7</v>
      </c>
      <c r="W192" s="32" t="str">
        <f>"－"</f>
        <v>－</v>
      </c>
      <c r="X192" s="36" t="n">
        <f>19</f>
        <v>19.0</v>
      </c>
    </row>
    <row r="193">
      <c r="A193" s="27" t="s">
        <v>42</v>
      </c>
      <c r="B193" s="27" t="s">
        <v>622</v>
      </c>
      <c r="C193" s="27" t="s">
        <v>623</v>
      </c>
      <c r="D193" s="27" t="s">
        <v>624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1990</f>
        <v>1990.0</v>
      </c>
      <c r="L193" s="34" t="s">
        <v>100</v>
      </c>
      <c r="M193" s="33" t="n">
        <f>2222</f>
        <v>2222.0</v>
      </c>
      <c r="N193" s="34" t="s">
        <v>86</v>
      </c>
      <c r="O193" s="33" t="n">
        <f>1870</f>
        <v>1870.0</v>
      </c>
      <c r="P193" s="34" t="s">
        <v>51</v>
      </c>
      <c r="Q193" s="33" t="n">
        <f>2080</f>
        <v>2080.0</v>
      </c>
      <c r="R193" s="34" t="s">
        <v>51</v>
      </c>
      <c r="S193" s="35" t="n">
        <f>2074</f>
        <v>2074.0</v>
      </c>
      <c r="T193" s="32" t="n">
        <f>440</f>
        <v>440.0</v>
      </c>
      <c r="U193" s="32" t="str">
        <f>"－"</f>
        <v>－</v>
      </c>
      <c r="V193" s="32" t="n">
        <f>913470</f>
        <v>913470.0</v>
      </c>
      <c r="W193" s="32" t="str">
        <f>"－"</f>
        <v>－</v>
      </c>
      <c r="X193" s="36" t="n">
        <f>9</f>
        <v>9.0</v>
      </c>
    </row>
    <row r="194">
      <c r="A194" s="27" t="s">
        <v>42</v>
      </c>
      <c r="B194" s="27" t="s">
        <v>625</v>
      </c>
      <c r="C194" s="27" t="s">
        <v>626</v>
      </c>
      <c r="D194" s="27" t="s">
        <v>627</v>
      </c>
      <c r="E194" s="28" t="s">
        <v>46</v>
      </c>
      <c r="F194" s="29" t="s">
        <v>46</v>
      </c>
      <c r="G194" s="30" t="s">
        <v>46</v>
      </c>
      <c r="H194" s="31"/>
      <c r="I194" s="31" t="s">
        <v>47</v>
      </c>
      <c r="J194" s="32" t="n">
        <v>10.0</v>
      </c>
      <c r="K194" s="33" t="n">
        <f>1750</f>
        <v>1750.0</v>
      </c>
      <c r="L194" s="34" t="s">
        <v>48</v>
      </c>
      <c r="M194" s="33" t="n">
        <f>1775</f>
        <v>1775.0</v>
      </c>
      <c r="N194" s="34" t="s">
        <v>150</v>
      </c>
      <c r="O194" s="33" t="n">
        <f>1709</f>
        <v>1709.0</v>
      </c>
      <c r="P194" s="34" t="s">
        <v>50</v>
      </c>
      <c r="Q194" s="33" t="n">
        <f>1720</f>
        <v>1720.0</v>
      </c>
      <c r="R194" s="34" t="s">
        <v>51</v>
      </c>
      <c r="S194" s="35" t="n">
        <f>1754.32</f>
        <v>1754.32</v>
      </c>
      <c r="T194" s="32" t="n">
        <f>65420</f>
        <v>65420.0</v>
      </c>
      <c r="U194" s="32" t="str">
        <f>"－"</f>
        <v>－</v>
      </c>
      <c r="V194" s="32" t="n">
        <f>113857560</f>
        <v>1.1385756E8</v>
      </c>
      <c r="W194" s="32" t="str">
        <f>"－"</f>
        <v>－</v>
      </c>
      <c r="X194" s="36" t="n">
        <f>19</f>
        <v>19.0</v>
      </c>
    </row>
    <row r="195">
      <c r="A195" s="27" t="s">
        <v>42</v>
      </c>
      <c r="B195" s="27" t="s">
        <v>628</v>
      </c>
      <c r="C195" s="27" t="s">
        <v>629</v>
      </c>
      <c r="D195" s="27" t="s">
        <v>630</v>
      </c>
      <c r="E195" s="28" t="s">
        <v>46</v>
      </c>
      <c r="F195" s="29" t="s">
        <v>46</v>
      </c>
      <c r="G195" s="30" t="s">
        <v>46</v>
      </c>
      <c r="H195" s="31"/>
      <c r="I195" s="31" t="s">
        <v>47</v>
      </c>
      <c r="J195" s="32" t="n">
        <v>10.0</v>
      </c>
      <c r="K195" s="33" t="n">
        <f>419</f>
        <v>419.0</v>
      </c>
      <c r="L195" s="34" t="s">
        <v>48</v>
      </c>
      <c r="M195" s="33" t="n">
        <f>430</f>
        <v>430.0</v>
      </c>
      <c r="N195" s="34" t="s">
        <v>65</v>
      </c>
      <c r="O195" s="33" t="n">
        <f>349</f>
        <v>349.0</v>
      </c>
      <c r="P195" s="34" t="s">
        <v>91</v>
      </c>
      <c r="Q195" s="33" t="n">
        <f>354</f>
        <v>354.0</v>
      </c>
      <c r="R195" s="34" t="s">
        <v>51</v>
      </c>
      <c r="S195" s="35" t="n">
        <f>384.47</f>
        <v>384.47</v>
      </c>
      <c r="T195" s="32" t="n">
        <f>7544530</f>
        <v>7544530.0</v>
      </c>
      <c r="U195" s="32" t="n">
        <f>9700</f>
        <v>9700.0</v>
      </c>
      <c r="V195" s="32" t="n">
        <f>2884803599</f>
        <v>2.884803599E9</v>
      </c>
      <c r="W195" s="32" t="n">
        <f>3797039</f>
        <v>3797039.0</v>
      </c>
      <c r="X195" s="36" t="n">
        <f>19</f>
        <v>19.0</v>
      </c>
    </row>
    <row r="196">
      <c r="A196" s="27" t="s">
        <v>42</v>
      </c>
      <c r="B196" s="27" t="s">
        <v>631</v>
      </c>
      <c r="C196" s="27" t="s">
        <v>632</v>
      </c>
      <c r="D196" s="27" t="s">
        <v>633</v>
      </c>
      <c r="E196" s="28" t="s">
        <v>46</v>
      </c>
      <c r="F196" s="29" t="s">
        <v>46</v>
      </c>
      <c r="G196" s="30" t="s">
        <v>46</v>
      </c>
      <c r="H196" s="31"/>
      <c r="I196" s="31" t="s">
        <v>634</v>
      </c>
      <c r="J196" s="32" t="n">
        <v>1.0</v>
      </c>
      <c r="K196" s="33" t="n">
        <f>12120</f>
        <v>12120.0</v>
      </c>
      <c r="L196" s="34" t="s">
        <v>48</v>
      </c>
      <c r="M196" s="33" t="n">
        <f>13540</f>
        <v>13540.0</v>
      </c>
      <c r="N196" s="34" t="s">
        <v>90</v>
      </c>
      <c r="O196" s="33" t="n">
        <f>11000</f>
        <v>11000.0</v>
      </c>
      <c r="P196" s="34" t="s">
        <v>51</v>
      </c>
      <c r="Q196" s="33" t="n">
        <f>11000</f>
        <v>11000.0</v>
      </c>
      <c r="R196" s="34" t="s">
        <v>51</v>
      </c>
      <c r="S196" s="35" t="n">
        <f>12273.89</f>
        <v>12273.89</v>
      </c>
      <c r="T196" s="32" t="n">
        <f>3323</f>
        <v>3323.0</v>
      </c>
      <c r="U196" s="32" t="str">
        <f>"－"</f>
        <v>－</v>
      </c>
      <c r="V196" s="32" t="n">
        <f>40116440</f>
        <v>4.011644E7</v>
      </c>
      <c r="W196" s="32" t="str">
        <f>"－"</f>
        <v>－</v>
      </c>
      <c r="X196" s="36" t="n">
        <f>18</f>
        <v>18.0</v>
      </c>
    </row>
    <row r="197">
      <c r="A197" s="27" t="s">
        <v>42</v>
      </c>
      <c r="B197" s="27" t="s">
        <v>635</v>
      </c>
      <c r="C197" s="27" t="s">
        <v>636</v>
      </c>
      <c r="D197" s="27" t="s">
        <v>637</v>
      </c>
      <c r="E197" s="28" t="s">
        <v>46</v>
      </c>
      <c r="F197" s="29" t="s">
        <v>46</v>
      </c>
      <c r="G197" s="30" t="s">
        <v>46</v>
      </c>
      <c r="H197" s="31"/>
      <c r="I197" s="31" t="s">
        <v>634</v>
      </c>
      <c r="J197" s="32" t="n">
        <v>1.0</v>
      </c>
      <c r="K197" s="33" t="n">
        <f>6040</f>
        <v>6040.0</v>
      </c>
      <c r="L197" s="34" t="s">
        <v>48</v>
      </c>
      <c r="M197" s="33" t="n">
        <f>6460</f>
        <v>6460.0</v>
      </c>
      <c r="N197" s="34" t="s">
        <v>51</v>
      </c>
      <c r="O197" s="33" t="n">
        <f>5800</f>
        <v>5800.0</v>
      </c>
      <c r="P197" s="34" t="s">
        <v>49</v>
      </c>
      <c r="Q197" s="33" t="n">
        <f>6410</f>
        <v>6410.0</v>
      </c>
      <c r="R197" s="34" t="s">
        <v>51</v>
      </c>
      <c r="S197" s="35" t="n">
        <f>6058.95</f>
        <v>6058.95</v>
      </c>
      <c r="T197" s="32" t="n">
        <f>9376</f>
        <v>9376.0</v>
      </c>
      <c r="U197" s="32" t="str">
        <f>"－"</f>
        <v>－</v>
      </c>
      <c r="V197" s="32" t="n">
        <f>58511080</f>
        <v>5.851108E7</v>
      </c>
      <c r="W197" s="32" t="str">
        <f>"－"</f>
        <v>－</v>
      </c>
      <c r="X197" s="36" t="n">
        <f>19</f>
        <v>19.0</v>
      </c>
    </row>
    <row r="198">
      <c r="A198" s="27" t="s">
        <v>42</v>
      </c>
      <c r="B198" s="27" t="s">
        <v>638</v>
      </c>
      <c r="C198" s="27" t="s">
        <v>639</v>
      </c>
      <c r="D198" s="27" t="s">
        <v>640</v>
      </c>
      <c r="E198" s="28" t="s">
        <v>46</v>
      </c>
      <c r="F198" s="29" t="s">
        <v>46</v>
      </c>
      <c r="G198" s="30" t="s">
        <v>46</v>
      </c>
      <c r="H198" s="31"/>
      <c r="I198" s="31" t="s">
        <v>634</v>
      </c>
      <c r="J198" s="32" t="n">
        <v>1.0</v>
      </c>
      <c r="K198" s="33" t="n">
        <f>10100</f>
        <v>10100.0</v>
      </c>
      <c r="L198" s="34" t="s">
        <v>48</v>
      </c>
      <c r="M198" s="33" t="n">
        <f>11330</f>
        <v>11330.0</v>
      </c>
      <c r="N198" s="34" t="s">
        <v>49</v>
      </c>
      <c r="O198" s="33" t="n">
        <f>9510</f>
        <v>9510.0</v>
      </c>
      <c r="P198" s="34" t="s">
        <v>51</v>
      </c>
      <c r="Q198" s="33" t="n">
        <f>9550</f>
        <v>9550.0</v>
      </c>
      <c r="R198" s="34" t="s">
        <v>51</v>
      </c>
      <c r="S198" s="35" t="n">
        <f>10481.11</f>
        <v>10481.11</v>
      </c>
      <c r="T198" s="32" t="n">
        <f>542</f>
        <v>542.0</v>
      </c>
      <c r="U198" s="32" t="str">
        <f>"－"</f>
        <v>－</v>
      </c>
      <c r="V198" s="32" t="n">
        <f>5722590</f>
        <v>5722590.0</v>
      </c>
      <c r="W198" s="32" t="str">
        <f>"－"</f>
        <v>－</v>
      </c>
      <c r="X198" s="36" t="n">
        <f>18</f>
        <v>18.0</v>
      </c>
    </row>
    <row r="199">
      <c r="A199" s="27" t="s">
        <v>42</v>
      </c>
      <c r="B199" s="27" t="s">
        <v>641</v>
      </c>
      <c r="C199" s="27" t="s">
        <v>642</v>
      </c>
      <c r="D199" s="27" t="s">
        <v>643</v>
      </c>
      <c r="E199" s="28" t="s">
        <v>46</v>
      </c>
      <c r="F199" s="29" t="s">
        <v>46</v>
      </c>
      <c r="G199" s="30" t="s">
        <v>46</v>
      </c>
      <c r="H199" s="31"/>
      <c r="I199" s="31" t="s">
        <v>634</v>
      </c>
      <c r="J199" s="32" t="n">
        <v>1.0</v>
      </c>
      <c r="K199" s="33" t="n">
        <f>9400</f>
        <v>9400.0</v>
      </c>
      <c r="L199" s="34" t="s">
        <v>48</v>
      </c>
      <c r="M199" s="33" t="n">
        <f>9500</f>
        <v>9500.0</v>
      </c>
      <c r="N199" s="34" t="s">
        <v>100</v>
      </c>
      <c r="O199" s="33" t="n">
        <f>9090</f>
        <v>9090.0</v>
      </c>
      <c r="P199" s="34" t="s">
        <v>150</v>
      </c>
      <c r="Q199" s="33" t="n">
        <f>9350</f>
        <v>9350.0</v>
      </c>
      <c r="R199" s="34" t="s">
        <v>51</v>
      </c>
      <c r="S199" s="35" t="n">
        <f>9282.11</f>
        <v>9282.11</v>
      </c>
      <c r="T199" s="32" t="n">
        <f>14543</f>
        <v>14543.0</v>
      </c>
      <c r="U199" s="32" t="str">
        <f>"－"</f>
        <v>－</v>
      </c>
      <c r="V199" s="32" t="n">
        <f>135135850</f>
        <v>1.3513585E8</v>
      </c>
      <c r="W199" s="32" t="str">
        <f>"－"</f>
        <v>－</v>
      </c>
      <c r="X199" s="36" t="n">
        <f>19</f>
        <v>19.0</v>
      </c>
    </row>
    <row r="200">
      <c r="A200" s="27" t="s">
        <v>42</v>
      </c>
      <c r="B200" s="27" t="s">
        <v>644</v>
      </c>
      <c r="C200" s="27" t="s">
        <v>645</v>
      </c>
      <c r="D200" s="27" t="s">
        <v>646</v>
      </c>
      <c r="E200" s="28" t="s">
        <v>46</v>
      </c>
      <c r="F200" s="29" t="s">
        <v>46</v>
      </c>
      <c r="G200" s="30" t="s">
        <v>46</v>
      </c>
      <c r="H200" s="31"/>
      <c r="I200" s="31" t="s">
        <v>634</v>
      </c>
      <c r="J200" s="32" t="n">
        <v>1.0</v>
      </c>
      <c r="K200" s="33" t="n">
        <f>523</f>
        <v>523.0</v>
      </c>
      <c r="L200" s="34" t="s">
        <v>48</v>
      </c>
      <c r="M200" s="33" t="n">
        <f>555</f>
        <v>555.0</v>
      </c>
      <c r="N200" s="34" t="s">
        <v>65</v>
      </c>
      <c r="O200" s="33" t="n">
        <f>455</f>
        <v>455.0</v>
      </c>
      <c r="P200" s="34" t="s">
        <v>49</v>
      </c>
      <c r="Q200" s="33" t="n">
        <f>532</f>
        <v>532.0</v>
      </c>
      <c r="R200" s="34" t="s">
        <v>51</v>
      </c>
      <c r="S200" s="35" t="n">
        <f>494.37</f>
        <v>494.37</v>
      </c>
      <c r="T200" s="32" t="n">
        <f>999217</f>
        <v>999217.0</v>
      </c>
      <c r="U200" s="32" t="str">
        <f>"－"</f>
        <v>－</v>
      </c>
      <c r="V200" s="32" t="n">
        <f>507393716</f>
        <v>5.07393716E8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647</v>
      </c>
      <c r="C201" s="27" t="s">
        <v>648</v>
      </c>
      <c r="D201" s="27" t="s">
        <v>649</v>
      </c>
      <c r="E201" s="28" t="s">
        <v>46</v>
      </c>
      <c r="F201" s="29" t="s">
        <v>46</v>
      </c>
      <c r="G201" s="30" t="s">
        <v>46</v>
      </c>
      <c r="H201" s="31"/>
      <c r="I201" s="31" t="s">
        <v>634</v>
      </c>
      <c r="J201" s="32" t="n">
        <v>1.0</v>
      </c>
      <c r="K201" s="33" t="n">
        <f>13890</f>
        <v>13890.0</v>
      </c>
      <c r="L201" s="34" t="s">
        <v>48</v>
      </c>
      <c r="M201" s="33" t="n">
        <f>14530</f>
        <v>14530.0</v>
      </c>
      <c r="N201" s="34" t="s">
        <v>65</v>
      </c>
      <c r="O201" s="33" t="n">
        <f>13710</f>
        <v>13710.0</v>
      </c>
      <c r="P201" s="34" t="s">
        <v>48</v>
      </c>
      <c r="Q201" s="33" t="n">
        <f>14110</f>
        <v>14110.0</v>
      </c>
      <c r="R201" s="34" t="s">
        <v>51</v>
      </c>
      <c r="S201" s="35" t="n">
        <f>14108.42</f>
        <v>14108.42</v>
      </c>
      <c r="T201" s="32" t="n">
        <f>47279</f>
        <v>47279.0</v>
      </c>
      <c r="U201" s="32" t="n">
        <f>3</f>
        <v>3.0</v>
      </c>
      <c r="V201" s="32" t="n">
        <f>664820000</f>
        <v>6.6482E8</v>
      </c>
      <c r="W201" s="32" t="n">
        <f>41730</f>
        <v>41730.0</v>
      </c>
      <c r="X201" s="36" t="n">
        <f>19</f>
        <v>19.0</v>
      </c>
    </row>
    <row r="202">
      <c r="A202" s="27" t="s">
        <v>42</v>
      </c>
      <c r="B202" s="27" t="s">
        <v>650</v>
      </c>
      <c r="C202" s="27" t="s">
        <v>651</v>
      </c>
      <c r="D202" s="27" t="s">
        <v>652</v>
      </c>
      <c r="E202" s="28" t="s">
        <v>46</v>
      </c>
      <c r="F202" s="29" t="s">
        <v>46</v>
      </c>
      <c r="G202" s="30" t="s">
        <v>46</v>
      </c>
      <c r="H202" s="31"/>
      <c r="I202" s="31" t="s">
        <v>634</v>
      </c>
      <c r="J202" s="32" t="n">
        <v>1.0</v>
      </c>
      <c r="K202" s="33" t="n">
        <f>6880</f>
        <v>6880.0</v>
      </c>
      <c r="L202" s="34" t="s">
        <v>48</v>
      </c>
      <c r="M202" s="33" t="n">
        <f>6890</f>
        <v>6890.0</v>
      </c>
      <c r="N202" s="34" t="s">
        <v>100</v>
      </c>
      <c r="O202" s="33" t="n">
        <f>6690</f>
        <v>6690.0</v>
      </c>
      <c r="P202" s="34" t="s">
        <v>95</v>
      </c>
      <c r="Q202" s="33" t="n">
        <f>6770</f>
        <v>6770.0</v>
      </c>
      <c r="R202" s="34" t="s">
        <v>51</v>
      </c>
      <c r="S202" s="35" t="n">
        <f>6783.68</f>
        <v>6783.68</v>
      </c>
      <c r="T202" s="32" t="n">
        <f>5201</f>
        <v>5201.0</v>
      </c>
      <c r="U202" s="32" t="str">
        <f>"－"</f>
        <v>－</v>
      </c>
      <c r="V202" s="32" t="n">
        <f>35326330</f>
        <v>3.532633E7</v>
      </c>
      <c r="W202" s="32" t="str">
        <f>"－"</f>
        <v>－</v>
      </c>
      <c r="X202" s="36" t="n">
        <f>19</f>
        <v>19.0</v>
      </c>
    </row>
    <row r="203">
      <c r="A203" s="27" t="s">
        <v>42</v>
      </c>
      <c r="B203" s="27" t="s">
        <v>653</v>
      </c>
      <c r="C203" s="27" t="s">
        <v>654</v>
      </c>
      <c r="D203" s="27" t="s">
        <v>655</v>
      </c>
      <c r="E203" s="28" t="s">
        <v>46</v>
      </c>
      <c r="F203" s="29" t="s">
        <v>46</v>
      </c>
      <c r="G203" s="30" t="s">
        <v>46</v>
      </c>
      <c r="H203" s="31"/>
      <c r="I203" s="31" t="s">
        <v>634</v>
      </c>
      <c r="J203" s="32" t="n">
        <v>1.0</v>
      </c>
      <c r="K203" s="33" t="n">
        <f>1599</f>
        <v>1599.0</v>
      </c>
      <c r="L203" s="34" t="s">
        <v>48</v>
      </c>
      <c r="M203" s="33" t="n">
        <f>1746</f>
        <v>1746.0</v>
      </c>
      <c r="N203" s="34" t="s">
        <v>65</v>
      </c>
      <c r="O203" s="33" t="n">
        <f>1184</f>
        <v>1184.0</v>
      </c>
      <c r="P203" s="34" t="s">
        <v>91</v>
      </c>
      <c r="Q203" s="33" t="n">
        <f>1220</f>
        <v>1220.0</v>
      </c>
      <c r="R203" s="34" t="s">
        <v>51</v>
      </c>
      <c r="S203" s="35" t="n">
        <f>1405.42</f>
        <v>1405.42</v>
      </c>
      <c r="T203" s="32" t="n">
        <f>7681722</f>
        <v>7681722.0</v>
      </c>
      <c r="U203" s="32" t="n">
        <f>13803</f>
        <v>13803.0</v>
      </c>
      <c r="V203" s="32" t="n">
        <f>10909969559</f>
        <v>1.0909969559E10</v>
      </c>
      <c r="W203" s="32" t="n">
        <f>16518049</f>
        <v>1.6518049E7</v>
      </c>
      <c r="X203" s="36" t="n">
        <f>19</f>
        <v>19.0</v>
      </c>
    </row>
    <row r="204">
      <c r="A204" s="27" t="s">
        <v>42</v>
      </c>
      <c r="B204" s="27" t="s">
        <v>656</v>
      </c>
      <c r="C204" s="27" t="s">
        <v>657</v>
      </c>
      <c r="D204" s="27" t="s">
        <v>658</v>
      </c>
      <c r="E204" s="28" t="s">
        <v>46</v>
      </c>
      <c r="F204" s="29" t="s">
        <v>46</v>
      </c>
      <c r="G204" s="30" t="s">
        <v>46</v>
      </c>
      <c r="H204" s="31"/>
      <c r="I204" s="31" t="s">
        <v>634</v>
      </c>
      <c r="J204" s="32" t="n">
        <v>1.0</v>
      </c>
      <c r="K204" s="33" t="n">
        <f>6230</f>
        <v>6230.0</v>
      </c>
      <c r="L204" s="34" t="s">
        <v>48</v>
      </c>
      <c r="M204" s="33" t="n">
        <f>7170</f>
        <v>7170.0</v>
      </c>
      <c r="N204" s="34" t="s">
        <v>91</v>
      </c>
      <c r="O204" s="33" t="n">
        <f>6000</f>
        <v>6000.0</v>
      </c>
      <c r="P204" s="34" t="s">
        <v>65</v>
      </c>
      <c r="Q204" s="33" t="n">
        <f>7050</f>
        <v>7050.0</v>
      </c>
      <c r="R204" s="34" t="s">
        <v>51</v>
      </c>
      <c r="S204" s="35" t="n">
        <f>6651.05</f>
        <v>6651.05</v>
      </c>
      <c r="T204" s="32" t="n">
        <f>300892</f>
        <v>300892.0</v>
      </c>
      <c r="U204" s="32" t="str">
        <f>"－"</f>
        <v>－</v>
      </c>
      <c r="V204" s="32" t="n">
        <f>2016707800</f>
        <v>2.0167078E9</v>
      </c>
      <c r="W204" s="32" t="str">
        <f>"－"</f>
        <v>－</v>
      </c>
      <c r="X204" s="36" t="n">
        <f>19</f>
        <v>19.0</v>
      </c>
    </row>
    <row r="205">
      <c r="A205" s="27" t="s">
        <v>42</v>
      </c>
      <c r="B205" s="27" t="s">
        <v>659</v>
      </c>
      <c r="C205" s="27" t="s">
        <v>660</v>
      </c>
      <c r="D205" s="27" t="s">
        <v>661</v>
      </c>
      <c r="E205" s="28" t="s">
        <v>46</v>
      </c>
      <c r="F205" s="29" t="s">
        <v>46</v>
      </c>
      <c r="G205" s="30" t="s">
        <v>46</v>
      </c>
      <c r="H205" s="31"/>
      <c r="I205" s="31" t="s">
        <v>634</v>
      </c>
      <c r="J205" s="32" t="n">
        <v>1.0</v>
      </c>
      <c r="K205" s="33" t="n">
        <f>25200</f>
        <v>25200.0</v>
      </c>
      <c r="L205" s="34" t="s">
        <v>48</v>
      </c>
      <c r="M205" s="33" t="n">
        <f>26870</f>
        <v>26870.0</v>
      </c>
      <c r="N205" s="34" t="s">
        <v>49</v>
      </c>
      <c r="O205" s="33" t="n">
        <f>24510</f>
        <v>24510.0</v>
      </c>
      <c r="P205" s="34" t="s">
        <v>65</v>
      </c>
      <c r="Q205" s="33" t="n">
        <f>25890</f>
        <v>25890.0</v>
      </c>
      <c r="R205" s="34" t="s">
        <v>51</v>
      </c>
      <c r="S205" s="35" t="n">
        <f>25994.21</f>
        <v>25994.21</v>
      </c>
      <c r="T205" s="32" t="n">
        <f>79173</f>
        <v>79173.0</v>
      </c>
      <c r="U205" s="32" t="n">
        <f>2170</f>
        <v>2170.0</v>
      </c>
      <c r="V205" s="32" t="n">
        <f>2051481980</f>
        <v>2.05148198E9</v>
      </c>
      <c r="W205" s="32" t="n">
        <f>56431560</f>
        <v>5.643156E7</v>
      </c>
      <c r="X205" s="36" t="n">
        <f>19</f>
        <v>19.0</v>
      </c>
    </row>
    <row r="206">
      <c r="A206" s="27" t="s">
        <v>42</v>
      </c>
      <c r="B206" s="27" t="s">
        <v>662</v>
      </c>
      <c r="C206" s="27" t="s">
        <v>663</v>
      </c>
      <c r="D206" s="27" t="s">
        <v>664</v>
      </c>
      <c r="E206" s="28" t="s">
        <v>46</v>
      </c>
      <c r="F206" s="29" t="s">
        <v>46</v>
      </c>
      <c r="G206" s="30" t="s">
        <v>46</v>
      </c>
      <c r="H206" s="31"/>
      <c r="I206" s="31" t="s">
        <v>634</v>
      </c>
      <c r="J206" s="32" t="n">
        <v>1.0</v>
      </c>
      <c r="K206" s="33" t="n">
        <f>4335</f>
        <v>4335.0</v>
      </c>
      <c r="L206" s="34" t="s">
        <v>48</v>
      </c>
      <c r="M206" s="33" t="n">
        <f>4380</f>
        <v>4380.0</v>
      </c>
      <c r="N206" s="34" t="s">
        <v>65</v>
      </c>
      <c r="O206" s="33" t="n">
        <f>4195</f>
        <v>4195.0</v>
      </c>
      <c r="P206" s="34" t="s">
        <v>79</v>
      </c>
      <c r="Q206" s="33" t="n">
        <f>4255</f>
        <v>4255.0</v>
      </c>
      <c r="R206" s="34" t="s">
        <v>51</v>
      </c>
      <c r="S206" s="35" t="n">
        <f>4262.63</f>
        <v>4262.63</v>
      </c>
      <c r="T206" s="32" t="n">
        <f>215510</f>
        <v>215510.0</v>
      </c>
      <c r="U206" s="32" t="str">
        <f>"－"</f>
        <v>－</v>
      </c>
      <c r="V206" s="32" t="n">
        <f>922566540</f>
        <v>9.2256654E8</v>
      </c>
      <c r="W206" s="32" t="str">
        <f>"－"</f>
        <v>－</v>
      </c>
      <c r="X206" s="36" t="n">
        <f>19</f>
        <v>19.0</v>
      </c>
    </row>
    <row r="207">
      <c r="A207" s="27" t="s">
        <v>42</v>
      </c>
      <c r="B207" s="27" t="s">
        <v>665</v>
      </c>
      <c r="C207" s="27" t="s">
        <v>666</v>
      </c>
      <c r="D207" s="27" t="s">
        <v>667</v>
      </c>
      <c r="E207" s="28" t="s">
        <v>46</v>
      </c>
      <c r="F207" s="29" t="s">
        <v>46</v>
      </c>
      <c r="G207" s="30" t="s">
        <v>46</v>
      </c>
      <c r="H207" s="31"/>
      <c r="I207" s="31" t="s">
        <v>634</v>
      </c>
      <c r="J207" s="32" t="n">
        <v>1.0</v>
      </c>
      <c r="K207" s="33" t="n">
        <f>9550</f>
        <v>9550.0</v>
      </c>
      <c r="L207" s="34" t="s">
        <v>48</v>
      </c>
      <c r="M207" s="33" t="n">
        <f>9680</f>
        <v>9680.0</v>
      </c>
      <c r="N207" s="34" t="s">
        <v>100</v>
      </c>
      <c r="O207" s="33" t="n">
        <f>8720</f>
        <v>8720.0</v>
      </c>
      <c r="P207" s="34" t="s">
        <v>50</v>
      </c>
      <c r="Q207" s="33" t="n">
        <f>9010</f>
        <v>9010.0</v>
      </c>
      <c r="R207" s="34" t="s">
        <v>51</v>
      </c>
      <c r="S207" s="35" t="n">
        <f>9387.89</f>
        <v>9387.89</v>
      </c>
      <c r="T207" s="32" t="n">
        <f>156511</f>
        <v>156511.0</v>
      </c>
      <c r="U207" s="32" t="str">
        <f>"－"</f>
        <v>－</v>
      </c>
      <c r="V207" s="32" t="n">
        <f>1459605390</f>
        <v>1.45960539E9</v>
      </c>
      <c r="W207" s="32" t="str">
        <f>"－"</f>
        <v>－</v>
      </c>
      <c r="X207" s="36" t="n">
        <f>19</f>
        <v>19.0</v>
      </c>
    </row>
    <row r="208">
      <c r="A208" s="27" t="s">
        <v>42</v>
      </c>
      <c r="B208" s="27" t="s">
        <v>668</v>
      </c>
      <c r="C208" s="27" t="s">
        <v>669</v>
      </c>
      <c r="D208" s="27" t="s">
        <v>670</v>
      </c>
      <c r="E208" s="28" t="s">
        <v>46</v>
      </c>
      <c r="F208" s="29" t="s">
        <v>46</v>
      </c>
      <c r="G208" s="30" t="s">
        <v>46</v>
      </c>
      <c r="H208" s="31"/>
      <c r="I208" s="31" t="s">
        <v>634</v>
      </c>
      <c r="J208" s="32" t="n">
        <v>1.0</v>
      </c>
      <c r="K208" s="33" t="n">
        <f>12810</f>
        <v>12810.0</v>
      </c>
      <c r="L208" s="34" t="s">
        <v>48</v>
      </c>
      <c r="M208" s="33" t="n">
        <f>13260</f>
        <v>13260.0</v>
      </c>
      <c r="N208" s="34" t="s">
        <v>90</v>
      </c>
      <c r="O208" s="33" t="n">
        <f>12200</f>
        <v>12200.0</v>
      </c>
      <c r="P208" s="34" t="s">
        <v>51</v>
      </c>
      <c r="Q208" s="33" t="n">
        <f>12200</f>
        <v>12200.0</v>
      </c>
      <c r="R208" s="34" t="s">
        <v>51</v>
      </c>
      <c r="S208" s="35" t="n">
        <f>12782.5</f>
        <v>12782.5</v>
      </c>
      <c r="T208" s="32" t="n">
        <f>788</f>
        <v>788.0</v>
      </c>
      <c r="U208" s="32" t="str">
        <f>"－"</f>
        <v>－</v>
      </c>
      <c r="V208" s="32" t="n">
        <f>10191420</f>
        <v>1.019142E7</v>
      </c>
      <c r="W208" s="32" t="str">
        <f>"－"</f>
        <v>－</v>
      </c>
      <c r="X208" s="36" t="n">
        <f>16</f>
        <v>16.0</v>
      </c>
    </row>
    <row r="209">
      <c r="A209" s="27" t="s">
        <v>42</v>
      </c>
      <c r="B209" s="27" t="s">
        <v>671</v>
      </c>
      <c r="C209" s="27" t="s">
        <v>672</v>
      </c>
      <c r="D209" s="27" t="s">
        <v>673</v>
      </c>
      <c r="E209" s="28" t="s">
        <v>46</v>
      </c>
      <c r="F209" s="29" t="s">
        <v>46</v>
      </c>
      <c r="G209" s="30" t="s">
        <v>46</v>
      </c>
      <c r="H209" s="31"/>
      <c r="I209" s="31" t="s">
        <v>634</v>
      </c>
      <c r="J209" s="32" t="n">
        <v>1.0</v>
      </c>
      <c r="K209" s="33" t="n">
        <f>14960</f>
        <v>14960.0</v>
      </c>
      <c r="L209" s="34" t="s">
        <v>48</v>
      </c>
      <c r="M209" s="33" t="n">
        <f>15540</f>
        <v>15540.0</v>
      </c>
      <c r="N209" s="34" t="s">
        <v>49</v>
      </c>
      <c r="O209" s="33" t="n">
        <f>14600</f>
        <v>14600.0</v>
      </c>
      <c r="P209" s="34" t="s">
        <v>65</v>
      </c>
      <c r="Q209" s="33" t="n">
        <f>15140</f>
        <v>15140.0</v>
      </c>
      <c r="R209" s="34" t="s">
        <v>51</v>
      </c>
      <c r="S209" s="35" t="n">
        <f>15157.89</f>
        <v>15157.89</v>
      </c>
      <c r="T209" s="32" t="n">
        <f>33080</f>
        <v>33080.0</v>
      </c>
      <c r="U209" s="32" t="n">
        <f>5000</f>
        <v>5000.0</v>
      </c>
      <c r="V209" s="32" t="n">
        <f>505773140</f>
        <v>5.0577314E8</v>
      </c>
      <c r="W209" s="32" t="n">
        <f>78310000</f>
        <v>7.831E7</v>
      </c>
      <c r="X209" s="36" t="n">
        <f>19</f>
        <v>19.0</v>
      </c>
    </row>
    <row r="210">
      <c r="A210" s="27" t="s">
        <v>42</v>
      </c>
      <c r="B210" s="27" t="s">
        <v>674</v>
      </c>
      <c r="C210" s="27" t="s">
        <v>675</v>
      </c>
      <c r="D210" s="27" t="s">
        <v>676</v>
      </c>
      <c r="E210" s="28" t="s">
        <v>46</v>
      </c>
      <c r="F210" s="29" t="s">
        <v>46</v>
      </c>
      <c r="G210" s="30" t="s">
        <v>46</v>
      </c>
      <c r="H210" s="31"/>
      <c r="I210" s="31" t="s">
        <v>634</v>
      </c>
      <c r="J210" s="32" t="n">
        <v>1.0</v>
      </c>
      <c r="K210" s="33" t="n">
        <f>13770</f>
        <v>13770.0</v>
      </c>
      <c r="L210" s="34" t="s">
        <v>48</v>
      </c>
      <c r="M210" s="33" t="n">
        <f>14400</f>
        <v>14400.0</v>
      </c>
      <c r="N210" s="34" t="s">
        <v>150</v>
      </c>
      <c r="O210" s="33" t="n">
        <f>13640</f>
        <v>13640.0</v>
      </c>
      <c r="P210" s="34" t="s">
        <v>48</v>
      </c>
      <c r="Q210" s="33" t="n">
        <f>14040</f>
        <v>14040.0</v>
      </c>
      <c r="R210" s="34" t="s">
        <v>51</v>
      </c>
      <c r="S210" s="35" t="n">
        <f>14070</f>
        <v>14070.0</v>
      </c>
      <c r="T210" s="32" t="n">
        <f>684</f>
        <v>684.0</v>
      </c>
      <c r="U210" s="32" t="str">
        <f>"－"</f>
        <v>－</v>
      </c>
      <c r="V210" s="32" t="n">
        <f>9611770</f>
        <v>9611770.0</v>
      </c>
      <c r="W210" s="32" t="str">
        <f>"－"</f>
        <v>－</v>
      </c>
      <c r="X210" s="36" t="n">
        <f>18</f>
        <v>18.0</v>
      </c>
    </row>
    <row r="211">
      <c r="A211" s="27" t="s">
        <v>42</v>
      </c>
      <c r="B211" s="27" t="s">
        <v>677</v>
      </c>
      <c r="C211" s="27" t="s">
        <v>678</v>
      </c>
      <c r="D211" s="27" t="s">
        <v>679</v>
      </c>
      <c r="E211" s="28" t="s">
        <v>46</v>
      </c>
      <c r="F211" s="29" t="s">
        <v>46</v>
      </c>
      <c r="G211" s="30" t="s">
        <v>46</v>
      </c>
      <c r="H211" s="31"/>
      <c r="I211" s="31" t="s">
        <v>634</v>
      </c>
      <c r="J211" s="32" t="n">
        <v>1.0</v>
      </c>
      <c r="K211" s="33" t="n">
        <f>10700</f>
        <v>10700.0</v>
      </c>
      <c r="L211" s="34" t="s">
        <v>48</v>
      </c>
      <c r="M211" s="33" t="n">
        <f>11160</f>
        <v>11160.0</v>
      </c>
      <c r="N211" s="34" t="s">
        <v>49</v>
      </c>
      <c r="O211" s="33" t="n">
        <f>10030</f>
        <v>10030.0</v>
      </c>
      <c r="P211" s="34" t="s">
        <v>65</v>
      </c>
      <c r="Q211" s="33" t="n">
        <f>10290</f>
        <v>10290.0</v>
      </c>
      <c r="R211" s="34" t="s">
        <v>51</v>
      </c>
      <c r="S211" s="35" t="n">
        <f>10664.21</f>
        <v>10664.21</v>
      </c>
      <c r="T211" s="32" t="n">
        <f>15683</f>
        <v>15683.0</v>
      </c>
      <c r="U211" s="32" t="str">
        <f>"－"</f>
        <v>－</v>
      </c>
      <c r="V211" s="32" t="n">
        <f>168399500</f>
        <v>1.683995E8</v>
      </c>
      <c r="W211" s="32" t="str">
        <f>"－"</f>
        <v>－</v>
      </c>
      <c r="X211" s="36" t="n">
        <f>19</f>
        <v>19.0</v>
      </c>
    </row>
    <row r="212">
      <c r="A212" s="27" t="s">
        <v>42</v>
      </c>
      <c r="B212" s="27" t="s">
        <v>680</v>
      </c>
      <c r="C212" s="27" t="s">
        <v>681</v>
      </c>
      <c r="D212" s="27" t="s">
        <v>682</v>
      </c>
      <c r="E212" s="28" t="s">
        <v>46</v>
      </c>
      <c r="F212" s="29" t="s">
        <v>46</v>
      </c>
      <c r="G212" s="30" t="s">
        <v>46</v>
      </c>
      <c r="H212" s="31"/>
      <c r="I212" s="31" t="s">
        <v>634</v>
      </c>
      <c r="J212" s="32" t="n">
        <v>1.0</v>
      </c>
      <c r="K212" s="33" t="n">
        <f>6340</f>
        <v>6340.0</v>
      </c>
      <c r="L212" s="34" t="s">
        <v>48</v>
      </c>
      <c r="M212" s="33" t="n">
        <f>6430</f>
        <v>6430.0</v>
      </c>
      <c r="N212" s="34" t="s">
        <v>95</v>
      </c>
      <c r="O212" s="33" t="n">
        <f>6220</f>
        <v>6220.0</v>
      </c>
      <c r="P212" s="34" t="s">
        <v>100</v>
      </c>
      <c r="Q212" s="33" t="n">
        <f>6350</f>
        <v>6350.0</v>
      </c>
      <c r="R212" s="34" t="s">
        <v>51</v>
      </c>
      <c r="S212" s="35" t="n">
        <f>6297.22</f>
        <v>6297.22</v>
      </c>
      <c r="T212" s="32" t="n">
        <f>3455</f>
        <v>3455.0</v>
      </c>
      <c r="U212" s="32" t="str">
        <f>"－"</f>
        <v>－</v>
      </c>
      <c r="V212" s="32" t="n">
        <f>21749570</f>
        <v>2.174957E7</v>
      </c>
      <c r="W212" s="32" t="str">
        <f>"－"</f>
        <v>－</v>
      </c>
      <c r="X212" s="36" t="n">
        <f>18</f>
        <v>18.0</v>
      </c>
    </row>
    <row r="213">
      <c r="A213" s="27" t="s">
        <v>42</v>
      </c>
      <c r="B213" s="27" t="s">
        <v>683</v>
      </c>
      <c r="C213" s="27" t="s">
        <v>684</v>
      </c>
      <c r="D213" s="27" t="s">
        <v>685</v>
      </c>
      <c r="E213" s="28" t="s">
        <v>46</v>
      </c>
      <c r="F213" s="29" t="s">
        <v>46</v>
      </c>
      <c r="G213" s="30" t="s">
        <v>46</v>
      </c>
      <c r="H213" s="31"/>
      <c r="I213" s="31" t="s">
        <v>634</v>
      </c>
      <c r="J213" s="32" t="n">
        <v>1.0</v>
      </c>
      <c r="K213" s="33" t="n">
        <f>10320</f>
        <v>10320.0</v>
      </c>
      <c r="L213" s="34" t="s">
        <v>48</v>
      </c>
      <c r="M213" s="33" t="n">
        <f>10690</f>
        <v>10690.0</v>
      </c>
      <c r="N213" s="34" t="s">
        <v>49</v>
      </c>
      <c r="O213" s="33" t="n">
        <f>10090</f>
        <v>10090.0</v>
      </c>
      <c r="P213" s="34" t="s">
        <v>50</v>
      </c>
      <c r="Q213" s="33" t="n">
        <f>10200</f>
        <v>10200.0</v>
      </c>
      <c r="R213" s="34" t="s">
        <v>51</v>
      </c>
      <c r="S213" s="35" t="n">
        <f>10414.12</f>
        <v>10414.12</v>
      </c>
      <c r="T213" s="32" t="n">
        <f>3146</f>
        <v>3146.0</v>
      </c>
      <c r="U213" s="32" t="str">
        <f>"－"</f>
        <v>－</v>
      </c>
      <c r="V213" s="32" t="n">
        <f>32720130</f>
        <v>3.272013E7</v>
      </c>
      <c r="W213" s="32" t="str">
        <f>"－"</f>
        <v>－</v>
      </c>
      <c r="X213" s="36" t="n">
        <f>17</f>
        <v>17.0</v>
      </c>
    </row>
    <row r="214">
      <c r="A214" s="27" t="s">
        <v>42</v>
      </c>
      <c r="B214" s="27" t="s">
        <v>686</v>
      </c>
      <c r="C214" s="27" t="s">
        <v>687</v>
      </c>
      <c r="D214" s="27" t="s">
        <v>688</v>
      </c>
      <c r="E214" s="28" t="s">
        <v>46</v>
      </c>
      <c r="F214" s="29" t="s">
        <v>46</v>
      </c>
      <c r="G214" s="30" t="s">
        <v>46</v>
      </c>
      <c r="H214" s="31"/>
      <c r="I214" s="31" t="s">
        <v>634</v>
      </c>
      <c r="J214" s="32" t="n">
        <v>1.0</v>
      </c>
      <c r="K214" s="33" t="n">
        <f>11150</f>
        <v>11150.0</v>
      </c>
      <c r="L214" s="34" t="s">
        <v>48</v>
      </c>
      <c r="M214" s="33" t="n">
        <f>11290</f>
        <v>11290.0</v>
      </c>
      <c r="N214" s="34" t="s">
        <v>61</v>
      </c>
      <c r="O214" s="33" t="n">
        <f>10440</f>
        <v>10440.0</v>
      </c>
      <c r="P214" s="34" t="s">
        <v>50</v>
      </c>
      <c r="Q214" s="33" t="n">
        <f>10650</f>
        <v>10650.0</v>
      </c>
      <c r="R214" s="34" t="s">
        <v>51</v>
      </c>
      <c r="S214" s="35" t="n">
        <f>10982.5</f>
        <v>10982.5</v>
      </c>
      <c r="T214" s="32" t="n">
        <f>4235</f>
        <v>4235.0</v>
      </c>
      <c r="U214" s="32" t="n">
        <f>3000</f>
        <v>3000.0</v>
      </c>
      <c r="V214" s="32" t="n">
        <f>45528680</f>
        <v>4.552868E7</v>
      </c>
      <c r="W214" s="32" t="n">
        <f>31920000</f>
        <v>3.192E7</v>
      </c>
      <c r="X214" s="36" t="n">
        <f>12</f>
        <v>12.0</v>
      </c>
    </row>
    <row r="215">
      <c r="A215" s="27" t="s">
        <v>42</v>
      </c>
      <c r="B215" s="27" t="s">
        <v>689</v>
      </c>
      <c r="C215" s="27" t="s">
        <v>690</v>
      </c>
      <c r="D215" s="27" t="s">
        <v>691</v>
      </c>
      <c r="E215" s="28" t="s">
        <v>46</v>
      </c>
      <c r="F215" s="29" t="s">
        <v>46</v>
      </c>
      <c r="G215" s="30" t="s">
        <v>46</v>
      </c>
      <c r="H215" s="31"/>
      <c r="I215" s="31" t="s">
        <v>634</v>
      </c>
      <c r="J215" s="32" t="n">
        <v>1.0</v>
      </c>
      <c r="K215" s="33" t="n">
        <f>12050</f>
        <v>12050.0</v>
      </c>
      <c r="L215" s="34" t="s">
        <v>48</v>
      </c>
      <c r="M215" s="33" t="n">
        <f>12100</f>
        <v>12100.0</v>
      </c>
      <c r="N215" s="34" t="s">
        <v>86</v>
      </c>
      <c r="O215" s="33" t="n">
        <f>11610</f>
        <v>11610.0</v>
      </c>
      <c r="P215" s="34" t="s">
        <v>50</v>
      </c>
      <c r="Q215" s="33" t="n">
        <f>11610</f>
        <v>11610.0</v>
      </c>
      <c r="R215" s="34" t="s">
        <v>50</v>
      </c>
      <c r="S215" s="35" t="n">
        <f>11840</f>
        <v>11840.0</v>
      </c>
      <c r="T215" s="32" t="n">
        <f>1465</f>
        <v>1465.0</v>
      </c>
      <c r="U215" s="32" t="str">
        <f>"－"</f>
        <v>－</v>
      </c>
      <c r="V215" s="32" t="n">
        <f>17081190</f>
        <v>1.708119E7</v>
      </c>
      <c r="W215" s="32" t="str">
        <f>"－"</f>
        <v>－</v>
      </c>
      <c r="X215" s="36" t="n">
        <f>8</f>
        <v>8.0</v>
      </c>
    </row>
    <row r="216">
      <c r="A216" s="27" t="s">
        <v>42</v>
      </c>
      <c r="B216" s="27" t="s">
        <v>692</v>
      </c>
      <c r="C216" s="27" t="s">
        <v>693</v>
      </c>
      <c r="D216" s="27" t="s">
        <v>694</v>
      </c>
      <c r="E216" s="28" t="s">
        <v>46</v>
      </c>
      <c r="F216" s="29" t="s">
        <v>46</v>
      </c>
      <c r="G216" s="30" t="s">
        <v>46</v>
      </c>
      <c r="H216" s="31"/>
      <c r="I216" s="31" t="s">
        <v>634</v>
      </c>
      <c r="J216" s="32" t="n">
        <v>1.0</v>
      </c>
      <c r="K216" s="33" t="n">
        <f>13460</f>
        <v>13460.0</v>
      </c>
      <c r="L216" s="34" t="s">
        <v>100</v>
      </c>
      <c r="M216" s="33" t="n">
        <f>14130</f>
        <v>14130.0</v>
      </c>
      <c r="N216" s="34" t="s">
        <v>51</v>
      </c>
      <c r="O216" s="33" t="n">
        <f>13320</f>
        <v>13320.0</v>
      </c>
      <c r="P216" s="34" t="s">
        <v>65</v>
      </c>
      <c r="Q216" s="33" t="n">
        <f>14000</f>
        <v>14000.0</v>
      </c>
      <c r="R216" s="34" t="s">
        <v>51</v>
      </c>
      <c r="S216" s="35" t="n">
        <f>13684.17</f>
        <v>13684.17</v>
      </c>
      <c r="T216" s="32" t="n">
        <f>6534</f>
        <v>6534.0</v>
      </c>
      <c r="U216" s="32" t="str">
        <f>"－"</f>
        <v>－</v>
      </c>
      <c r="V216" s="32" t="n">
        <f>91268550</f>
        <v>9.126855E7</v>
      </c>
      <c r="W216" s="32" t="str">
        <f>"－"</f>
        <v>－</v>
      </c>
      <c r="X216" s="36" t="n">
        <f>12</f>
        <v>12.0</v>
      </c>
    </row>
    <row r="217">
      <c r="A217" s="27" t="s">
        <v>42</v>
      </c>
      <c r="B217" s="27" t="s">
        <v>695</v>
      </c>
      <c r="C217" s="27" t="s">
        <v>696</v>
      </c>
      <c r="D217" s="27" t="s">
        <v>697</v>
      </c>
      <c r="E217" s="28" t="s">
        <v>46</v>
      </c>
      <c r="F217" s="29" t="s">
        <v>46</v>
      </c>
      <c r="G217" s="30" t="s">
        <v>46</v>
      </c>
      <c r="H217" s="31"/>
      <c r="I217" s="31" t="s">
        <v>634</v>
      </c>
      <c r="J217" s="32" t="n">
        <v>1.0</v>
      </c>
      <c r="K217" s="33" t="n">
        <f>10970</f>
        <v>10970.0</v>
      </c>
      <c r="L217" s="34" t="s">
        <v>48</v>
      </c>
      <c r="M217" s="33" t="n">
        <f>11290</f>
        <v>11290.0</v>
      </c>
      <c r="N217" s="34" t="s">
        <v>49</v>
      </c>
      <c r="O217" s="33" t="n">
        <f>10720</f>
        <v>10720.0</v>
      </c>
      <c r="P217" s="34" t="s">
        <v>50</v>
      </c>
      <c r="Q217" s="33" t="n">
        <f>10840</f>
        <v>10840.0</v>
      </c>
      <c r="R217" s="34" t="s">
        <v>51</v>
      </c>
      <c r="S217" s="35" t="n">
        <f>11052.63</f>
        <v>11052.63</v>
      </c>
      <c r="T217" s="32" t="n">
        <f>23973</f>
        <v>23973.0</v>
      </c>
      <c r="U217" s="32" t="n">
        <f>7000</f>
        <v>7000.0</v>
      </c>
      <c r="V217" s="32" t="n">
        <f>267629770</f>
        <v>2.6762977E8</v>
      </c>
      <c r="W217" s="32" t="n">
        <f>78036000</f>
        <v>7.8036E7</v>
      </c>
      <c r="X217" s="36" t="n">
        <f>19</f>
        <v>19.0</v>
      </c>
    </row>
    <row r="218">
      <c r="A218" s="27" t="s">
        <v>42</v>
      </c>
      <c r="B218" s="27" t="s">
        <v>698</v>
      </c>
      <c r="C218" s="27" t="s">
        <v>699</v>
      </c>
      <c r="D218" s="27" t="s">
        <v>700</v>
      </c>
      <c r="E218" s="28" t="s">
        <v>46</v>
      </c>
      <c r="F218" s="29" t="s">
        <v>46</v>
      </c>
      <c r="G218" s="30" t="s">
        <v>46</v>
      </c>
      <c r="H218" s="31"/>
      <c r="I218" s="31" t="s">
        <v>634</v>
      </c>
      <c r="J218" s="32" t="n">
        <v>1.0</v>
      </c>
      <c r="K218" s="33" t="n">
        <f>10130</f>
        <v>10130.0</v>
      </c>
      <c r="L218" s="34" t="s">
        <v>100</v>
      </c>
      <c r="M218" s="33" t="n">
        <f>10380</f>
        <v>10380.0</v>
      </c>
      <c r="N218" s="34" t="s">
        <v>99</v>
      </c>
      <c r="O218" s="33" t="n">
        <f>9630</f>
        <v>9630.0</v>
      </c>
      <c r="P218" s="34" t="s">
        <v>50</v>
      </c>
      <c r="Q218" s="33" t="n">
        <f>9810</f>
        <v>9810.0</v>
      </c>
      <c r="R218" s="34" t="s">
        <v>51</v>
      </c>
      <c r="S218" s="35" t="n">
        <f>10081.82</f>
        <v>10081.82</v>
      </c>
      <c r="T218" s="32" t="n">
        <f>7277</f>
        <v>7277.0</v>
      </c>
      <c r="U218" s="32" t="str">
        <f>"－"</f>
        <v>－</v>
      </c>
      <c r="V218" s="32" t="n">
        <f>72291230</f>
        <v>7.229123E7</v>
      </c>
      <c r="W218" s="32" t="str">
        <f>"－"</f>
        <v>－</v>
      </c>
      <c r="X218" s="36" t="n">
        <f>11</f>
        <v>11.0</v>
      </c>
    </row>
    <row r="219">
      <c r="A219" s="27" t="s">
        <v>42</v>
      </c>
      <c r="B219" s="27" t="s">
        <v>701</v>
      </c>
      <c r="C219" s="27" t="s">
        <v>702</v>
      </c>
      <c r="D219" s="27" t="s">
        <v>703</v>
      </c>
      <c r="E219" s="28" t="s">
        <v>46</v>
      </c>
      <c r="F219" s="29" t="s">
        <v>46</v>
      </c>
      <c r="G219" s="30" t="s">
        <v>46</v>
      </c>
      <c r="H219" s="31"/>
      <c r="I219" s="31" t="s">
        <v>634</v>
      </c>
      <c r="J219" s="32" t="n">
        <v>1.0</v>
      </c>
      <c r="K219" s="33" t="n">
        <f>12210</f>
        <v>12210.0</v>
      </c>
      <c r="L219" s="34" t="s">
        <v>86</v>
      </c>
      <c r="M219" s="33" t="n">
        <f>12210</f>
        <v>12210.0</v>
      </c>
      <c r="N219" s="34" t="s">
        <v>86</v>
      </c>
      <c r="O219" s="33" t="n">
        <f>12120</f>
        <v>12120.0</v>
      </c>
      <c r="P219" s="34" t="s">
        <v>175</v>
      </c>
      <c r="Q219" s="33" t="n">
        <f>12120</f>
        <v>12120.0</v>
      </c>
      <c r="R219" s="34" t="s">
        <v>175</v>
      </c>
      <c r="S219" s="35" t="n">
        <f>12165</f>
        <v>12165.0</v>
      </c>
      <c r="T219" s="32" t="n">
        <f>8</f>
        <v>8.0</v>
      </c>
      <c r="U219" s="32" t="str">
        <f>"－"</f>
        <v>－</v>
      </c>
      <c r="V219" s="32" t="n">
        <f>97050</f>
        <v>97050.0</v>
      </c>
      <c r="W219" s="32" t="str">
        <f>"－"</f>
        <v>－</v>
      </c>
      <c r="X219" s="36" t="n">
        <f>2</f>
        <v>2.0</v>
      </c>
    </row>
    <row r="220">
      <c r="A220" s="27" t="s">
        <v>42</v>
      </c>
      <c r="B220" s="27" t="s">
        <v>704</v>
      </c>
      <c r="C220" s="27" t="s">
        <v>705</v>
      </c>
      <c r="D220" s="27" t="s">
        <v>706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1015</f>
        <v>1015.0</v>
      </c>
      <c r="L220" s="34" t="s">
        <v>48</v>
      </c>
      <c r="M220" s="33" t="n">
        <f>1018</f>
        <v>1018.0</v>
      </c>
      <c r="N220" s="34" t="s">
        <v>65</v>
      </c>
      <c r="O220" s="33" t="n">
        <f>1009</f>
        <v>1009.0</v>
      </c>
      <c r="P220" s="34" t="s">
        <v>90</v>
      </c>
      <c r="Q220" s="33" t="n">
        <f>1017</f>
        <v>1017.0</v>
      </c>
      <c r="R220" s="34" t="s">
        <v>51</v>
      </c>
      <c r="S220" s="35" t="n">
        <f>1012.79</f>
        <v>1012.79</v>
      </c>
      <c r="T220" s="32" t="n">
        <f>56120</f>
        <v>56120.0</v>
      </c>
      <c r="U220" s="32" t="str">
        <f>"－"</f>
        <v>－</v>
      </c>
      <c r="V220" s="32" t="n">
        <f>56849490</f>
        <v>5.684949E7</v>
      </c>
      <c r="W220" s="32" t="str">
        <f>"－"</f>
        <v>－</v>
      </c>
      <c r="X220" s="36" t="n">
        <f>19</f>
        <v>19.0</v>
      </c>
    </row>
    <row r="221">
      <c r="A221" s="27" t="s">
        <v>42</v>
      </c>
      <c r="B221" s="27" t="s">
        <v>707</v>
      </c>
      <c r="C221" s="27" t="s">
        <v>708</v>
      </c>
      <c r="D221" s="27" t="s">
        <v>709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989</f>
        <v>989.0</v>
      </c>
      <c r="L221" s="34" t="s">
        <v>48</v>
      </c>
      <c r="M221" s="33" t="n">
        <f>994</f>
        <v>994.0</v>
      </c>
      <c r="N221" s="34" t="s">
        <v>79</v>
      </c>
      <c r="O221" s="33" t="n">
        <f>967</f>
        <v>967.0</v>
      </c>
      <c r="P221" s="34" t="s">
        <v>65</v>
      </c>
      <c r="Q221" s="33" t="n">
        <f>987</f>
        <v>987.0</v>
      </c>
      <c r="R221" s="34" t="s">
        <v>51</v>
      </c>
      <c r="S221" s="35" t="n">
        <f>981.42</f>
        <v>981.42</v>
      </c>
      <c r="T221" s="32" t="n">
        <f>240580</f>
        <v>240580.0</v>
      </c>
      <c r="U221" s="32" t="n">
        <f>74800</f>
        <v>74800.0</v>
      </c>
      <c r="V221" s="32" t="n">
        <f>236241750</f>
        <v>2.3624175E8</v>
      </c>
      <c r="W221" s="32" t="n">
        <f>73536220</f>
        <v>7.353622E7</v>
      </c>
      <c r="X221" s="36" t="n">
        <f>19</f>
        <v>19.0</v>
      </c>
    </row>
    <row r="222">
      <c r="A222" s="27" t="s">
        <v>42</v>
      </c>
      <c r="B222" s="27" t="s">
        <v>710</v>
      </c>
      <c r="C222" s="27" t="s">
        <v>711</v>
      </c>
      <c r="D222" s="27" t="s">
        <v>712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1018</f>
        <v>1018.0</v>
      </c>
      <c r="L222" s="34" t="s">
        <v>48</v>
      </c>
      <c r="M222" s="33" t="n">
        <f>1033</f>
        <v>1033.0</v>
      </c>
      <c r="N222" s="34" t="s">
        <v>50</v>
      </c>
      <c r="O222" s="33" t="n">
        <f>1013</f>
        <v>1013.0</v>
      </c>
      <c r="P222" s="34" t="s">
        <v>119</v>
      </c>
      <c r="Q222" s="33" t="n">
        <f>1032</f>
        <v>1032.0</v>
      </c>
      <c r="R222" s="34" t="s">
        <v>51</v>
      </c>
      <c r="S222" s="35" t="n">
        <f>1021</f>
        <v>1021.0</v>
      </c>
      <c r="T222" s="32" t="n">
        <f>1185770</f>
        <v>1185770.0</v>
      </c>
      <c r="U222" s="32" t="n">
        <f>1148150</f>
        <v>1148150.0</v>
      </c>
      <c r="V222" s="32" t="n">
        <f>1205898295</f>
        <v>1.205898295E9</v>
      </c>
      <c r="W222" s="32" t="n">
        <f>1167541155</f>
        <v>1.167541155E9</v>
      </c>
      <c r="X222" s="36" t="n">
        <f>19</f>
        <v>19.0</v>
      </c>
    </row>
    <row r="223">
      <c r="A223" s="27" t="s">
        <v>42</v>
      </c>
      <c r="B223" s="27" t="s">
        <v>713</v>
      </c>
      <c r="C223" s="27" t="s">
        <v>714</v>
      </c>
      <c r="D223" s="27" t="s">
        <v>715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1121</f>
        <v>1121.0</v>
      </c>
      <c r="L223" s="34" t="s">
        <v>48</v>
      </c>
      <c r="M223" s="33" t="n">
        <f>1189</f>
        <v>1189.0</v>
      </c>
      <c r="N223" s="34" t="s">
        <v>309</v>
      </c>
      <c r="O223" s="33" t="n">
        <f>1106</f>
        <v>1106.0</v>
      </c>
      <c r="P223" s="34" t="s">
        <v>65</v>
      </c>
      <c r="Q223" s="33" t="n">
        <f>1151</f>
        <v>1151.0</v>
      </c>
      <c r="R223" s="34" t="s">
        <v>51</v>
      </c>
      <c r="S223" s="35" t="n">
        <f>1154.63</f>
        <v>1154.63</v>
      </c>
      <c r="T223" s="32" t="n">
        <f>179390</f>
        <v>179390.0</v>
      </c>
      <c r="U223" s="32" t="str">
        <f>"－"</f>
        <v>－</v>
      </c>
      <c r="V223" s="32" t="n">
        <f>202459600</f>
        <v>2.024596E8</v>
      </c>
      <c r="W223" s="32" t="str">
        <f>"－"</f>
        <v>－</v>
      </c>
      <c r="X223" s="36" t="n">
        <f>19</f>
        <v>19.0</v>
      </c>
    </row>
    <row r="224">
      <c r="A224" s="27" t="s">
        <v>42</v>
      </c>
      <c r="B224" s="27" t="s">
        <v>716</v>
      </c>
      <c r="C224" s="27" t="s">
        <v>717</v>
      </c>
      <c r="D224" s="27" t="s">
        <v>718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1153</f>
        <v>1153.0</v>
      </c>
      <c r="L224" s="34" t="s">
        <v>48</v>
      </c>
      <c r="M224" s="33" t="n">
        <f>1212</f>
        <v>1212.0</v>
      </c>
      <c r="N224" s="34" t="s">
        <v>91</v>
      </c>
      <c r="O224" s="33" t="n">
        <f>1137</f>
        <v>1137.0</v>
      </c>
      <c r="P224" s="34" t="s">
        <v>65</v>
      </c>
      <c r="Q224" s="33" t="n">
        <f>1173</f>
        <v>1173.0</v>
      </c>
      <c r="R224" s="34" t="s">
        <v>51</v>
      </c>
      <c r="S224" s="35" t="n">
        <f>1169.39</f>
        <v>1169.39</v>
      </c>
      <c r="T224" s="32" t="n">
        <f>279040</f>
        <v>279040.0</v>
      </c>
      <c r="U224" s="32" t="n">
        <f>47000</f>
        <v>47000.0</v>
      </c>
      <c r="V224" s="32" t="n">
        <f>324583710</f>
        <v>3.2458371E8</v>
      </c>
      <c r="W224" s="32" t="n">
        <f>55093400</f>
        <v>5.50934E7</v>
      </c>
      <c r="X224" s="36" t="n">
        <f>18</f>
        <v>18.0</v>
      </c>
    </row>
    <row r="225">
      <c r="A225" s="27" t="s">
        <v>42</v>
      </c>
      <c r="B225" s="27" t="s">
        <v>719</v>
      </c>
      <c r="C225" s="27" t="s">
        <v>720</v>
      </c>
      <c r="D225" s="27" t="s">
        <v>721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1064</f>
        <v>1064.0</v>
      </c>
      <c r="L225" s="34" t="s">
        <v>48</v>
      </c>
      <c r="M225" s="33" t="n">
        <f>1108</f>
        <v>1108.0</v>
      </c>
      <c r="N225" s="34" t="s">
        <v>91</v>
      </c>
      <c r="O225" s="33" t="n">
        <f>1053</f>
        <v>1053.0</v>
      </c>
      <c r="P225" s="34" t="s">
        <v>65</v>
      </c>
      <c r="Q225" s="33" t="n">
        <f>1091</f>
        <v>1091.0</v>
      </c>
      <c r="R225" s="34" t="s">
        <v>51</v>
      </c>
      <c r="S225" s="35" t="n">
        <f>1086.47</f>
        <v>1086.47</v>
      </c>
      <c r="T225" s="32" t="n">
        <f>366840</f>
        <v>366840.0</v>
      </c>
      <c r="U225" s="32" t="n">
        <f>143440</f>
        <v>143440.0</v>
      </c>
      <c r="V225" s="32" t="n">
        <f>397331545</f>
        <v>3.97331545E8</v>
      </c>
      <c r="W225" s="32" t="n">
        <f>156494665</f>
        <v>1.56494665E8</v>
      </c>
      <c r="X225" s="36" t="n">
        <f>19</f>
        <v>19.0</v>
      </c>
    </row>
    <row r="226">
      <c r="A226" s="27" t="s">
        <v>42</v>
      </c>
      <c r="B226" s="27" t="s">
        <v>722</v>
      </c>
      <c r="C226" s="27" t="s">
        <v>723</v>
      </c>
      <c r="D226" s="27" t="s">
        <v>724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671</f>
        <v>671.0</v>
      </c>
      <c r="L226" s="34" t="s">
        <v>48</v>
      </c>
      <c r="M226" s="33" t="n">
        <f>685</f>
        <v>685.0</v>
      </c>
      <c r="N226" s="34" t="s">
        <v>90</v>
      </c>
      <c r="O226" s="33" t="n">
        <f>614</f>
        <v>614.0</v>
      </c>
      <c r="P226" s="34" t="s">
        <v>50</v>
      </c>
      <c r="Q226" s="33" t="n">
        <f>634</f>
        <v>634.0</v>
      </c>
      <c r="R226" s="34" t="s">
        <v>51</v>
      </c>
      <c r="S226" s="35" t="n">
        <f>664.37</f>
        <v>664.37</v>
      </c>
      <c r="T226" s="32" t="n">
        <f>1529810</f>
        <v>1529810.0</v>
      </c>
      <c r="U226" s="32" t="n">
        <f>100760</f>
        <v>100760.0</v>
      </c>
      <c r="V226" s="32" t="n">
        <f>1003505614</f>
        <v>1.003505614E9</v>
      </c>
      <c r="W226" s="32" t="n">
        <f>65620784</f>
        <v>6.5620784E7</v>
      </c>
      <c r="X226" s="36" t="n">
        <f>19</f>
        <v>19.0</v>
      </c>
    </row>
    <row r="227">
      <c r="A227" s="27" t="s">
        <v>42</v>
      </c>
      <c r="B227" s="27" t="s">
        <v>725</v>
      </c>
      <c r="C227" s="27" t="s">
        <v>726</v>
      </c>
      <c r="D227" s="27" t="s">
        <v>727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1264</f>
        <v>1264.0</v>
      </c>
      <c r="L227" s="34" t="s">
        <v>48</v>
      </c>
      <c r="M227" s="33" t="n">
        <f>1300</f>
        <v>1300.0</v>
      </c>
      <c r="N227" s="34" t="s">
        <v>51</v>
      </c>
      <c r="O227" s="33" t="n">
        <f>1248</f>
        <v>1248.0</v>
      </c>
      <c r="P227" s="34" t="s">
        <v>119</v>
      </c>
      <c r="Q227" s="33" t="n">
        <f>1300</f>
        <v>1300.0</v>
      </c>
      <c r="R227" s="34" t="s">
        <v>51</v>
      </c>
      <c r="S227" s="35" t="n">
        <f>1271</f>
        <v>1271.0</v>
      </c>
      <c r="T227" s="32" t="n">
        <f>791010</f>
        <v>791010.0</v>
      </c>
      <c r="U227" s="32" t="n">
        <f>777000</f>
        <v>777000.0</v>
      </c>
      <c r="V227" s="32" t="n">
        <f>1018494870</f>
        <v>1.01849487E9</v>
      </c>
      <c r="W227" s="32" t="n">
        <f>1000744920</f>
        <v>1.00074492E9</v>
      </c>
      <c r="X227" s="36" t="n">
        <f>19</f>
        <v>19.0</v>
      </c>
    </row>
    <row r="228">
      <c r="A228" s="27" t="s">
        <v>42</v>
      </c>
      <c r="B228" s="27" t="s">
        <v>728</v>
      </c>
      <c r="C228" s="27" t="s">
        <v>729</v>
      </c>
      <c r="D228" s="27" t="s">
        <v>730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977</f>
        <v>977.0</v>
      </c>
      <c r="L228" s="34" t="s">
        <v>48</v>
      </c>
      <c r="M228" s="33" t="n">
        <f>1042</f>
        <v>1042.0</v>
      </c>
      <c r="N228" s="34" t="s">
        <v>72</v>
      </c>
      <c r="O228" s="33" t="n">
        <f>965</f>
        <v>965.0</v>
      </c>
      <c r="P228" s="34" t="s">
        <v>50</v>
      </c>
      <c r="Q228" s="33" t="n">
        <f>977</f>
        <v>977.0</v>
      </c>
      <c r="R228" s="34" t="s">
        <v>51</v>
      </c>
      <c r="S228" s="35" t="n">
        <f>996.74</f>
        <v>996.74</v>
      </c>
      <c r="T228" s="32" t="n">
        <f>925093</f>
        <v>925093.0</v>
      </c>
      <c r="U228" s="32" t="str">
        <f>"－"</f>
        <v>－</v>
      </c>
      <c r="V228" s="32" t="n">
        <f>908092801</f>
        <v>9.08092801E8</v>
      </c>
      <c r="W228" s="32" t="str">
        <f>"－"</f>
        <v>－</v>
      </c>
      <c r="X228" s="36" t="n">
        <f>19</f>
        <v>19.0</v>
      </c>
    </row>
    <row r="229">
      <c r="A229" s="27" t="s">
        <v>42</v>
      </c>
      <c r="B229" s="27" t="s">
        <v>731</v>
      </c>
      <c r="C229" s="27" t="s">
        <v>732</v>
      </c>
      <c r="D229" s="27" t="s">
        <v>733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1050</f>
        <v>1050.0</v>
      </c>
      <c r="L229" s="34" t="s">
        <v>48</v>
      </c>
      <c r="M229" s="33" t="n">
        <f>1130</f>
        <v>1130.0</v>
      </c>
      <c r="N229" s="34" t="s">
        <v>49</v>
      </c>
      <c r="O229" s="33" t="n">
        <f>1043</f>
        <v>1043.0</v>
      </c>
      <c r="P229" s="34" t="s">
        <v>48</v>
      </c>
      <c r="Q229" s="33" t="n">
        <f>1075</f>
        <v>1075.0</v>
      </c>
      <c r="R229" s="34" t="s">
        <v>51</v>
      </c>
      <c r="S229" s="35" t="n">
        <f>1068</f>
        <v>1068.0</v>
      </c>
      <c r="T229" s="32" t="n">
        <f>66990</f>
        <v>66990.0</v>
      </c>
      <c r="U229" s="32" t="str">
        <f>"－"</f>
        <v>－</v>
      </c>
      <c r="V229" s="32" t="n">
        <f>71404850</f>
        <v>7.140485E7</v>
      </c>
      <c r="W229" s="32" t="str">
        <f>"－"</f>
        <v>－</v>
      </c>
      <c r="X229" s="36" t="n">
        <f>19</f>
        <v>19.0</v>
      </c>
    </row>
    <row r="230">
      <c r="A230" s="27" t="s">
        <v>42</v>
      </c>
      <c r="B230" s="27" t="s">
        <v>734</v>
      </c>
      <c r="C230" s="27" t="s">
        <v>735</v>
      </c>
      <c r="D230" s="27" t="s">
        <v>736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1050</f>
        <v>1050.0</v>
      </c>
      <c r="L230" s="34" t="s">
        <v>48</v>
      </c>
      <c r="M230" s="33" t="n">
        <f>1093</f>
        <v>1093.0</v>
      </c>
      <c r="N230" s="34" t="s">
        <v>90</v>
      </c>
      <c r="O230" s="33" t="n">
        <f>1002</f>
        <v>1002.0</v>
      </c>
      <c r="P230" s="34" t="s">
        <v>51</v>
      </c>
      <c r="Q230" s="33" t="n">
        <f>1002</f>
        <v>1002.0</v>
      </c>
      <c r="R230" s="34" t="s">
        <v>51</v>
      </c>
      <c r="S230" s="35" t="n">
        <f>1050.89</f>
        <v>1050.89</v>
      </c>
      <c r="T230" s="32" t="n">
        <f>75490</f>
        <v>75490.0</v>
      </c>
      <c r="U230" s="32" t="n">
        <f>10</f>
        <v>10.0</v>
      </c>
      <c r="V230" s="32" t="n">
        <f>79798920</f>
        <v>7.979892E7</v>
      </c>
      <c r="W230" s="32" t="n">
        <f>10240</f>
        <v>10240.0</v>
      </c>
      <c r="X230" s="36" t="n">
        <f>19</f>
        <v>19.0</v>
      </c>
    </row>
    <row r="231">
      <c r="A231" s="27" t="s">
        <v>42</v>
      </c>
      <c r="B231" s="27" t="s">
        <v>737</v>
      </c>
      <c r="C231" s="27" t="s">
        <v>738</v>
      </c>
      <c r="D231" s="27" t="s">
        <v>739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1129</f>
        <v>1129.0</v>
      </c>
      <c r="L231" s="34" t="s">
        <v>48</v>
      </c>
      <c r="M231" s="33" t="n">
        <f>1162</f>
        <v>1162.0</v>
      </c>
      <c r="N231" s="34" t="s">
        <v>49</v>
      </c>
      <c r="O231" s="33" t="n">
        <f>1113</f>
        <v>1113.0</v>
      </c>
      <c r="P231" s="34" t="s">
        <v>65</v>
      </c>
      <c r="Q231" s="33" t="n">
        <f>1144</f>
        <v>1144.0</v>
      </c>
      <c r="R231" s="34" t="s">
        <v>51</v>
      </c>
      <c r="S231" s="35" t="n">
        <f>1144.16</f>
        <v>1144.16</v>
      </c>
      <c r="T231" s="32" t="n">
        <f>6400180</f>
        <v>6400180.0</v>
      </c>
      <c r="U231" s="32" t="n">
        <f>4426900</f>
        <v>4426900.0</v>
      </c>
      <c r="V231" s="32" t="n">
        <f>7275120210</f>
        <v>7.27512021E9</v>
      </c>
      <c r="W231" s="32" t="n">
        <f>5027488150</f>
        <v>5.02748815E9</v>
      </c>
      <c r="X231" s="36" t="n">
        <f>19</f>
        <v>19.0</v>
      </c>
    </row>
    <row r="232">
      <c r="A232" s="27" t="s">
        <v>42</v>
      </c>
      <c r="B232" s="27" t="s">
        <v>740</v>
      </c>
      <c r="C232" s="27" t="s">
        <v>741</v>
      </c>
      <c r="D232" s="27" t="s">
        <v>742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2463</f>
        <v>2463.0</v>
      </c>
      <c r="L232" s="34" t="s">
        <v>48</v>
      </c>
      <c r="M232" s="33" t="n">
        <f>2633</f>
        <v>2633.0</v>
      </c>
      <c r="N232" s="34" t="s">
        <v>49</v>
      </c>
      <c r="O232" s="33" t="n">
        <f>2433</f>
        <v>2433.0</v>
      </c>
      <c r="P232" s="34" t="s">
        <v>65</v>
      </c>
      <c r="Q232" s="33" t="n">
        <f>2480</f>
        <v>2480.0</v>
      </c>
      <c r="R232" s="34" t="s">
        <v>51</v>
      </c>
      <c r="S232" s="35" t="n">
        <f>2551</f>
        <v>2551.0</v>
      </c>
      <c r="T232" s="32" t="n">
        <f>32472</f>
        <v>32472.0</v>
      </c>
      <c r="U232" s="32" t="str">
        <f>"－"</f>
        <v>－</v>
      </c>
      <c r="V232" s="32" t="n">
        <f>82773171</f>
        <v>8.2773171E7</v>
      </c>
      <c r="W232" s="32" t="str">
        <f>"－"</f>
        <v>－</v>
      </c>
      <c r="X232" s="36" t="n">
        <f>19</f>
        <v>19.0</v>
      </c>
    </row>
    <row r="233">
      <c r="A233" s="27" t="s">
        <v>42</v>
      </c>
      <c r="B233" s="27" t="s">
        <v>743</v>
      </c>
      <c r="C233" s="27" t="s">
        <v>744</v>
      </c>
      <c r="D233" s="27" t="s">
        <v>745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1570</f>
        <v>1570.0</v>
      </c>
      <c r="L233" s="34" t="s">
        <v>90</v>
      </c>
      <c r="M233" s="33" t="n">
        <f>1570</f>
        <v>1570.0</v>
      </c>
      <c r="N233" s="34" t="s">
        <v>90</v>
      </c>
      <c r="O233" s="33" t="n">
        <f>1570</f>
        <v>1570.0</v>
      </c>
      <c r="P233" s="34" t="s">
        <v>90</v>
      </c>
      <c r="Q233" s="33" t="n">
        <f>1570</f>
        <v>1570.0</v>
      </c>
      <c r="R233" s="34" t="s">
        <v>90</v>
      </c>
      <c r="S233" s="35" t="n">
        <f>1570</f>
        <v>1570.0</v>
      </c>
      <c r="T233" s="32" t="n">
        <f>10</f>
        <v>10.0</v>
      </c>
      <c r="U233" s="32" t="str">
        <f>"－"</f>
        <v>－</v>
      </c>
      <c r="V233" s="32" t="n">
        <f>15700</f>
        <v>15700.0</v>
      </c>
      <c r="W233" s="32" t="str">
        <f>"－"</f>
        <v>－</v>
      </c>
      <c r="X233" s="36" t="n">
        <f>1</f>
        <v>1.0</v>
      </c>
    </row>
    <row r="234">
      <c r="A234" s="27" t="s">
        <v>42</v>
      </c>
      <c r="B234" s="27" t="s">
        <v>746</v>
      </c>
      <c r="C234" s="27" t="s">
        <v>747</v>
      </c>
      <c r="D234" s="27" t="s">
        <v>748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1715</f>
        <v>1715.0</v>
      </c>
      <c r="L234" s="34" t="s">
        <v>48</v>
      </c>
      <c r="M234" s="33" t="n">
        <f>1788</f>
        <v>1788.0</v>
      </c>
      <c r="N234" s="34" t="s">
        <v>175</v>
      </c>
      <c r="O234" s="33" t="n">
        <f>1712</f>
        <v>1712.0</v>
      </c>
      <c r="P234" s="34" t="s">
        <v>50</v>
      </c>
      <c r="Q234" s="33" t="n">
        <f>1712</f>
        <v>1712.0</v>
      </c>
      <c r="R234" s="34" t="s">
        <v>50</v>
      </c>
      <c r="S234" s="35" t="n">
        <f>1735.57</f>
        <v>1735.57</v>
      </c>
      <c r="T234" s="32" t="n">
        <f>209680</f>
        <v>209680.0</v>
      </c>
      <c r="U234" s="32" t="n">
        <f>208000</f>
        <v>208000.0</v>
      </c>
      <c r="V234" s="32" t="n">
        <f>367309750</f>
        <v>3.6730975E8</v>
      </c>
      <c r="W234" s="32" t="n">
        <f>364413600</f>
        <v>3.644136E8</v>
      </c>
      <c r="X234" s="36" t="n">
        <f>7</f>
        <v>7.0</v>
      </c>
    </row>
    <row r="235">
      <c r="A235" s="27" t="s">
        <v>42</v>
      </c>
      <c r="B235" s="27" t="s">
        <v>749</v>
      </c>
      <c r="C235" s="27" t="s">
        <v>750</v>
      </c>
      <c r="D235" s="27" t="s">
        <v>751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23710</f>
        <v>23710.0</v>
      </c>
      <c r="L235" s="34" t="s">
        <v>100</v>
      </c>
      <c r="M235" s="33" t="n">
        <f>24310</f>
        <v>24310.0</v>
      </c>
      <c r="N235" s="34" t="s">
        <v>79</v>
      </c>
      <c r="O235" s="33" t="n">
        <f>23230</f>
        <v>23230.0</v>
      </c>
      <c r="P235" s="34" t="s">
        <v>50</v>
      </c>
      <c r="Q235" s="33" t="n">
        <f>23230</f>
        <v>23230.0</v>
      </c>
      <c r="R235" s="34" t="s">
        <v>50</v>
      </c>
      <c r="S235" s="35" t="n">
        <f>23778.75</f>
        <v>23778.75</v>
      </c>
      <c r="T235" s="32" t="n">
        <f>41598</f>
        <v>41598.0</v>
      </c>
      <c r="U235" s="32" t="n">
        <f>39000</f>
        <v>39000.0</v>
      </c>
      <c r="V235" s="32" t="n">
        <f>998001160</f>
        <v>9.9800116E8</v>
      </c>
      <c r="W235" s="32" t="n">
        <f>936819000</f>
        <v>9.36819E8</v>
      </c>
      <c r="X235" s="36" t="n">
        <f>8</f>
        <v>8.0</v>
      </c>
    </row>
    <row r="236">
      <c r="A236" s="27" t="s">
        <v>42</v>
      </c>
      <c r="B236" s="27" t="s">
        <v>752</v>
      </c>
      <c r="C236" s="27" t="s">
        <v>753</v>
      </c>
      <c r="D236" s="27" t="s">
        <v>754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15280</f>
        <v>15280.0</v>
      </c>
      <c r="L236" s="34" t="s">
        <v>48</v>
      </c>
      <c r="M236" s="33" t="n">
        <f>15740</f>
        <v>15740.0</v>
      </c>
      <c r="N236" s="34" t="s">
        <v>49</v>
      </c>
      <c r="O236" s="33" t="n">
        <f>15090</f>
        <v>15090.0</v>
      </c>
      <c r="P236" s="34" t="s">
        <v>50</v>
      </c>
      <c r="Q236" s="33" t="n">
        <f>15230</f>
        <v>15230.0</v>
      </c>
      <c r="R236" s="34" t="s">
        <v>51</v>
      </c>
      <c r="S236" s="35" t="n">
        <f>15448.46</f>
        <v>15448.46</v>
      </c>
      <c r="T236" s="32" t="n">
        <f>22417</f>
        <v>22417.0</v>
      </c>
      <c r="U236" s="32" t="n">
        <f>10000</f>
        <v>10000.0</v>
      </c>
      <c r="V236" s="32" t="n">
        <f>348315540</f>
        <v>3.4831554E8</v>
      </c>
      <c r="W236" s="32" t="n">
        <f>156370000</f>
        <v>1.5637E8</v>
      </c>
      <c r="X236" s="36" t="n">
        <f>13</f>
        <v>13.0</v>
      </c>
    </row>
    <row r="237">
      <c r="A237" s="27" t="s">
        <v>42</v>
      </c>
      <c r="B237" s="27" t="s">
        <v>755</v>
      </c>
      <c r="C237" s="27" t="s">
        <v>756</v>
      </c>
      <c r="D237" s="27" t="s">
        <v>757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1279</f>
        <v>1279.0</v>
      </c>
      <c r="L237" s="34" t="s">
        <v>48</v>
      </c>
      <c r="M237" s="33" t="n">
        <f>1421</f>
        <v>1421.0</v>
      </c>
      <c r="N237" s="34" t="s">
        <v>61</v>
      </c>
      <c r="O237" s="33" t="n">
        <f>1235</f>
        <v>1235.0</v>
      </c>
      <c r="P237" s="34" t="s">
        <v>150</v>
      </c>
      <c r="Q237" s="33" t="n">
        <f>1295</f>
        <v>1295.0</v>
      </c>
      <c r="R237" s="34" t="s">
        <v>51</v>
      </c>
      <c r="S237" s="35" t="n">
        <f>1292.86</f>
        <v>1292.86</v>
      </c>
      <c r="T237" s="32" t="n">
        <f>915310</f>
        <v>915310.0</v>
      </c>
      <c r="U237" s="32" t="n">
        <f>683450</f>
        <v>683450.0</v>
      </c>
      <c r="V237" s="32" t="n">
        <f>1160537800</f>
        <v>1.1605378E9</v>
      </c>
      <c r="W237" s="32" t="n">
        <f>866633750</f>
        <v>8.6663375E8</v>
      </c>
      <c r="X237" s="36" t="n">
        <f>14</f>
        <v>14.0</v>
      </c>
    </row>
    <row r="238">
      <c r="A238" s="27" t="s">
        <v>42</v>
      </c>
      <c r="B238" s="27" t="s">
        <v>758</v>
      </c>
      <c r="C238" s="27" t="s">
        <v>759</v>
      </c>
      <c r="D238" s="27" t="s">
        <v>760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1260</f>
        <v>1260.0</v>
      </c>
      <c r="L238" s="34" t="s">
        <v>48</v>
      </c>
      <c r="M238" s="33" t="n">
        <f>1299</f>
        <v>1299.0</v>
      </c>
      <c r="N238" s="34" t="s">
        <v>51</v>
      </c>
      <c r="O238" s="33" t="n">
        <f>1241</f>
        <v>1241.0</v>
      </c>
      <c r="P238" s="34" t="s">
        <v>65</v>
      </c>
      <c r="Q238" s="33" t="n">
        <f>1299</f>
        <v>1299.0</v>
      </c>
      <c r="R238" s="34" t="s">
        <v>51</v>
      </c>
      <c r="S238" s="35" t="n">
        <f>1262.83</f>
        <v>1262.83</v>
      </c>
      <c r="T238" s="32" t="n">
        <f>15750</f>
        <v>15750.0</v>
      </c>
      <c r="U238" s="32" t="str">
        <f>"－"</f>
        <v>－</v>
      </c>
      <c r="V238" s="32" t="n">
        <f>19755910</f>
        <v>1.975591E7</v>
      </c>
      <c r="W238" s="32" t="str">
        <f>"－"</f>
        <v>－</v>
      </c>
      <c r="X238" s="36" t="n">
        <f>18</f>
        <v>18.0</v>
      </c>
    </row>
    <row r="239">
      <c r="A239" s="27" t="s">
        <v>42</v>
      </c>
      <c r="B239" s="27" t="s">
        <v>761</v>
      </c>
      <c r="C239" s="27" t="s">
        <v>762</v>
      </c>
      <c r="D239" s="27" t="s">
        <v>763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1029</f>
        <v>1029.0</v>
      </c>
      <c r="L239" s="34" t="s">
        <v>48</v>
      </c>
      <c r="M239" s="33" t="n">
        <f>1059</f>
        <v>1059.0</v>
      </c>
      <c r="N239" s="34" t="s">
        <v>49</v>
      </c>
      <c r="O239" s="33" t="n">
        <f>1012</f>
        <v>1012.0</v>
      </c>
      <c r="P239" s="34" t="s">
        <v>50</v>
      </c>
      <c r="Q239" s="33" t="n">
        <f>1023</f>
        <v>1023.0</v>
      </c>
      <c r="R239" s="34" t="s">
        <v>51</v>
      </c>
      <c r="S239" s="35" t="n">
        <f>1040.37</f>
        <v>1040.37</v>
      </c>
      <c r="T239" s="32" t="n">
        <f>67807</f>
        <v>67807.0</v>
      </c>
      <c r="U239" s="32" t="str">
        <f>"－"</f>
        <v>－</v>
      </c>
      <c r="V239" s="32" t="n">
        <f>70013645</f>
        <v>7.0013645E7</v>
      </c>
      <c r="W239" s="32" t="str">
        <f>"－"</f>
        <v>－</v>
      </c>
      <c r="X239" s="36" t="n">
        <f>19</f>
        <v>19.0</v>
      </c>
    </row>
    <row r="240">
      <c r="A240" s="27" t="s">
        <v>42</v>
      </c>
      <c r="B240" s="27" t="s">
        <v>764</v>
      </c>
      <c r="C240" s="27" t="s">
        <v>765</v>
      </c>
      <c r="D240" s="27" t="s">
        <v>766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10850</f>
        <v>10850.0</v>
      </c>
      <c r="L240" s="34" t="s">
        <v>100</v>
      </c>
      <c r="M240" s="33" t="n">
        <f>11010</f>
        <v>11010.0</v>
      </c>
      <c r="N240" s="34" t="s">
        <v>150</v>
      </c>
      <c r="O240" s="33" t="n">
        <f>10010</f>
        <v>10010.0</v>
      </c>
      <c r="P240" s="34" t="s">
        <v>95</v>
      </c>
      <c r="Q240" s="33" t="n">
        <f>10150</f>
        <v>10150.0</v>
      </c>
      <c r="R240" s="34" t="s">
        <v>51</v>
      </c>
      <c r="S240" s="35" t="n">
        <f>10685</f>
        <v>10685.0</v>
      </c>
      <c r="T240" s="32" t="n">
        <f>598</f>
        <v>598.0</v>
      </c>
      <c r="U240" s="32" t="str">
        <f>"－"</f>
        <v>－</v>
      </c>
      <c r="V240" s="32" t="n">
        <f>6352240</f>
        <v>6352240.0</v>
      </c>
      <c r="W240" s="32" t="str">
        <f>"－"</f>
        <v>－</v>
      </c>
      <c r="X240" s="36" t="n">
        <f>16</f>
        <v>16.0</v>
      </c>
    </row>
    <row r="241">
      <c r="A241" s="27" t="s">
        <v>42</v>
      </c>
      <c r="B241" s="27" t="s">
        <v>767</v>
      </c>
      <c r="C241" s="27" t="s">
        <v>768</v>
      </c>
      <c r="D241" s="27" t="s">
        <v>769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2289</f>
        <v>2289.0</v>
      </c>
      <c r="L241" s="34" t="s">
        <v>48</v>
      </c>
      <c r="M241" s="33" t="n">
        <f>2374</f>
        <v>2374.0</v>
      </c>
      <c r="N241" s="34" t="s">
        <v>51</v>
      </c>
      <c r="O241" s="33" t="n">
        <f>2246</f>
        <v>2246.0</v>
      </c>
      <c r="P241" s="34" t="s">
        <v>119</v>
      </c>
      <c r="Q241" s="33" t="n">
        <f>2368</f>
        <v>2368.0</v>
      </c>
      <c r="R241" s="34" t="s">
        <v>51</v>
      </c>
      <c r="S241" s="35" t="n">
        <f>2301.16</f>
        <v>2301.16</v>
      </c>
      <c r="T241" s="32" t="n">
        <f>6491</f>
        <v>6491.0</v>
      </c>
      <c r="U241" s="32" t="str">
        <f>"－"</f>
        <v>－</v>
      </c>
      <c r="V241" s="32" t="n">
        <f>14973248</f>
        <v>1.4973248E7</v>
      </c>
      <c r="W241" s="32" t="str">
        <f>"－"</f>
        <v>－</v>
      </c>
      <c r="X241" s="36" t="n">
        <f>19</f>
        <v>19.0</v>
      </c>
    </row>
    <row r="242">
      <c r="A242" s="27" t="s">
        <v>42</v>
      </c>
      <c r="B242" s="27" t="s">
        <v>770</v>
      </c>
      <c r="C242" s="27" t="s">
        <v>771</v>
      </c>
      <c r="D242" s="27" t="s">
        <v>772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1065</f>
        <v>1065.0</v>
      </c>
      <c r="L242" s="34" t="s">
        <v>100</v>
      </c>
      <c r="M242" s="33" t="n">
        <f>1159</f>
        <v>1159.0</v>
      </c>
      <c r="N242" s="34" t="s">
        <v>86</v>
      </c>
      <c r="O242" s="33" t="n">
        <f>1005</f>
        <v>1005.0</v>
      </c>
      <c r="P242" s="34" t="s">
        <v>95</v>
      </c>
      <c r="Q242" s="33" t="n">
        <f>1027</f>
        <v>1027.0</v>
      </c>
      <c r="R242" s="34" t="s">
        <v>95</v>
      </c>
      <c r="S242" s="35" t="n">
        <f>1093.29</f>
        <v>1093.29</v>
      </c>
      <c r="T242" s="32" t="n">
        <f>1550</f>
        <v>1550.0</v>
      </c>
      <c r="U242" s="32" t="str">
        <f>"－"</f>
        <v>－</v>
      </c>
      <c r="V242" s="32" t="n">
        <f>1746880</f>
        <v>1746880.0</v>
      </c>
      <c r="W242" s="32" t="str">
        <f>"－"</f>
        <v>－</v>
      </c>
      <c r="X242" s="36" t="n">
        <f>7</f>
        <v>7.0</v>
      </c>
    </row>
    <row r="243">
      <c r="A243" s="27" t="s">
        <v>42</v>
      </c>
      <c r="B243" s="27" t="s">
        <v>773</v>
      </c>
      <c r="C243" s="27" t="s">
        <v>774</v>
      </c>
      <c r="D243" s="27" t="s">
        <v>775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1003</f>
        <v>1003.0</v>
      </c>
      <c r="L243" s="34" t="s">
        <v>48</v>
      </c>
      <c r="M243" s="33" t="n">
        <f>1070</f>
        <v>1070.0</v>
      </c>
      <c r="N243" s="34" t="s">
        <v>51</v>
      </c>
      <c r="O243" s="33" t="n">
        <f>997</f>
        <v>997.0</v>
      </c>
      <c r="P243" s="34" t="s">
        <v>119</v>
      </c>
      <c r="Q243" s="33" t="n">
        <f>1010</f>
        <v>1010.0</v>
      </c>
      <c r="R243" s="34" t="s">
        <v>51</v>
      </c>
      <c r="S243" s="35" t="n">
        <f>1002.82</f>
        <v>1002.82</v>
      </c>
      <c r="T243" s="32" t="n">
        <f>16340</f>
        <v>16340.0</v>
      </c>
      <c r="U243" s="32" t="str">
        <f>"－"</f>
        <v>－</v>
      </c>
      <c r="V243" s="32" t="n">
        <f>16367610</f>
        <v>1.636761E7</v>
      </c>
      <c r="W243" s="32" t="str">
        <f>"－"</f>
        <v>－</v>
      </c>
      <c r="X243" s="36" t="n">
        <f>17</f>
        <v>17.0</v>
      </c>
    </row>
    <row r="244">
      <c r="A244" s="27" t="s">
        <v>42</v>
      </c>
      <c r="B244" s="27" t="s">
        <v>776</v>
      </c>
      <c r="C244" s="27" t="s">
        <v>777</v>
      </c>
      <c r="D244" s="27" t="s">
        <v>778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2192</f>
        <v>2192.0</v>
      </c>
      <c r="L244" s="34" t="s">
        <v>48</v>
      </c>
      <c r="M244" s="33" t="n">
        <f>2264</f>
        <v>2264.0</v>
      </c>
      <c r="N244" s="34" t="s">
        <v>51</v>
      </c>
      <c r="O244" s="33" t="n">
        <f>2145</f>
        <v>2145.0</v>
      </c>
      <c r="P244" s="34" t="s">
        <v>119</v>
      </c>
      <c r="Q244" s="33" t="n">
        <f>2264</f>
        <v>2264.0</v>
      </c>
      <c r="R244" s="34" t="s">
        <v>51</v>
      </c>
      <c r="S244" s="35" t="n">
        <f>2196.82</f>
        <v>2196.82</v>
      </c>
      <c r="T244" s="32" t="n">
        <f>3630</f>
        <v>3630.0</v>
      </c>
      <c r="U244" s="32" t="str">
        <f>"－"</f>
        <v>－</v>
      </c>
      <c r="V244" s="32" t="n">
        <f>7991480</f>
        <v>7991480.0</v>
      </c>
      <c r="W244" s="32" t="str">
        <f>"－"</f>
        <v>－</v>
      </c>
      <c r="X244" s="36" t="n">
        <f>17</f>
        <v>17.0</v>
      </c>
    </row>
    <row r="245">
      <c r="A245" s="27" t="s">
        <v>42</v>
      </c>
      <c r="B245" s="27" t="s">
        <v>779</v>
      </c>
      <c r="C245" s="27" t="s">
        <v>780</v>
      </c>
      <c r="D245" s="27" t="s">
        <v>781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2187</f>
        <v>2187.0</v>
      </c>
      <c r="L245" s="34" t="s">
        <v>48</v>
      </c>
      <c r="M245" s="33" t="n">
        <f>2241</f>
        <v>2241.0</v>
      </c>
      <c r="N245" s="34" t="s">
        <v>51</v>
      </c>
      <c r="O245" s="33" t="n">
        <f>2129</f>
        <v>2129.0</v>
      </c>
      <c r="P245" s="34" t="s">
        <v>119</v>
      </c>
      <c r="Q245" s="33" t="n">
        <f>2241</f>
        <v>2241.0</v>
      </c>
      <c r="R245" s="34" t="s">
        <v>51</v>
      </c>
      <c r="S245" s="35" t="n">
        <f>2172.08</f>
        <v>2172.08</v>
      </c>
      <c r="T245" s="32" t="n">
        <f>870</f>
        <v>870.0</v>
      </c>
      <c r="U245" s="32" t="str">
        <f>"－"</f>
        <v>－</v>
      </c>
      <c r="V245" s="32" t="n">
        <f>1882880</f>
        <v>1882880.0</v>
      </c>
      <c r="W245" s="32" t="str">
        <f>"－"</f>
        <v>－</v>
      </c>
      <c r="X245" s="36" t="n">
        <f>12</f>
        <v>12.0</v>
      </c>
    </row>
    <row r="246">
      <c r="A246" s="27" t="s">
        <v>42</v>
      </c>
      <c r="B246" s="27" t="s">
        <v>782</v>
      </c>
      <c r="C246" s="27" t="s">
        <v>783</v>
      </c>
      <c r="D246" s="27" t="s">
        <v>784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1698</f>
        <v>1698.0</v>
      </c>
      <c r="L246" s="34" t="s">
        <v>48</v>
      </c>
      <c r="M246" s="33" t="n">
        <f>1731</f>
        <v>1731.0</v>
      </c>
      <c r="N246" s="34" t="s">
        <v>175</v>
      </c>
      <c r="O246" s="33" t="n">
        <f>1690</f>
        <v>1690.0</v>
      </c>
      <c r="P246" s="34" t="s">
        <v>65</v>
      </c>
      <c r="Q246" s="33" t="n">
        <f>1697</f>
        <v>1697.0</v>
      </c>
      <c r="R246" s="34" t="s">
        <v>91</v>
      </c>
      <c r="S246" s="35" t="n">
        <f>1710.5</f>
        <v>1710.5</v>
      </c>
      <c r="T246" s="32" t="n">
        <f>250410</f>
        <v>250410.0</v>
      </c>
      <c r="U246" s="32" t="str">
        <f>"－"</f>
        <v>－</v>
      </c>
      <c r="V246" s="32" t="n">
        <f>431145110</f>
        <v>4.3114511E8</v>
      </c>
      <c r="W246" s="32" t="str">
        <f>"－"</f>
        <v>－</v>
      </c>
      <c r="X246" s="36" t="n">
        <f>6</f>
        <v>6.0</v>
      </c>
    </row>
    <row r="247">
      <c r="A247" s="27" t="s">
        <v>42</v>
      </c>
      <c r="B247" s="27" t="s">
        <v>785</v>
      </c>
      <c r="C247" s="27" t="s">
        <v>786</v>
      </c>
      <c r="D247" s="27" t="s">
        <v>787</v>
      </c>
      <c r="E247" s="28" t="s">
        <v>788</v>
      </c>
      <c r="F247" s="29" t="s">
        <v>789</v>
      </c>
      <c r="G247" s="30" t="s">
        <v>790</v>
      </c>
      <c r="H247" s="31"/>
      <c r="I247" s="31" t="s">
        <v>47</v>
      </c>
      <c r="J247" s="32" t="n">
        <v>1.0</v>
      </c>
      <c r="K247" s="33" t="n">
        <f>10180</f>
        <v>10180.0</v>
      </c>
      <c r="L247" s="34" t="s">
        <v>119</v>
      </c>
      <c r="M247" s="33" t="n">
        <f>10530</f>
        <v>10530.0</v>
      </c>
      <c r="N247" s="34" t="s">
        <v>49</v>
      </c>
      <c r="O247" s="33" t="n">
        <f>10130</f>
        <v>10130.0</v>
      </c>
      <c r="P247" s="34" t="s">
        <v>95</v>
      </c>
      <c r="Q247" s="33" t="n">
        <f>10280</f>
        <v>10280.0</v>
      </c>
      <c r="R247" s="34" t="s">
        <v>51</v>
      </c>
      <c r="S247" s="35" t="n">
        <f>10339.38</f>
        <v>10339.38</v>
      </c>
      <c r="T247" s="32" t="n">
        <f>50896</f>
        <v>50896.0</v>
      </c>
      <c r="U247" s="32" t="str">
        <f>"－"</f>
        <v>－</v>
      </c>
      <c r="V247" s="32" t="n">
        <f>525420310</f>
        <v>5.2542031E8</v>
      </c>
      <c r="W247" s="32" t="str">
        <f>"－"</f>
        <v>－</v>
      </c>
      <c r="X247" s="36" t="n">
        <f>16</f>
        <v>16.0</v>
      </c>
    </row>
    <row r="248">
      <c r="A248" s="27" t="s">
        <v>42</v>
      </c>
      <c r="B248" s="27" t="s">
        <v>791</v>
      </c>
      <c r="C248" s="27" t="s">
        <v>792</v>
      </c>
      <c r="D248" s="27" t="s">
        <v>793</v>
      </c>
      <c r="E248" s="28" t="s">
        <v>788</v>
      </c>
      <c r="F248" s="29" t="s">
        <v>789</v>
      </c>
      <c r="G248" s="30" t="s">
        <v>790</v>
      </c>
      <c r="H248" s="31"/>
      <c r="I248" s="31" t="s">
        <v>47</v>
      </c>
      <c r="J248" s="32" t="n">
        <v>1.0</v>
      </c>
      <c r="K248" s="33" t="n">
        <f>10200</f>
        <v>10200.0</v>
      </c>
      <c r="L248" s="34" t="s">
        <v>119</v>
      </c>
      <c r="M248" s="33" t="n">
        <f>10500</f>
        <v>10500.0</v>
      </c>
      <c r="N248" s="34" t="s">
        <v>150</v>
      </c>
      <c r="O248" s="33" t="n">
        <f>10030</f>
        <v>10030.0</v>
      </c>
      <c r="P248" s="34" t="s">
        <v>95</v>
      </c>
      <c r="Q248" s="33" t="n">
        <f>10180</f>
        <v>10180.0</v>
      </c>
      <c r="R248" s="34" t="s">
        <v>51</v>
      </c>
      <c r="S248" s="35" t="n">
        <f>10302.5</f>
        <v>10302.5</v>
      </c>
      <c r="T248" s="32" t="n">
        <f>30090</f>
        <v>30090.0</v>
      </c>
      <c r="U248" s="32" t="str">
        <f>"－"</f>
        <v>－</v>
      </c>
      <c r="V248" s="32" t="n">
        <f>309895850</f>
        <v>3.0989585E8</v>
      </c>
      <c r="W248" s="32" t="str">
        <f>"－"</f>
        <v>－</v>
      </c>
      <c r="X248" s="36" t="n">
        <f>16</f>
        <v>16.0</v>
      </c>
    </row>
    <row r="249">
      <c r="A249" s="27" t="s">
        <v>42</v>
      </c>
      <c r="B249" s="27" t="s">
        <v>794</v>
      </c>
      <c r="C249" s="27" t="s">
        <v>795</v>
      </c>
      <c r="D249" s="27" t="s">
        <v>796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131000</f>
        <v>131000.0</v>
      </c>
      <c r="L249" s="34" t="s">
        <v>48</v>
      </c>
      <c r="M249" s="33" t="n">
        <f>141300</f>
        <v>141300.0</v>
      </c>
      <c r="N249" s="34" t="s">
        <v>91</v>
      </c>
      <c r="O249" s="33" t="n">
        <f>128500</f>
        <v>128500.0</v>
      </c>
      <c r="P249" s="34" t="s">
        <v>65</v>
      </c>
      <c r="Q249" s="33" t="n">
        <f>131200</f>
        <v>131200.0</v>
      </c>
      <c r="R249" s="34" t="s">
        <v>51</v>
      </c>
      <c r="S249" s="35" t="n">
        <f>133105.26</f>
        <v>133105.26</v>
      </c>
      <c r="T249" s="32" t="n">
        <f>76070</f>
        <v>76070.0</v>
      </c>
      <c r="U249" s="32" t="n">
        <f>5958</f>
        <v>5958.0</v>
      </c>
      <c r="V249" s="32" t="n">
        <f>10174251004</f>
        <v>1.0174251004E10</v>
      </c>
      <c r="W249" s="32" t="n">
        <f>809331304</f>
        <v>8.09331304E8</v>
      </c>
      <c r="X249" s="36" t="n">
        <f>19</f>
        <v>19.0</v>
      </c>
    </row>
    <row r="250">
      <c r="A250" s="27" t="s">
        <v>42</v>
      </c>
      <c r="B250" s="27" t="s">
        <v>797</v>
      </c>
      <c r="C250" s="27" t="s">
        <v>798</v>
      </c>
      <c r="D250" s="27" t="s">
        <v>799</v>
      </c>
      <c r="E250" s="28" t="s">
        <v>46</v>
      </c>
      <c r="F250" s="29" t="s">
        <v>46</v>
      </c>
      <c r="G250" s="30" t="s">
        <v>46</v>
      </c>
      <c r="H250" s="31"/>
      <c r="I250" s="31" t="s">
        <v>634</v>
      </c>
      <c r="J250" s="32" t="n">
        <v>1.0</v>
      </c>
      <c r="K250" s="33" t="n">
        <f>127700</f>
        <v>127700.0</v>
      </c>
      <c r="L250" s="34" t="s">
        <v>48</v>
      </c>
      <c r="M250" s="33" t="n">
        <f>135800</f>
        <v>135800.0</v>
      </c>
      <c r="N250" s="34" t="s">
        <v>309</v>
      </c>
      <c r="O250" s="33" t="n">
        <f>125000</f>
        <v>125000.0</v>
      </c>
      <c r="P250" s="34" t="s">
        <v>65</v>
      </c>
      <c r="Q250" s="33" t="n">
        <f>135400</f>
        <v>135400.0</v>
      </c>
      <c r="R250" s="34" t="s">
        <v>51</v>
      </c>
      <c r="S250" s="35" t="n">
        <f>131000</f>
        <v>131000.0</v>
      </c>
      <c r="T250" s="32" t="n">
        <f>18290</f>
        <v>18290.0</v>
      </c>
      <c r="U250" s="32" t="n">
        <f>3553</f>
        <v>3553.0</v>
      </c>
      <c r="V250" s="32" t="n">
        <f>2393587689</f>
        <v>2.393587689E9</v>
      </c>
      <c r="W250" s="32" t="n">
        <f>463726489</f>
        <v>4.63726489E8</v>
      </c>
      <c r="X250" s="36" t="n">
        <f>19</f>
        <v>19.0</v>
      </c>
    </row>
    <row r="251">
      <c r="A251" s="27" t="s">
        <v>42</v>
      </c>
      <c r="B251" s="27" t="s">
        <v>800</v>
      </c>
      <c r="C251" s="27" t="s">
        <v>801</v>
      </c>
      <c r="D251" s="27" t="s">
        <v>802</v>
      </c>
      <c r="E251" s="28" t="s">
        <v>46</v>
      </c>
      <c r="F251" s="29" t="s">
        <v>46</v>
      </c>
      <c r="G251" s="30" t="s">
        <v>46</v>
      </c>
      <c r="H251" s="31"/>
      <c r="I251" s="31" t="s">
        <v>634</v>
      </c>
      <c r="J251" s="32" t="n">
        <v>1.0</v>
      </c>
      <c r="K251" s="33" t="n">
        <f>120100</f>
        <v>120100.0</v>
      </c>
      <c r="L251" s="34" t="s">
        <v>48</v>
      </c>
      <c r="M251" s="33" t="n">
        <f>126900</f>
        <v>126900.0</v>
      </c>
      <c r="N251" s="34" t="s">
        <v>51</v>
      </c>
      <c r="O251" s="33" t="n">
        <f>117900</f>
        <v>117900.0</v>
      </c>
      <c r="P251" s="34" t="s">
        <v>65</v>
      </c>
      <c r="Q251" s="33" t="n">
        <f>122700</f>
        <v>122700.0</v>
      </c>
      <c r="R251" s="34" t="s">
        <v>51</v>
      </c>
      <c r="S251" s="35" t="n">
        <f>121573.68</f>
        <v>121573.68</v>
      </c>
      <c r="T251" s="32" t="n">
        <f>227768</f>
        <v>227768.0</v>
      </c>
      <c r="U251" s="32" t="n">
        <f>72481</f>
        <v>72481.0</v>
      </c>
      <c r="V251" s="32" t="n">
        <f>27909122533</f>
        <v>2.7909122533E10</v>
      </c>
      <c r="W251" s="32" t="n">
        <f>8902757533</f>
        <v>8.902757533E9</v>
      </c>
      <c r="X251" s="36" t="n">
        <f>19</f>
        <v>19.0</v>
      </c>
    </row>
    <row r="252">
      <c r="A252" s="27" t="s">
        <v>42</v>
      </c>
      <c r="B252" s="27" t="s">
        <v>803</v>
      </c>
      <c r="C252" s="27" t="s">
        <v>804</v>
      </c>
      <c r="D252" s="27" t="s">
        <v>805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685000</f>
        <v>685000.0</v>
      </c>
      <c r="L252" s="34" t="s">
        <v>48</v>
      </c>
      <c r="M252" s="33" t="n">
        <f>722000</f>
        <v>722000.0</v>
      </c>
      <c r="N252" s="34" t="s">
        <v>51</v>
      </c>
      <c r="O252" s="33" t="n">
        <f>667000</f>
        <v>667000.0</v>
      </c>
      <c r="P252" s="34" t="s">
        <v>119</v>
      </c>
      <c r="Q252" s="33" t="n">
        <f>719000</f>
        <v>719000.0</v>
      </c>
      <c r="R252" s="34" t="s">
        <v>51</v>
      </c>
      <c r="S252" s="35" t="n">
        <f>686894.74</f>
        <v>686894.74</v>
      </c>
      <c r="T252" s="32" t="n">
        <f>29029</f>
        <v>29029.0</v>
      </c>
      <c r="U252" s="32" t="n">
        <f>5147</f>
        <v>5147.0</v>
      </c>
      <c r="V252" s="32" t="n">
        <f>19950577188</f>
        <v>1.9950577188E10</v>
      </c>
      <c r="W252" s="32" t="n">
        <f>3540548188</f>
        <v>3.540548188E9</v>
      </c>
      <c r="X252" s="36" t="n">
        <f>19</f>
        <v>19.0</v>
      </c>
    </row>
    <row r="253">
      <c r="A253" s="27" t="s">
        <v>42</v>
      </c>
      <c r="B253" s="27" t="s">
        <v>806</v>
      </c>
      <c r="C253" s="27" t="s">
        <v>807</v>
      </c>
      <c r="D253" s="27" t="s">
        <v>808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118000</f>
        <v>118000.0</v>
      </c>
      <c r="L253" s="34" t="s">
        <v>48</v>
      </c>
      <c r="M253" s="33" t="n">
        <f>128700</f>
        <v>128700.0</v>
      </c>
      <c r="N253" s="34" t="s">
        <v>51</v>
      </c>
      <c r="O253" s="33" t="n">
        <f>115200</f>
        <v>115200.0</v>
      </c>
      <c r="P253" s="34" t="s">
        <v>65</v>
      </c>
      <c r="Q253" s="33" t="n">
        <f>127500</f>
        <v>127500.0</v>
      </c>
      <c r="R253" s="34" t="s">
        <v>51</v>
      </c>
      <c r="S253" s="35" t="n">
        <f>121257.89</f>
        <v>121257.89</v>
      </c>
      <c r="T253" s="32" t="n">
        <f>204216</f>
        <v>204216.0</v>
      </c>
      <c r="U253" s="32" t="n">
        <f>36907</f>
        <v>36907.0</v>
      </c>
      <c r="V253" s="32" t="n">
        <f>24689409746</f>
        <v>2.4689409746E10</v>
      </c>
      <c r="W253" s="32" t="n">
        <f>4435741046</f>
        <v>4.435741046E9</v>
      </c>
      <c r="X253" s="36" t="n">
        <f>19</f>
        <v>19.0</v>
      </c>
    </row>
    <row r="254">
      <c r="A254" s="27" t="s">
        <v>42</v>
      </c>
      <c r="B254" s="27" t="s">
        <v>809</v>
      </c>
      <c r="C254" s="27" t="s">
        <v>810</v>
      </c>
      <c r="D254" s="27" t="s">
        <v>811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180400</f>
        <v>180400.0</v>
      </c>
      <c r="L254" s="34" t="s">
        <v>48</v>
      </c>
      <c r="M254" s="33" t="n">
        <f>184200</f>
        <v>184200.0</v>
      </c>
      <c r="N254" s="34" t="s">
        <v>91</v>
      </c>
      <c r="O254" s="33" t="n">
        <f>175200</f>
        <v>175200.0</v>
      </c>
      <c r="P254" s="34" t="s">
        <v>119</v>
      </c>
      <c r="Q254" s="33" t="n">
        <f>181700</f>
        <v>181700.0</v>
      </c>
      <c r="R254" s="34" t="s">
        <v>51</v>
      </c>
      <c r="S254" s="35" t="n">
        <f>179952.63</f>
        <v>179952.63</v>
      </c>
      <c r="T254" s="32" t="n">
        <f>123734</f>
        <v>123734.0</v>
      </c>
      <c r="U254" s="32" t="n">
        <f>23288</f>
        <v>23288.0</v>
      </c>
      <c r="V254" s="32" t="n">
        <f>22245257649</f>
        <v>2.2245257649E10</v>
      </c>
      <c r="W254" s="32" t="n">
        <f>4189901949</f>
        <v>4.189901949E9</v>
      </c>
      <c r="X254" s="36" t="n">
        <f>19</f>
        <v>19.0</v>
      </c>
    </row>
    <row r="255">
      <c r="A255" s="27" t="s">
        <v>42</v>
      </c>
      <c r="B255" s="27" t="s">
        <v>812</v>
      </c>
      <c r="C255" s="27" t="s">
        <v>813</v>
      </c>
      <c r="D255" s="27" t="s">
        <v>814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164600</f>
        <v>164600.0</v>
      </c>
      <c r="L255" s="34" t="s">
        <v>48</v>
      </c>
      <c r="M255" s="33" t="n">
        <f>171400</f>
        <v>171400.0</v>
      </c>
      <c r="N255" s="34" t="s">
        <v>245</v>
      </c>
      <c r="O255" s="33" t="n">
        <f>162900</f>
        <v>162900.0</v>
      </c>
      <c r="P255" s="34" t="s">
        <v>79</v>
      </c>
      <c r="Q255" s="33" t="n">
        <f>166800</f>
        <v>166800.0</v>
      </c>
      <c r="R255" s="34" t="s">
        <v>51</v>
      </c>
      <c r="S255" s="35" t="n">
        <f>166268.42</f>
        <v>166268.42</v>
      </c>
      <c r="T255" s="32" t="n">
        <f>143361</f>
        <v>143361.0</v>
      </c>
      <c r="U255" s="32" t="n">
        <f>29259</f>
        <v>29259.0</v>
      </c>
      <c r="V255" s="32" t="n">
        <f>23810003883</f>
        <v>2.3810003883E10</v>
      </c>
      <c r="W255" s="32" t="n">
        <f>4857210883</f>
        <v>4.857210883E9</v>
      </c>
      <c r="X255" s="36" t="n">
        <f>19</f>
        <v>19.0</v>
      </c>
    </row>
    <row r="256">
      <c r="A256" s="27" t="s">
        <v>42</v>
      </c>
      <c r="B256" s="27" t="s">
        <v>815</v>
      </c>
      <c r="C256" s="27" t="s">
        <v>816</v>
      </c>
      <c r="D256" s="27" t="s">
        <v>817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344000</f>
        <v>344000.0</v>
      </c>
      <c r="L256" s="34" t="s">
        <v>48</v>
      </c>
      <c r="M256" s="33" t="n">
        <f>347500</f>
        <v>347500.0</v>
      </c>
      <c r="N256" s="34" t="s">
        <v>95</v>
      </c>
      <c r="O256" s="33" t="n">
        <f>334500</f>
        <v>334500.0</v>
      </c>
      <c r="P256" s="34" t="s">
        <v>50</v>
      </c>
      <c r="Q256" s="33" t="n">
        <f>341500</f>
        <v>341500.0</v>
      </c>
      <c r="R256" s="34" t="s">
        <v>51</v>
      </c>
      <c r="S256" s="35" t="n">
        <f>341552.63</f>
        <v>341552.63</v>
      </c>
      <c r="T256" s="32" t="n">
        <f>94685</f>
        <v>94685.0</v>
      </c>
      <c r="U256" s="32" t="n">
        <f>22356</f>
        <v>22356.0</v>
      </c>
      <c r="V256" s="32" t="n">
        <f>32306176218</f>
        <v>3.2306176218E10</v>
      </c>
      <c r="W256" s="32" t="n">
        <f>7625749218</f>
        <v>7.625749218E9</v>
      </c>
      <c r="X256" s="36" t="n">
        <f>19</f>
        <v>19.0</v>
      </c>
    </row>
    <row r="257">
      <c r="A257" s="27" t="s">
        <v>42</v>
      </c>
      <c r="B257" s="27" t="s">
        <v>818</v>
      </c>
      <c r="C257" s="27" t="s">
        <v>819</v>
      </c>
      <c r="D257" s="27" t="s">
        <v>820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204600</f>
        <v>204600.0</v>
      </c>
      <c r="L257" s="34" t="s">
        <v>48</v>
      </c>
      <c r="M257" s="33" t="n">
        <f>219500</f>
        <v>219500.0</v>
      </c>
      <c r="N257" s="34" t="s">
        <v>91</v>
      </c>
      <c r="O257" s="33" t="n">
        <f>200500</f>
        <v>200500.0</v>
      </c>
      <c r="P257" s="34" t="s">
        <v>119</v>
      </c>
      <c r="Q257" s="33" t="n">
        <f>215200</f>
        <v>215200.0</v>
      </c>
      <c r="R257" s="34" t="s">
        <v>51</v>
      </c>
      <c r="S257" s="35" t="n">
        <f>209757.89</f>
        <v>209757.89</v>
      </c>
      <c r="T257" s="32" t="n">
        <f>60366</f>
        <v>60366.0</v>
      </c>
      <c r="U257" s="32" t="n">
        <f>11933</f>
        <v>11933.0</v>
      </c>
      <c r="V257" s="32" t="n">
        <f>12647339525</f>
        <v>1.2647339525E10</v>
      </c>
      <c r="W257" s="32" t="n">
        <f>2491965625</f>
        <v>2.491965625E9</v>
      </c>
      <c r="X257" s="36" t="n">
        <f>19</f>
        <v>19.0</v>
      </c>
    </row>
    <row r="258">
      <c r="A258" s="27" t="s">
        <v>42</v>
      </c>
      <c r="B258" s="27" t="s">
        <v>821</v>
      </c>
      <c r="C258" s="27" t="s">
        <v>822</v>
      </c>
      <c r="D258" s="27" t="s">
        <v>823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544000</f>
        <v>544000.0</v>
      </c>
      <c r="L258" s="34" t="s">
        <v>48</v>
      </c>
      <c r="M258" s="33" t="n">
        <f>582000</f>
        <v>582000.0</v>
      </c>
      <c r="N258" s="34" t="s">
        <v>51</v>
      </c>
      <c r="O258" s="33" t="n">
        <f>519000</f>
        <v>519000.0</v>
      </c>
      <c r="P258" s="34" t="s">
        <v>90</v>
      </c>
      <c r="Q258" s="33" t="n">
        <f>577000</f>
        <v>577000.0</v>
      </c>
      <c r="R258" s="34" t="s">
        <v>51</v>
      </c>
      <c r="S258" s="35" t="n">
        <f>546947.37</f>
        <v>546947.37</v>
      </c>
      <c r="T258" s="32" t="n">
        <f>73454</f>
        <v>73454.0</v>
      </c>
      <c r="U258" s="32" t="n">
        <f>14222</f>
        <v>14222.0</v>
      </c>
      <c r="V258" s="32" t="n">
        <f>40082324706</f>
        <v>4.0082324706E10</v>
      </c>
      <c r="W258" s="32" t="n">
        <f>7750026706</f>
        <v>7.750026706E9</v>
      </c>
      <c r="X258" s="36" t="n">
        <f>19</f>
        <v>19.0</v>
      </c>
    </row>
    <row r="259">
      <c r="A259" s="27" t="s">
        <v>42</v>
      </c>
      <c r="B259" s="27" t="s">
        <v>824</v>
      </c>
      <c r="C259" s="27" t="s">
        <v>825</v>
      </c>
      <c r="D259" s="27" t="s">
        <v>826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136300</f>
        <v>136300.0</v>
      </c>
      <c r="L259" s="34" t="s">
        <v>48</v>
      </c>
      <c r="M259" s="33" t="n">
        <f>146000</f>
        <v>146000.0</v>
      </c>
      <c r="N259" s="34" t="s">
        <v>51</v>
      </c>
      <c r="O259" s="33" t="n">
        <f>131600</f>
        <v>131600.0</v>
      </c>
      <c r="P259" s="34" t="s">
        <v>65</v>
      </c>
      <c r="Q259" s="33" t="n">
        <f>145300</f>
        <v>145300.0</v>
      </c>
      <c r="R259" s="34" t="s">
        <v>51</v>
      </c>
      <c r="S259" s="35" t="n">
        <f>136268.42</f>
        <v>136268.42</v>
      </c>
      <c r="T259" s="32" t="n">
        <f>265351</f>
        <v>265351.0</v>
      </c>
      <c r="U259" s="32" t="n">
        <f>61082</f>
        <v>61082.0</v>
      </c>
      <c r="V259" s="32" t="n">
        <f>36374305335</f>
        <v>3.6374305335E10</v>
      </c>
      <c r="W259" s="32" t="n">
        <f>8348372935</f>
        <v>8.348372935E9</v>
      </c>
      <c r="X259" s="36" t="n">
        <f>19</f>
        <v>19.0</v>
      </c>
    </row>
    <row r="260">
      <c r="A260" s="27" t="s">
        <v>42</v>
      </c>
      <c r="B260" s="27" t="s">
        <v>827</v>
      </c>
      <c r="C260" s="27" t="s">
        <v>828</v>
      </c>
      <c r="D260" s="27" t="s">
        <v>829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343500</f>
        <v>343500.0</v>
      </c>
      <c r="L260" s="34" t="s">
        <v>48</v>
      </c>
      <c r="M260" s="33" t="n">
        <f>361500</f>
        <v>361500.0</v>
      </c>
      <c r="N260" s="34" t="s">
        <v>95</v>
      </c>
      <c r="O260" s="33" t="n">
        <f>336000</f>
        <v>336000.0</v>
      </c>
      <c r="P260" s="34" t="s">
        <v>119</v>
      </c>
      <c r="Q260" s="33" t="n">
        <f>357000</f>
        <v>357000.0</v>
      </c>
      <c r="R260" s="34" t="s">
        <v>51</v>
      </c>
      <c r="S260" s="35" t="n">
        <f>350052.63</f>
        <v>350052.63</v>
      </c>
      <c r="T260" s="32" t="n">
        <f>42355</f>
        <v>42355.0</v>
      </c>
      <c r="U260" s="32" t="n">
        <f>6098</f>
        <v>6098.0</v>
      </c>
      <c r="V260" s="32" t="n">
        <f>14772479606</f>
        <v>1.4772479606E10</v>
      </c>
      <c r="W260" s="32" t="n">
        <f>2127848106</f>
        <v>2.127848106E9</v>
      </c>
      <c r="X260" s="36" t="n">
        <f>19</f>
        <v>19.0</v>
      </c>
    </row>
    <row r="261">
      <c r="A261" s="27" t="s">
        <v>42</v>
      </c>
      <c r="B261" s="27" t="s">
        <v>830</v>
      </c>
      <c r="C261" s="27" t="s">
        <v>831</v>
      </c>
      <c r="D261" s="27" t="s">
        <v>832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276300</f>
        <v>276300.0</v>
      </c>
      <c r="L261" s="34" t="s">
        <v>48</v>
      </c>
      <c r="M261" s="33" t="n">
        <f>313500</f>
        <v>313500.0</v>
      </c>
      <c r="N261" s="34" t="s">
        <v>51</v>
      </c>
      <c r="O261" s="33" t="n">
        <f>276000</f>
        <v>276000.0</v>
      </c>
      <c r="P261" s="34" t="s">
        <v>48</v>
      </c>
      <c r="Q261" s="33" t="n">
        <f>312000</f>
        <v>312000.0</v>
      </c>
      <c r="R261" s="34" t="s">
        <v>51</v>
      </c>
      <c r="S261" s="35" t="n">
        <f>289268.42</f>
        <v>289268.42</v>
      </c>
      <c r="T261" s="32" t="n">
        <f>209863</f>
        <v>209863.0</v>
      </c>
      <c r="U261" s="32" t="n">
        <f>37833</f>
        <v>37833.0</v>
      </c>
      <c r="V261" s="32" t="n">
        <f>61480788504</f>
        <v>6.1480788504E10</v>
      </c>
      <c r="W261" s="32" t="n">
        <f>11100434604</f>
        <v>1.1100434604E10</v>
      </c>
      <c r="X261" s="36" t="n">
        <f>19</f>
        <v>19.0</v>
      </c>
    </row>
    <row r="262">
      <c r="A262" s="27" t="s">
        <v>42</v>
      </c>
      <c r="B262" s="27" t="s">
        <v>833</v>
      </c>
      <c r="C262" s="27" t="s">
        <v>834</v>
      </c>
      <c r="D262" s="27" t="s">
        <v>835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561000</f>
        <v>561000.0</v>
      </c>
      <c r="L262" s="34" t="s">
        <v>48</v>
      </c>
      <c r="M262" s="33" t="n">
        <f>595000</f>
        <v>595000.0</v>
      </c>
      <c r="N262" s="34" t="s">
        <v>49</v>
      </c>
      <c r="O262" s="33" t="n">
        <f>547000</f>
        <v>547000.0</v>
      </c>
      <c r="P262" s="34" t="s">
        <v>95</v>
      </c>
      <c r="Q262" s="33" t="n">
        <f>558000</f>
        <v>558000.0</v>
      </c>
      <c r="R262" s="34" t="s">
        <v>51</v>
      </c>
      <c r="S262" s="35" t="n">
        <f>571526.32</f>
        <v>571526.32</v>
      </c>
      <c r="T262" s="32" t="n">
        <f>26409</f>
        <v>26409.0</v>
      </c>
      <c r="U262" s="32" t="n">
        <f>4076</f>
        <v>4076.0</v>
      </c>
      <c r="V262" s="32" t="n">
        <f>15085839819</f>
        <v>1.5085839819E10</v>
      </c>
      <c r="W262" s="32" t="n">
        <f>2329538819</f>
        <v>2.329538819E9</v>
      </c>
      <c r="X262" s="36" t="n">
        <f>19</f>
        <v>19.0</v>
      </c>
    </row>
    <row r="263">
      <c r="A263" s="27" t="s">
        <v>42</v>
      </c>
      <c r="B263" s="27" t="s">
        <v>836</v>
      </c>
      <c r="C263" s="27" t="s">
        <v>837</v>
      </c>
      <c r="D263" s="27" t="s">
        <v>838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357000</f>
        <v>357000.0</v>
      </c>
      <c r="L263" s="34" t="s">
        <v>48</v>
      </c>
      <c r="M263" s="33" t="n">
        <f>379000</f>
        <v>379000.0</v>
      </c>
      <c r="N263" s="34" t="s">
        <v>51</v>
      </c>
      <c r="O263" s="33" t="n">
        <f>344000</f>
        <v>344000.0</v>
      </c>
      <c r="P263" s="34" t="s">
        <v>86</v>
      </c>
      <c r="Q263" s="33" t="n">
        <f>377500</f>
        <v>377500.0</v>
      </c>
      <c r="R263" s="34" t="s">
        <v>51</v>
      </c>
      <c r="S263" s="35" t="n">
        <f>356000</f>
        <v>356000.0</v>
      </c>
      <c r="T263" s="32" t="n">
        <f>17784</f>
        <v>17784.0</v>
      </c>
      <c r="U263" s="32" t="n">
        <f>3131</f>
        <v>3131.0</v>
      </c>
      <c r="V263" s="32" t="n">
        <f>6320499952</f>
        <v>6.320499952E9</v>
      </c>
      <c r="W263" s="32" t="n">
        <f>1107562952</f>
        <v>1.107562952E9</v>
      </c>
      <c r="X263" s="36" t="n">
        <f>19</f>
        <v>19.0</v>
      </c>
    </row>
    <row r="264">
      <c r="A264" s="27" t="s">
        <v>42</v>
      </c>
      <c r="B264" s="27" t="s">
        <v>839</v>
      </c>
      <c r="C264" s="27" t="s">
        <v>840</v>
      </c>
      <c r="D264" s="27" t="s">
        <v>841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149300</f>
        <v>149300.0</v>
      </c>
      <c r="L264" s="34" t="s">
        <v>48</v>
      </c>
      <c r="M264" s="33" t="n">
        <f>152300</f>
        <v>152300.0</v>
      </c>
      <c r="N264" s="34" t="s">
        <v>79</v>
      </c>
      <c r="O264" s="33" t="n">
        <f>145100</f>
        <v>145100.0</v>
      </c>
      <c r="P264" s="34" t="s">
        <v>50</v>
      </c>
      <c r="Q264" s="33" t="n">
        <f>147800</f>
        <v>147800.0</v>
      </c>
      <c r="R264" s="34" t="s">
        <v>51</v>
      </c>
      <c r="S264" s="35" t="n">
        <f>149805.26</f>
        <v>149805.26</v>
      </c>
      <c r="T264" s="32" t="n">
        <f>127913</f>
        <v>127913.0</v>
      </c>
      <c r="U264" s="32" t="n">
        <f>25322</f>
        <v>25322.0</v>
      </c>
      <c r="V264" s="32" t="n">
        <f>19149330547</f>
        <v>1.9149330547E10</v>
      </c>
      <c r="W264" s="32" t="n">
        <f>3797059847</f>
        <v>3.797059847E9</v>
      </c>
      <c r="X264" s="36" t="n">
        <f>19</f>
        <v>19.0</v>
      </c>
    </row>
    <row r="265">
      <c r="A265" s="27" t="s">
        <v>42</v>
      </c>
      <c r="B265" s="27" t="s">
        <v>842</v>
      </c>
      <c r="C265" s="27" t="s">
        <v>843</v>
      </c>
      <c r="D265" s="27" t="s">
        <v>844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197200</f>
        <v>197200.0</v>
      </c>
      <c r="L265" s="34" t="s">
        <v>48</v>
      </c>
      <c r="M265" s="33" t="n">
        <f>203600</f>
        <v>203600.0</v>
      </c>
      <c r="N265" s="34" t="s">
        <v>48</v>
      </c>
      <c r="O265" s="33" t="n">
        <f>193700</f>
        <v>193700.0</v>
      </c>
      <c r="P265" s="34" t="s">
        <v>61</v>
      </c>
      <c r="Q265" s="33" t="n">
        <f>200900</f>
        <v>200900.0</v>
      </c>
      <c r="R265" s="34" t="s">
        <v>51</v>
      </c>
      <c r="S265" s="35" t="n">
        <f>196784.21</f>
        <v>196784.21</v>
      </c>
      <c r="T265" s="32" t="n">
        <f>86274</f>
        <v>86274.0</v>
      </c>
      <c r="U265" s="32" t="n">
        <f>21210</f>
        <v>21210.0</v>
      </c>
      <c r="V265" s="32" t="n">
        <f>16994538627</f>
        <v>1.6994538627E10</v>
      </c>
      <c r="W265" s="32" t="n">
        <f>4177861727</f>
        <v>4.177861727E9</v>
      </c>
      <c r="X265" s="36" t="n">
        <f>19</f>
        <v>19.0</v>
      </c>
    </row>
    <row r="266">
      <c r="A266" s="27" t="s">
        <v>42</v>
      </c>
      <c r="B266" s="27" t="s">
        <v>845</v>
      </c>
      <c r="C266" s="27" t="s">
        <v>846</v>
      </c>
      <c r="D266" s="27" t="s">
        <v>847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472500</f>
        <v>472500.0</v>
      </c>
      <c r="L266" s="34" t="s">
        <v>48</v>
      </c>
      <c r="M266" s="33" t="n">
        <f>514000</f>
        <v>514000.0</v>
      </c>
      <c r="N266" s="34" t="s">
        <v>51</v>
      </c>
      <c r="O266" s="33" t="n">
        <f>459000</f>
        <v>459000.0</v>
      </c>
      <c r="P266" s="34" t="s">
        <v>119</v>
      </c>
      <c r="Q266" s="33" t="n">
        <f>508000</f>
        <v>508000.0</v>
      </c>
      <c r="R266" s="34" t="s">
        <v>51</v>
      </c>
      <c r="S266" s="35" t="n">
        <f>483184.21</f>
        <v>483184.21</v>
      </c>
      <c r="T266" s="32" t="n">
        <f>29054</f>
        <v>29054.0</v>
      </c>
      <c r="U266" s="32" t="n">
        <f>7428</f>
        <v>7428.0</v>
      </c>
      <c r="V266" s="32" t="n">
        <f>14044119569</f>
        <v>1.4044119569E10</v>
      </c>
      <c r="W266" s="32" t="n">
        <f>3597554069</f>
        <v>3.597554069E9</v>
      </c>
      <c r="X266" s="36" t="n">
        <f>19</f>
        <v>19.0</v>
      </c>
    </row>
    <row r="267">
      <c r="A267" s="27" t="s">
        <v>42</v>
      </c>
      <c r="B267" s="27" t="s">
        <v>848</v>
      </c>
      <c r="C267" s="27" t="s">
        <v>849</v>
      </c>
      <c r="D267" s="27" t="s">
        <v>850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22480</f>
        <v>22480.0</v>
      </c>
      <c r="L267" s="34" t="s">
        <v>48</v>
      </c>
      <c r="M267" s="33" t="n">
        <f>23390</f>
        <v>23390.0</v>
      </c>
      <c r="N267" s="34" t="s">
        <v>91</v>
      </c>
      <c r="O267" s="33" t="n">
        <f>21660</f>
        <v>21660.0</v>
      </c>
      <c r="P267" s="34" t="s">
        <v>61</v>
      </c>
      <c r="Q267" s="33" t="n">
        <f>23100</f>
        <v>23100.0</v>
      </c>
      <c r="R267" s="34" t="s">
        <v>51</v>
      </c>
      <c r="S267" s="35" t="n">
        <f>22632.63</f>
        <v>22632.63</v>
      </c>
      <c r="T267" s="32" t="n">
        <f>819550</f>
        <v>819550.0</v>
      </c>
      <c r="U267" s="32" t="n">
        <f>199715</f>
        <v>199715.0</v>
      </c>
      <c r="V267" s="32" t="n">
        <f>18518840405</f>
        <v>1.8518840405E10</v>
      </c>
      <c r="W267" s="32" t="n">
        <f>4490761945</f>
        <v>4.490761945E9</v>
      </c>
      <c r="X267" s="36" t="n">
        <f>19</f>
        <v>19.0</v>
      </c>
    </row>
    <row r="268">
      <c r="A268" s="27" t="s">
        <v>42</v>
      </c>
      <c r="B268" s="27" t="s">
        <v>851</v>
      </c>
      <c r="C268" s="27" t="s">
        <v>852</v>
      </c>
      <c r="D268" s="27" t="s">
        <v>853</v>
      </c>
      <c r="E268" s="28" t="s">
        <v>46</v>
      </c>
      <c r="F268" s="29" t="s">
        <v>46</v>
      </c>
      <c r="G268" s="30" t="s">
        <v>46</v>
      </c>
      <c r="H268" s="31"/>
      <c r="I268" s="31" t="s">
        <v>634</v>
      </c>
      <c r="J268" s="32" t="n">
        <v>1.0</v>
      </c>
      <c r="K268" s="33" t="n">
        <f>216000</f>
        <v>216000.0</v>
      </c>
      <c r="L268" s="34" t="s">
        <v>48</v>
      </c>
      <c r="M268" s="33" t="n">
        <f>220800</f>
        <v>220800.0</v>
      </c>
      <c r="N268" s="34" t="s">
        <v>51</v>
      </c>
      <c r="O268" s="33" t="n">
        <f>209000</f>
        <v>209000.0</v>
      </c>
      <c r="P268" s="34" t="s">
        <v>65</v>
      </c>
      <c r="Q268" s="33" t="n">
        <f>219400</f>
        <v>219400.0</v>
      </c>
      <c r="R268" s="34" t="s">
        <v>51</v>
      </c>
      <c r="S268" s="35" t="n">
        <f>214726.32</f>
        <v>214726.32</v>
      </c>
      <c r="T268" s="32" t="n">
        <f>3698</f>
        <v>3698.0</v>
      </c>
      <c r="U268" s="32" t="n">
        <f>381</f>
        <v>381.0</v>
      </c>
      <c r="V268" s="32" t="n">
        <f>797015863</f>
        <v>7.97015863E8</v>
      </c>
      <c r="W268" s="32" t="n">
        <f>82076963</f>
        <v>8.2076963E7</v>
      </c>
      <c r="X268" s="36" t="n">
        <f>19</f>
        <v>19.0</v>
      </c>
    </row>
    <row r="269">
      <c r="A269" s="27" t="s">
        <v>42</v>
      </c>
      <c r="B269" s="27" t="s">
        <v>854</v>
      </c>
      <c r="C269" s="27" t="s">
        <v>855</v>
      </c>
      <c r="D269" s="27" t="s">
        <v>856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91200</f>
        <v>91200.0</v>
      </c>
      <c r="L269" s="34" t="s">
        <v>48</v>
      </c>
      <c r="M269" s="33" t="n">
        <f>93400</f>
        <v>93400.0</v>
      </c>
      <c r="N269" s="34" t="s">
        <v>51</v>
      </c>
      <c r="O269" s="33" t="n">
        <f>88800</f>
        <v>88800.0</v>
      </c>
      <c r="P269" s="34" t="s">
        <v>119</v>
      </c>
      <c r="Q269" s="33" t="n">
        <f>93000</f>
        <v>93000.0</v>
      </c>
      <c r="R269" s="34" t="s">
        <v>51</v>
      </c>
      <c r="S269" s="35" t="n">
        <f>90721.05</f>
        <v>90721.05</v>
      </c>
      <c r="T269" s="32" t="n">
        <f>260757</f>
        <v>260757.0</v>
      </c>
      <c r="U269" s="32" t="n">
        <f>56832</f>
        <v>56832.0</v>
      </c>
      <c r="V269" s="32" t="n">
        <f>23650532238</f>
        <v>2.3650532238E10</v>
      </c>
      <c r="W269" s="32" t="n">
        <f>5152079038</f>
        <v>5.152079038E9</v>
      </c>
      <c r="X269" s="36" t="n">
        <f>19</f>
        <v>19.0</v>
      </c>
    </row>
    <row r="270">
      <c r="A270" s="27" t="s">
        <v>42</v>
      </c>
      <c r="B270" s="27" t="s">
        <v>857</v>
      </c>
      <c r="C270" s="27" t="s">
        <v>858</v>
      </c>
      <c r="D270" s="27" t="s">
        <v>859</v>
      </c>
      <c r="E270" s="28" t="s">
        <v>46</v>
      </c>
      <c r="F270" s="29" t="s">
        <v>46</v>
      </c>
      <c r="G270" s="30" t="s">
        <v>46</v>
      </c>
      <c r="H270" s="31"/>
      <c r="I270" s="31" t="s">
        <v>634</v>
      </c>
      <c r="J270" s="32" t="n">
        <v>1.0</v>
      </c>
      <c r="K270" s="33" t="n">
        <f>132700</f>
        <v>132700.0</v>
      </c>
      <c r="L270" s="34" t="s">
        <v>48</v>
      </c>
      <c r="M270" s="33" t="n">
        <f>136700</f>
        <v>136700.0</v>
      </c>
      <c r="N270" s="34" t="s">
        <v>175</v>
      </c>
      <c r="O270" s="33" t="n">
        <f>129900</f>
        <v>129900.0</v>
      </c>
      <c r="P270" s="34" t="s">
        <v>65</v>
      </c>
      <c r="Q270" s="33" t="n">
        <f>135100</f>
        <v>135100.0</v>
      </c>
      <c r="R270" s="34" t="s">
        <v>51</v>
      </c>
      <c r="S270" s="35" t="n">
        <f>133805.26</f>
        <v>133805.26</v>
      </c>
      <c r="T270" s="32" t="n">
        <f>23790</f>
        <v>23790.0</v>
      </c>
      <c r="U270" s="32" t="n">
        <f>2817</f>
        <v>2817.0</v>
      </c>
      <c r="V270" s="32" t="n">
        <f>3185523542</f>
        <v>3.185523542E9</v>
      </c>
      <c r="W270" s="32" t="n">
        <f>376989042</f>
        <v>3.76989042E8</v>
      </c>
      <c r="X270" s="36" t="n">
        <f>19</f>
        <v>19.0</v>
      </c>
    </row>
    <row r="271">
      <c r="A271" s="27" t="s">
        <v>42</v>
      </c>
      <c r="B271" s="27" t="s">
        <v>860</v>
      </c>
      <c r="C271" s="27" t="s">
        <v>861</v>
      </c>
      <c r="D271" s="27" t="s">
        <v>862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276300</f>
        <v>276300.0</v>
      </c>
      <c r="L271" s="34" t="s">
        <v>48</v>
      </c>
      <c r="M271" s="33" t="n">
        <f>278400</f>
        <v>278400.0</v>
      </c>
      <c r="N271" s="34" t="s">
        <v>100</v>
      </c>
      <c r="O271" s="33" t="n">
        <f>266700</f>
        <v>266700.0</v>
      </c>
      <c r="P271" s="34" t="s">
        <v>51</v>
      </c>
      <c r="Q271" s="33" t="n">
        <f>268500</f>
        <v>268500.0</v>
      </c>
      <c r="R271" s="34" t="s">
        <v>51</v>
      </c>
      <c r="S271" s="35" t="n">
        <f>271631.58</f>
        <v>271631.58</v>
      </c>
      <c r="T271" s="32" t="n">
        <f>47263</f>
        <v>47263.0</v>
      </c>
      <c r="U271" s="32" t="n">
        <f>9123</f>
        <v>9123.0</v>
      </c>
      <c r="V271" s="32" t="n">
        <f>12829054673</f>
        <v>1.2829054673E10</v>
      </c>
      <c r="W271" s="32" t="n">
        <f>2479763073</f>
        <v>2.479763073E9</v>
      </c>
      <c r="X271" s="36" t="n">
        <f>19</f>
        <v>19.0</v>
      </c>
    </row>
    <row r="272">
      <c r="A272" s="27" t="s">
        <v>42</v>
      </c>
      <c r="B272" s="27" t="s">
        <v>863</v>
      </c>
      <c r="C272" s="27" t="s">
        <v>864</v>
      </c>
      <c r="D272" s="27" t="s">
        <v>865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135700</f>
        <v>135700.0</v>
      </c>
      <c r="L272" s="34" t="s">
        <v>48</v>
      </c>
      <c r="M272" s="33" t="n">
        <f>142600</f>
        <v>142600.0</v>
      </c>
      <c r="N272" s="34" t="s">
        <v>175</v>
      </c>
      <c r="O272" s="33" t="n">
        <f>133300</f>
        <v>133300.0</v>
      </c>
      <c r="P272" s="34" t="s">
        <v>65</v>
      </c>
      <c r="Q272" s="33" t="n">
        <f>137400</f>
        <v>137400.0</v>
      </c>
      <c r="R272" s="34" t="s">
        <v>51</v>
      </c>
      <c r="S272" s="35" t="n">
        <f>138257.89</f>
        <v>138257.89</v>
      </c>
      <c r="T272" s="32" t="n">
        <f>29120</f>
        <v>29120.0</v>
      </c>
      <c r="U272" s="32" t="n">
        <f>4040</f>
        <v>4040.0</v>
      </c>
      <c r="V272" s="32" t="n">
        <f>4024514326</f>
        <v>4.024514326E9</v>
      </c>
      <c r="W272" s="32" t="n">
        <f>555915026</f>
        <v>5.55915026E8</v>
      </c>
      <c r="X272" s="36" t="n">
        <f>19</f>
        <v>19.0</v>
      </c>
    </row>
    <row r="273">
      <c r="A273" s="27" t="s">
        <v>42</v>
      </c>
      <c r="B273" s="27" t="s">
        <v>866</v>
      </c>
      <c r="C273" s="27" t="s">
        <v>867</v>
      </c>
      <c r="D273" s="27" t="s">
        <v>868</v>
      </c>
      <c r="E273" s="28" t="s">
        <v>46</v>
      </c>
      <c r="F273" s="29" t="s">
        <v>46</v>
      </c>
      <c r="G273" s="30" t="s">
        <v>46</v>
      </c>
      <c r="H273" s="31"/>
      <c r="I273" s="31" t="s">
        <v>634</v>
      </c>
      <c r="J273" s="32" t="n">
        <v>1.0</v>
      </c>
      <c r="K273" s="33" t="n">
        <f>115400</f>
        <v>115400.0</v>
      </c>
      <c r="L273" s="34" t="s">
        <v>48</v>
      </c>
      <c r="M273" s="33" t="n">
        <f>119600</f>
        <v>119600.0</v>
      </c>
      <c r="N273" s="34" t="s">
        <v>91</v>
      </c>
      <c r="O273" s="33" t="n">
        <f>112300</f>
        <v>112300.0</v>
      </c>
      <c r="P273" s="34" t="s">
        <v>50</v>
      </c>
      <c r="Q273" s="33" t="n">
        <f>114500</f>
        <v>114500.0</v>
      </c>
      <c r="R273" s="34" t="s">
        <v>51</v>
      </c>
      <c r="S273" s="35" t="n">
        <f>116042.11</f>
        <v>116042.11</v>
      </c>
      <c r="T273" s="32" t="n">
        <f>25980</f>
        <v>25980.0</v>
      </c>
      <c r="U273" s="32" t="n">
        <f>3906</f>
        <v>3906.0</v>
      </c>
      <c r="V273" s="32" t="n">
        <f>3017957220</f>
        <v>3.01795722E9</v>
      </c>
      <c r="W273" s="32" t="n">
        <f>452394820</f>
        <v>4.5239482E8</v>
      </c>
      <c r="X273" s="36" t="n">
        <f>19</f>
        <v>19.0</v>
      </c>
    </row>
    <row r="274">
      <c r="A274" s="27" t="s">
        <v>42</v>
      </c>
      <c r="B274" s="27" t="s">
        <v>869</v>
      </c>
      <c r="C274" s="27" t="s">
        <v>870</v>
      </c>
      <c r="D274" s="27" t="s">
        <v>871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185600</f>
        <v>185600.0</v>
      </c>
      <c r="L274" s="34" t="s">
        <v>48</v>
      </c>
      <c r="M274" s="33" t="n">
        <f>192300</f>
        <v>192300.0</v>
      </c>
      <c r="N274" s="34" t="s">
        <v>51</v>
      </c>
      <c r="O274" s="33" t="n">
        <f>182400</f>
        <v>182400.0</v>
      </c>
      <c r="P274" s="34" t="s">
        <v>86</v>
      </c>
      <c r="Q274" s="33" t="n">
        <f>190800</f>
        <v>190800.0</v>
      </c>
      <c r="R274" s="34" t="s">
        <v>51</v>
      </c>
      <c r="S274" s="35" t="n">
        <f>185715.79</f>
        <v>185715.79</v>
      </c>
      <c r="T274" s="32" t="n">
        <f>264517</f>
        <v>264517.0</v>
      </c>
      <c r="U274" s="32" t="n">
        <f>63080</f>
        <v>63080.0</v>
      </c>
      <c r="V274" s="32" t="n">
        <f>49128224757</f>
        <v>4.9128224757E10</v>
      </c>
      <c r="W274" s="32" t="n">
        <f>11706867857</f>
        <v>1.1706867857E10</v>
      </c>
      <c r="X274" s="36" t="n">
        <f>19</f>
        <v>19.0</v>
      </c>
    </row>
    <row r="275">
      <c r="A275" s="27" t="s">
        <v>42</v>
      </c>
      <c r="B275" s="27" t="s">
        <v>872</v>
      </c>
      <c r="C275" s="27" t="s">
        <v>873</v>
      </c>
      <c r="D275" s="27" t="s">
        <v>874</v>
      </c>
      <c r="E275" s="28" t="s">
        <v>46</v>
      </c>
      <c r="F275" s="29" t="s">
        <v>46</v>
      </c>
      <c r="G275" s="30" t="s">
        <v>46</v>
      </c>
      <c r="H275" s="31"/>
      <c r="I275" s="31" t="s">
        <v>634</v>
      </c>
      <c r="J275" s="32" t="n">
        <v>1.0</v>
      </c>
      <c r="K275" s="33" t="n">
        <f>138000</f>
        <v>138000.0</v>
      </c>
      <c r="L275" s="34" t="s">
        <v>48</v>
      </c>
      <c r="M275" s="33" t="n">
        <f>140000</f>
        <v>140000.0</v>
      </c>
      <c r="N275" s="34" t="s">
        <v>100</v>
      </c>
      <c r="O275" s="33" t="n">
        <f>120500</f>
        <v>120500.0</v>
      </c>
      <c r="P275" s="34" t="s">
        <v>51</v>
      </c>
      <c r="Q275" s="33" t="n">
        <f>120900</f>
        <v>120900.0</v>
      </c>
      <c r="R275" s="34" t="s">
        <v>51</v>
      </c>
      <c r="S275" s="35" t="n">
        <f>134936.84</f>
        <v>134936.84</v>
      </c>
      <c r="T275" s="32" t="n">
        <f>67823</f>
        <v>67823.0</v>
      </c>
      <c r="U275" s="32" t="n">
        <f>5204</f>
        <v>5204.0</v>
      </c>
      <c r="V275" s="32" t="n">
        <f>9004400817</f>
        <v>9.004400817E9</v>
      </c>
      <c r="W275" s="32" t="n">
        <f>696079917</f>
        <v>6.96079917E8</v>
      </c>
      <c r="X275" s="36" t="n">
        <f>19</f>
        <v>19.0</v>
      </c>
    </row>
    <row r="276">
      <c r="A276" s="27" t="s">
        <v>42</v>
      </c>
      <c r="B276" s="27" t="s">
        <v>875</v>
      </c>
      <c r="C276" s="27" t="s">
        <v>876</v>
      </c>
      <c r="D276" s="27" t="s">
        <v>877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161300</f>
        <v>161300.0</v>
      </c>
      <c r="L276" s="34" t="s">
        <v>48</v>
      </c>
      <c r="M276" s="33" t="n">
        <f>176400</f>
        <v>176400.0</v>
      </c>
      <c r="N276" s="34" t="s">
        <v>51</v>
      </c>
      <c r="O276" s="33" t="n">
        <f>156500</f>
        <v>156500.0</v>
      </c>
      <c r="P276" s="34" t="s">
        <v>119</v>
      </c>
      <c r="Q276" s="33" t="n">
        <f>175000</f>
        <v>175000.0</v>
      </c>
      <c r="R276" s="34" t="s">
        <v>51</v>
      </c>
      <c r="S276" s="35" t="n">
        <f>163705.26</f>
        <v>163705.26</v>
      </c>
      <c r="T276" s="32" t="n">
        <f>97874</f>
        <v>97874.0</v>
      </c>
      <c r="U276" s="32" t="n">
        <f>19226</f>
        <v>19226.0</v>
      </c>
      <c r="V276" s="32" t="n">
        <f>16179369834</f>
        <v>1.6179369834E10</v>
      </c>
      <c r="W276" s="32" t="n">
        <f>3157960134</f>
        <v>3.157960134E9</v>
      </c>
      <c r="X276" s="36" t="n">
        <f>19</f>
        <v>19.0</v>
      </c>
    </row>
    <row r="277">
      <c r="A277" s="27" t="s">
        <v>42</v>
      </c>
      <c r="B277" s="27" t="s">
        <v>878</v>
      </c>
      <c r="C277" s="27" t="s">
        <v>879</v>
      </c>
      <c r="D277" s="27" t="s">
        <v>880</v>
      </c>
      <c r="E277" s="28" t="s">
        <v>46</v>
      </c>
      <c r="F277" s="29" t="s">
        <v>46</v>
      </c>
      <c r="G277" s="30" t="s">
        <v>46</v>
      </c>
      <c r="H277" s="31"/>
      <c r="I277" s="31" t="s">
        <v>634</v>
      </c>
      <c r="J277" s="32" t="n">
        <v>1.0</v>
      </c>
      <c r="K277" s="33" t="n">
        <f>117000</f>
        <v>117000.0</v>
      </c>
      <c r="L277" s="34" t="s">
        <v>48</v>
      </c>
      <c r="M277" s="33" t="n">
        <f>118300</f>
        <v>118300.0</v>
      </c>
      <c r="N277" s="34" t="s">
        <v>100</v>
      </c>
      <c r="O277" s="33" t="n">
        <f>112200</f>
        <v>112200.0</v>
      </c>
      <c r="P277" s="34" t="s">
        <v>50</v>
      </c>
      <c r="Q277" s="33" t="n">
        <f>114700</f>
        <v>114700.0</v>
      </c>
      <c r="R277" s="34" t="s">
        <v>51</v>
      </c>
      <c r="S277" s="35" t="n">
        <f>115700</f>
        <v>115700.0</v>
      </c>
      <c r="T277" s="32" t="n">
        <f>41094</f>
        <v>41094.0</v>
      </c>
      <c r="U277" s="32" t="n">
        <f>9552</f>
        <v>9552.0</v>
      </c>
      <c r="V277" s="32" t="n">
        <f>4747826289</f>
        <v>4.747826289E9</v>
      </c>
      <c r="W277" s="32" t="n">
        <f>1105182789</f>
        <v>1.105182789E9</v>
      </c>
      <c r="X277" s="36" t="n">
        <f>19</f>
        <v>19.0</v>
      </c>
    </row>
    <row r="278">
      <c r="A278" s="27" t="s">
        <v>42</v>
      </c>
      <c r="B278" s="27" t="s">
        <v>881</v>
      </c>
      <c r="C278" s="27" t="s">
        <v>882</v>
      </c>
      <c r="D278" s="27" t="s">
        <v>883</v>
      </c>
      <c r="E278" s="28" t="s">
        <v>46</v>
      </c>
      <c r="F278" s="29" t="s">
        <v>46</v>
      </c>
      <c r="G278" s="30" t="s">
        <v>46</v>
      </c>
      <c r="H278" s="31"/>
      <c r="I278" s="31" t="s">
        <v>634</v>
      </c>
      <c r="J278" s="32" t="n">
        <v>1.0</v>
      </c>
      <c r="K278" s="33" t="n">
        <f>128800</f>
        <v>128800.0</v>
      </c>
      <c r="L278" s="34" t="s">
        <v>48</v>
      </c>
      <c r="M278" s="33" t="n">
        <f>129800</f>
        <v>129800.0</v>
      </c>
      <c r="N278" s="34" t="s">
        <v>49</v>
      </c>
      <c r="O278" s="33" t="n">
        <f>125300</f>
        <v>125300.0</v>
      </c>
      <c r="P278" s="34" t="s">
        <v>65</v>
      </c>
      <c r="Q278" s="33" t="n">
        <f>128600</f>
        <v>128600.0</v>
      </c>
      <c r="R278" s="34" t="s">
        <v>51</v>
      </c>
      <c r="S278" s="35" t="n">
        <f>127684.21</f>
        <v>127684.21</v>
      </c>
      <c r="T278" s="32" t="n">
        <f>30715</f>
        <v>30715.0</v>
      </c>
      <c r="U278" s="32" t="n">
        <f>4612</f>
        <v>4612.0</v>
      </c>
      <c r="V278" s="32" t="n">
        <f>3924468066</f>
        <v>3.924468066E9</v>
      </c>
      <c r="W278" s="32" t="n">
        <f>591031666</f>
        <v>5.91031666E8</v>
      </c>
      <c r="X278" s="36" t="n">
        <f>19</f>
        <v>19.0</v>
      </c>
    </row>
    <row r="279">
      <c r="A279" s="27" t="s">
        <v>42</v>
      </c>
      <c r="B279" s="27" t="s">
        <v>884</v>
      </c>
      <c r="C279" s="27" t="s">
        <v>885</v>
      </c>
      <c r="D279" s="27" t="s">
        <v>886</v>
      </c>
      <c r="E279" s="28" t="s">
        <v>46</v>
      </c>
      <c r="F279" s="29" t="s">
        <v>46</v>
      </c>
      <c r="G279" s="30" t="s">
        <v>46</v>
      </c>
      <c r="H279" s="31"/>
      <c r="I279" s="31" t="s">
        <v>634</v>
      </c>
      <c r="J279" s="32" t="n">
        <v>1.0</v>
      </c>
      <c r="K279" s="33" t="n">
        <f>480000</f>
        <v>480000.0</v>
      </c>
      <c r="L279" s="34" t="s">
        <v>48</v>
      </c>
      <c r="M279" s="33" t="n">
        <f>539000</f>
        <v>539000.0</v>
      </c>
      <c r="N279" s="34" t="s">
        <v>95</v>
      </c>
      <c r="O279" s="33" t="n">
        <f>470500</f>
        <v>470500.0</v>
      </c>
      <c r="P279" s="34" t="s">
        <v>86</v>
      </c>
      <c r="Q279" s="33" t="n">
        <f>525000</f>
        <v>525000.0</v>
      </c>
      <c r="R279" s="34" t="s">
        <v>51</v>
      </c>
      <c r="S279" s="35" t="n">
        <f>500368.42</f>
        <v>500368.42</v>
      </c>
      <c r="T279" s="32" t="n">
        <f>49263</f>
        <v>49263.0</v>
      </c>
      <c r="U279" s="32" t="n">
        <f>7340</f>
        <v>7340.0</v>
      </c>
      <c r="V279" s="32" t="n">
        <f>24824008877</f>
        <v>2.4824008877E10</v>
      </c>
      <c r="W279" s="32" t="n">
        <f>3730167877</f>
        <v>3.730167877E9</v>
      </c>
      <c r="X279" s="36" t="n">
        <f>19</f>
        <v>19.0</v>
      </c>
    </row>
    <row r="280">
      <c r="A280" s="27" t="s">
        <v>42</v>
      </c>
      <c r="B280" s="27" t="s">
        <v>887</v>
      </c>
      <c r="C280" s="27" t="s">
        <v>888</v>
      </c>
      <c r="D280" s="27" t="s">
        <v>889</v>
      </c>
      <c r="E280" s="28" t="s">
        <v>46</v>
      </c>
      <c r="F280" s="29" t="s">
        <v>46</v>
      </c>
      <c r="G280" s="30" t="s">
        <v>46</v>
      </c>
      <c r="H280" s="31"/>
      <c r="I280" s="31" t="s">
        <v>634</v>
      </c>
      <c r="J280" s="32" t="n">
        <v>1.0</v>
      </c>
      <c r="K280" s="33" t="n">
        <f>93200</f>
        <v>93200.0</v>
      </c>
      <c r="L280" s="34" t="s">
        <v>48</v>
      </c>
      <c r="M280" s="33" t="n">
        <f>94300</f>
        <v>94300.0</v>
      </c>
      <c r="N280" s="34" t="s">
        <v>79</v>
      </c>
      <c r="O280" s="33" t="n">
        <f>89900</f>
        <v>89900.0</v>
      </c>
      <c r="P280" s="34" t="s">
        <v>95</v>
      </c>
      <c r="Q280" s="33" t="n">
        <f>92100</f>
        <v>92100.0</v>
      </c>
      <c r="R280" s="34" t="s">
        <v>51</v>
      </c>
      <c r="S280" s="35" t="n">
        <f>93115.79</f>
        <v>93115.79</v>
      </c>
      <c r="T280" s="32" t="n">
        <f>17208</f>
        <v>17208.0</v>
      </c>
      <c r="U280" s="32" t="n">
        <f>2442</f>
        <v>2442.0</v>
      </c>
      <c r="V280" s="32" t="n">
        <f>1598482396</f>
        <v>1.598482396E9</v>
      </c>
      <c r="W280" s="32" t="n">
        <f>227105396</f>
        <v>2.27105396E8</v>
      </c>
      <c r="X280" s="36" t="n">
        <f>19</f>
        <v>19.0</v>
      </c>
    </row>
    <row r="281">
      <c r="A281" s="27" t="s">
        <v>42</v>
      </c>
      <c r="B281" s="27" t="s">
        <v>890</v>
      </c>
      <c r="C281" s="27" t="s">
        <v>891</v>
      </c>
      <c r="D281" s="27" t="s">
        <v>892</v>
      </c>
      <c r="E281" s="28" t="s">
        <v>46</v>
      </c>
      <c r="F281" s="29" t="s">
        <v>46</v>
      </c>
      <c r="G281" s="30" t="s">
        <v>46</v>
      </c>
      <c r="H281" s="31"/>
      <c r="I281" s="31" t="s">
        <v>634</v>
      </c>
      <c r="J281" s="32" t="n">
        <v>1.0</v>
      </c>
      <c r="K281" s="33" t="n">
        <f>96500</f>
        <v>96500.0</v>
      </c>
      <c r="L281" s="34" t="s">
        <v>48</v>
      </c>
      <c r="M281" s="33" t="n">
        <f>98200</f>
        <v>98200.0</v>
      </c>
      <c r="N281" s="34" t="s">
        <v>51</v>
      </c>
      <c r="O281" s="33" t="n">
        <f>94200</f>
        <v>94200.0</v>
      </c>
      <c r="P281" s="34" t="s">
        <v>65</v>
      </c>
      <c r="Q281" s="33" t="n">
        <f>97600</f>
        <v>97600.0</v>
      </c>
      <c r="R281" s="34" t="s">
        <v>51</v>
      </c>
      <c r="S281" s="35" t="n">
        <f>95984.21</f>
        <v>95984.21</v>
      </c>
      <c r="T281" s="32" t="n">
        <f>17626</f>
        <v>17626.0</v>
      </c>
      <c r="U281" s="32" t="n">
        <f>2936</f>
        <v>2936.0</v>
      </c>
      <c r="V281" s="32" t="n">
        <f>1694006889</f>
        <v>1.694006889E9</v>
      </c>
      <c r="W281" s="32" t="n">
        <f>281768389</f>
        <v>2.81768389E8</v>
      </c>
      <c r="X281" s="36" t="n">
        <f>19</f>
        <v>19.0</v>
      </c>
    </row>
    <row r="282">
      <c r="A282" s="27" t="s">
        <v>42</v>
      </c>
      <c r="B282" s="27" t="s">
        <v>893</v>
      </c>
      <c r="C282" s="27" t="s">
        <v>894</v>
      </c>
      <c r="D282" s="27" t="s">
        <v>895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61000</f>
        <v>61000.0</v>
      </c>
      <c r="L282" s="34" t="s">
        <v>48</v>
      </c>
      <c r="M282" s="33" t="n">
        <f>62200</f>
        <v>62200.0</v>
      </c>
      <c r="N282" s="34" t="s">
        <v>150</v>
      </c>
      <c r="O282" s="33" t="n">
        <f>59400</f>
        <v>59400.0</v>
      </c>
      <c r="P282" s="34" t="s">
        <v>65</v>
      </c>
      <c r="Q282" s="33" t="n">
        <f>61200</f>
        <v>61200.0</v>
      </c>
      <c r="R282" s="34" t="s">
        <v>51</v>
      </c>
      <c r="S282" s="35" t="n">
        <f>60947.37</f>
        <v>60947.37</v>
      </c>
      <c r="T282" s="32" t="n">
        <f>141987</f>
        <v>141987.0</v>
      </c>
      <c r="U282" s="32" t="n">
        <f>22957</f>
        <v>22957.0</v>
      </c>
      <c r="V282" s="32" t="n">
        <f>8644016119</f>
        <v>8.644016119E9</v>
      </c>
      <c r="W282" s="32" t="n">
        <f>1398154219</f>
        <v>1.398154219E9</v>
      </c>
      <c r="X282" s="36" t="n">
        <f>19</f>
        <v>19.0</v>
      </c>
    </row>
    <row r="283">
      <c r="A283" s="27" t="s">
        <v>42</v>
      </c>
      <c r="B283" s="27" t="s">
        <v>896</v>
      </c>
      <c r="C283" s="27" t="s">
        <v>897</v>
      </c>
      <c r="D283" s="27" t="s">
        <v>898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149600</f>
        <v>149600.0</v>
      </c>
      <c r="L283" s="34" t="s">
        <v>48</v>
      </c>
      <c r="M283" s="33" t="n">
        <f>155500</f>
        <v>155500.0</v>
      </c>
      <c r="N283" s="34" t="s">
        <v>49</v>
      </c>
      <c r="O283" s="33" t="n">
        <f>145200</f>
        <v>145200.0</v>
      </c>
      <c r="P283" s="34" t="s">
        <v>95</v>
      </c>
      <c r="Q283" s="33" t="n">
        <f>148000</f>
        <v>148000.0</v>
      </c>
      <c r="R283" s="34" t="s">
        <v>51</v>
      </c>
      <c r="S283" s="35" t="n">
        <f>150842.11</f>
        <v>150842.11</v>
      </c>
      <c r="T283" s="32" t="n">
        <f>34905</f>
        <v>34905.0</v>
      </c>
      <c r="U283" s="32" t="n">
        <f>7282</f>
        <v>7282.0</v>
      </c>
      <c r="V283" s="32" t="n">
        <f>5268174549</f>
        <v>5.268174549E9</v>
      </c>
      <c r="W283" s="32" t="n">
        <f>1099330049</f>
        <v>1.099330049E9</v>
      </c>
      <c r="X283" s="36" t="n">
        <f>19</f>
        <v>19.0</v>
      </c>
    </row>
    <row r="284">
      <c r="A284" s="27" t="s">
        <v>42</v>
      </c>
      <c r="B284" s="27" t="s">
        <v>899</v>
      </c>
      <c r="C284" s="27" t="s">
        <v>900</v>
      </c>
      <c r="D284" s="27" t="s">
        <v>901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355500</f>
        <v>355500.0</v>
      </c>
      <c r="L284" s="34" t="s">
        <v>48</v>
      </c>
      <c r="M284" s="33" t="n">
        <f>400500</f>
        <v>400500.0</v>
      </c>
      <c r="N284" s="34" t="s">
        <v>51</v>
      </c>
      <c r="O284" s="33" t="n">
        <f>345500</f>
        <v>345500.0</v>
      </c>
      <c r="P284" s="34" t="s">
        <v>119</v>
      </c>
      <c r="Q284" s="33" t="n">
        <f>397500</f>
        <v>397500.0</v>
      </c>
      <c r="R284" s="34" t="s">
        <v>51</v>
      </c>
      <c r="S284" s="35" t="n">
        <f>365078.95</f>
        <v>365078.95</v>
      </c>
      <c r="T284" s="32" t="n">
        <f>21663</f>
        <v>21663.0</v>
      </c>
      <c r="U284" s="32" t="n">
        <f>3704</f>
        <v>3704.0</v>
      </c>
      <c r="V284" s="32" t="n">
        <f>7981570783</f>
        <v>7.981570783E9</v>
      </c>
      <c r="W284" s="32" t="n">
        <f>1361263283</f>
        <v>1.361263283E9</v>
      </c>
      <c r="X284" s="36" t="n">
        <f>19</f>
        <v>19.0</v>
      </c>
    </row>
    <row r="285">
      <c r="A285" s="27" t="s">
        <v>42</v>
      </c>
      <c r="B285" s="27" t="s">
        <v>902</v>
      </c>
      <c r="C285" s="27" t="s">
        <v>903</v>
      </c>
      <c r="D285" s="27" t="s">
        <v>904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132900</f>
        <v>132900.0</v>
      </c>
      <c r="L285" s="34" t="s">
        <v>48</v>
      </c>
      <c r="M285" s="33" t="n">
        <f>148200</f>
        <v>148200.0</v>
      </c>
      <c r="N285" s="34" t="s">
        <v>86</v>
      </c>
      <c r="O285" s="33" t="n">
        <f>132400</f>
        <v>132400.0</v>
      </c>
      <c r="P285" s="34" t="s">
        <v>65</v>
      </c>
      <c r="Q285" s="33" t="n">
        <f>146300</f>
        <v>146300.0</v>
      </c>
      <c r="R285" s="34" t="s">
        <v>51</v>
      </c>
      <c r="S285" s="35" t="n">
        <f>142463.16</f>
        <v>142463.16</v>
      </c>
      <c r="T285" s="32" t="n">
        <f>148059</f>
        <v>148059.0</v>
      </c>
      <c r="U285" s="32" t="n">
        <f>25798</f>
        <v>25798.0</v>
      </c>
      <c r="V285" s="32" t="n">
        <f>21108720622</f>
        <v>2.1108720622E10</v>
      </c>
      <c r="W285" s="32" t="n">
        <f>3676950122</f>
        <v>3.676950122E9</v>
      </c>
      <c r="X285" s="36" t="n">
        <f>19</f>
        <v>19.0</v>
      </c>
    </row>
    <row r="286">
      <c r="A286" s="27" t="s">
        <v>42</v>
      </c>
      <c r="B286" s="27" t="s">
        <v>905</v>
      </c>
      <c r="C286" s="27" t="s">
        <v>906</v>
      </c>
      <c r="D286" s="27" t="s">
        <v>907</v>
      </c>
      <c r="E286" s="28" t="s">
        <v>46</v>
      </c>
      <c r="F286" s="29" t="s">
        <v>46</v>
      </c>
      <c r="G286" s="30" t="s">
        <v>46</v>
      </c>
      <c r="H286" s="31"/>
      <c r="I286" s="31" t="s">
        <v>634</v>
      </c>
      <c r="J286" s="32" t="n">
        <v>1.0</v>
      </c>
      <c r="K286" s="33" t="n">
        <f>138200</f>
        <v>138200.0</v>
      </c>
      <c r="L286" s="34" t="s">
        <v>48</v>
      </c>
      <c r="M286" s="33" t="n">
        <f>141100</f>
        <v>141100.0</v>
      </c>
      <c r="N286" s="34" t="s">
        <v>48</v>
      </c>
      <c r="O286" s="33" t="n">
        <f>136600</f>
        <v>136600.0</v>
      </c>
      <c r="P286" s="34" t="s">
        <v>65</v>
      </c>
      <c r="Q286" s="33" t="n">
        <f>138900</f>
        <v>138900.0</v>
      </c>
      <c r="R286" s="34" t="s">
        <v>51</v>
      </c>
      <c r="S286" s="35" t="n">
        <f>138978.95</f>
        <v>138978.95</v>
      </c>
      <c r="T286" s="32" t="n">
        <f>19309</f>
        <v>19309.0</v>
      </c>
      <c r="U286" s="32" t="n">
        <f>2245</f>
        <v>2245.0</v>
      </c>
      <c r="V286" s="32" t="n">
        <f>2682602192</f>
        <v>2.682602192E9</v>
      </c>
      <c r="W286" s="32" t="n">
        <f>311746592</f>
        <v>3.11746592E8</v>
      </c>
      <c r="X286" s="36" t="n">
        <f>19</f>
        <v>19.0</v>
      </c>
    </row>
    <row r="287">
      <c r="A287" s="27" t="s">
        <v>42</v>
      </c>
      <c r="B287" s="27" t="s">
        <v>908</v>
      </c>
      <c r="C287" s="27" t="s">
        <v>909</v>
      </c>
      <c r="D287" s="27" t="s">
        <v>910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126400</f>
        <v>126400.0</v>
      </c>
      <c r="L287" s="34" t="s">
        <v>48</v>
      </c>
      <c r="M287" s="33" t="n">
        <f>131000</f>
        <v>131000.0</v>
      </c>
      <c r="N287" s="34" t="s">
        <v>50</v>
      </c>
      <c r="O287" s="33" t="n">
        <f>122500</f>
        <v>122500.0</v>
      </c>
      <c r="P287" s="34" t="s">
        <v>65</v>
      </c>
      <c r="Q287" s="33" t="n">
        <f>129800</f>
        <v>129800.0</v>
      </c>
      <c r="R287" s="34" t="s">
        <v>51</v>
      </c>
      <c r="S287" s="35" t="n">
        <f>126763.16</f>
        <v>126763.16</v>
      </c>
      <c r="T287" s="32" t="n">
        <f>69423</f>
        <v>69423.0</v>
      </c>
      <c r="U287" s="32" t="n">
        <f>7913</f>
        <v>7913.0</v>
      </c>
      <c r="V287" s="32" t="n">
        <f>8817374450</f>
        <v>8.81737445E9</v>
      </c>
      <c r="W287" s="32" t="n">
        <f>1001940350</f>
        <v>1.00194035E9</v>
      </c>
      <c r="X287" s="36" t="n">
        <f>19</f>
        <v>19.0</v>
      </c>
    </row>
    <row r="288">
      <c r="A288" s="27" t="s">
        <v>42</v>
      </c>
      <c r="B288" s="27" t="s">
        <v>911</v>
      </c>
      <c r="C288" s="27" t="s">
        <v>912</v>
      </c>
      <c r="D288" s="27" t="s">
        <v>913</v>
      </c>
      <c r="E288" s="28" t="s">
        <v>46</v>
      </c>
      <c r="F288" s="29" t="s">
        <v>46</v>
      </c>
      <c r="G288" s="30" t="s">
        <v>46</v>
      </c>
      <c r="H288" s="31"/>
      <c r="I288" s="31" t="s">
        <v>634</v>
      </c>
      <c r="J288" s="32" t="n">
        <v>1.0</v>
      </c>
      <c r="K288" s="33" t="n">
        <f>119500</f>
        <v>119500.0</v>
      </c>
      <c r="L288" s="34" t="s">
        <v>48</v>
      </c>
      <c r="M288" s="33" t="n">
        <f>131400</f>
        <v>131400.0</v>
      </c>
      <c r="N288" s="34" t="s">
        <v>245</v>
      </c>
      <c r="O288" s="33" t="n">
        <f>118200</f>
        <v>118200.0</v>
      </c>
      <c r="P288" s="34" t="s">
        <v>119</v>
      </c>
      <c r="Q288" s="33" t="n">
        <f>126200</f>
        <v>126200.0</v>
      </c>
      <c r="R288" s="34" t="s">
        <v>51</v>
      </c>
      <c r="S288" s="35" t="n">
        <f>124063.16</f>
        <v>124063.16</v>
      </c>
      <c r="T288" s="32" t="n">
        <f>65890</f>
        <v>65890.0</v>
      </c>
      <c r="U288" s="32" t="n">
        <f>9226</f>
        <v>9226.0</v>
      </c>
      <c r="V288" s="32" t="n">
        <f>8198694974</f>
        <v>8.198694974E9</v>
      </c>
      <c r="W288" s="32" t="n">
        <f>1145070174</f>
        <v>1.145070174E9</v>
      </c>
      <c r="X288" s="36" t="n">
        <f>19</f>
        <v>19.0</v>
      </c>
    </row>
    <row r="289">
      <c r="A289" s="27" t="s">
        <v>42</v>
      </c>
      <c r="B289" s="27" t="s">
        <v>914</v>
      </c>
      <c r="C289" s="27" t="s">
        <v>915</v>
      </c>
      <c r="D289" s="27" t="s">
        <v>916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802000</f>
        <v>802000.0</v>
      </c>
      <c r="L289" s="34" t="s">
        <v>48</v>
      </c>
      <c r="M289" s="33" t="n">
        <f>890000</f>
        <v>890000.0</v>
      </c>
      <c r="N289" s="34" t="s">
        <v>51</v>
      </c>
      <c r="O289" s="33" t="n">
        <f>788000</f>
        <v>788000.0</v>
      </c>
      <c r="P289" s="34" t="s">
        <v>119</v>
      </c>
      <c r="Q289" s="33" t="n">
        <f>878000</f>
        <v>878000.0</v>
      </c>
      <c r="R289" s="34" t="s">
        <v>51</v>
      </c>
      <c r="S289" s="35" t="n">
        <f>831421.05</f>
        <v>831421.05</v>
      </c>
      <c r="T289" s="32" t="n">
        <f>89718</f>
        <v>89718.0</v>
      </c>
      <c r="U289" s="32" t="n">
        <f>18242</f>
        <v>18242.0</v>
      </c>
      <c r="V289" s="32" t="n">
        <f>74529466999</f>
        <v>7.4529466999E10</v>
      </c>
      <c r="W289" s="32" t="n">
        <f>15036903999</f>
        <v>1.5036903999E10</v>
      </c>
      <c r="X289" s="36" t="n">
        <f>19</f>
        <v>19.0</v>
      </c>
    </row>
    <row r="290">
      <c r="A290" s="27" t="s">
        <v>42</v>
      </c>
      <c r="B290" s="27" t="s">
        <v>917</v>
      </c>
      <c r="C290" s="27" t="s">
        <v>918</v>
      </c>
      <c r="D290" s="27" t="s">
        <v>919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728000</f>
        <v>728000.0</v>
      </c>
      <c r="L290" s="34" t="s">
        <v>48</v>
      </c>
      <c r="M290" s="33" t="n">
        <f>803000</f>
        <v>803000.0</v>
      </c>
      <c r="N290" s="34" t="s">
        <v>51</v>
      </c>
      <c r="O290" s="33" t="n">
        <f>715000</f>
        <v>715000.0</v>
      </c>
      <c r="P290" s="34" t="s">
        <v>119</v>
      </c>
      <c r="Q290" s="33" t="n">
        <f>791000</f>
        <v>791000.0</v>
      </c>
      <c r="R290" s="34" t="s">
        <v>51</v>
      </c>
      <c r="S290" s="35" t="n">
        <f>751473.68</f>
        <v>751473.68</v>
      </c>
      <c r="T290" s="32" t="n">
        <f>87707</f>
        <v>87707.0</v>
      </c>
      <c r="U290" s="32" t="n">
        <f>18735</f>
        <v>18735.0</v>
      </c>
      <c r="V290" s="32" t="n">
        <f>65959277747</f>
        <v>6.5959277747E10</v>
      </c>
      <c r="W290" s="32" t="n">
        <f>14031138747</f>
        <v>1.4031138747E10</v>
      </c>
      <c r="X290" s="36" t="n">
        <f>19</f>
        <v>19.0</v>
      </c>
    </row>
    <row r="291">
      <c r="A291" s="27" t="s">
        <v>42</v>
      </c>
      <c r="B291" s="27" t="s">
        <v>920</v>
      </c>
      <c r="C291" s="27" t="s">
        <v>921</v>
      </c>
      <c r="D291" s="27" t="s">
        <v>922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233300</f>
        <v>233300.0</v>
      </c>
      <c r="L291" s="34" t="s">
        <v>48</v>
      </c>
      <c r="M291" s="33" t="n">
        <f>236600</f>
        <v>236600.0</v>
      </c>
      <c r="N291" s="34" t="s">
        <v>79</v>
      </c>
      <c r="O291" s="33" t="n">
        <f>227400</f>
        <v>227400.0</v>
      </c>
      <c r="P291" s="34" t="s">
        <v>95</v>
      </c>
      <c r="Q291" s="33" t="n">
        <f>231700</f>
        <v>231700.0</v>
      </c>
      <c r="R291" s="34" t="s">
        <v>51</v>
      </c>
      <c r="S291" s="35" t="n">
        <f>232305.26</f>
        <v>232305.26</v>
      </c>
      <c r="T291" s="32" t="n">
        <f>161708</f>
        <v>161708.0</v>
      </c>
      <c r="U291" s="32" t="n">
        <f>45539</f>
        <v>45539.0</v>
      </c>
      <c r="V291" s="32" t="n">
        <f>37525750870</f>
        <v>3.752575087E10</v>
      </c>
      <c r="W291" s="32" t="n">
        <f>10565266370</f>
        <v>1.056526637E10</v>
      </c>
      <c r="X291" s="36" t="n">
        <f>19</f>
        <v>19.0</v>
      </c>
    </row>
    <row r="292">
      <c r="A292" s="27" t="s">
        <v>42</v>
      </c>
      <c r="B292" s="27" t="s">
        <v>923</v>
      </c>
      <c r="C292" s="27" t="s">
        <v>924</v>
      </c>
      <c r="D292" s="27" t="s">
        <v>925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235300</f>
        <v>235300.0</v>
      </c>
      <c r="L292" s="34" t="s">
        <v>48</v>
      </c>
      <c r="M292" s="33" t="n">
        <f>237400</f>
        <v>237400.0</v>
      </c>
      <c r="N292" s="34" t="s">
        <v>99</v>
      </c>
      <c r="O292" s="33" t="n">
        <f>229200</f>
        <v>229200.0</v>
      </c>
      <c r="P292" s="34" t="s">
        <v>51</v>
      </c>
      <c r="Q292" s="33" t="n">
        <f>229300</f>
        <v>229300.0</v>
      </c>
      <c r="R292" s="34" t="s">
        <v>51</v>
      </c>
      <c r="S292" s="35" t="n">
        <f>234078.95</f>
        <v>234078.95</v>
      </c>
      <c r="T292" s="32" t="n">
        <f>220260</f>
        <v>220260.0</v>
      </c>
      <c r="U292" s="32" t="n">
        <f>48276</f>
        <v>48276.0</v>
      </c>
      <c r="V292" s="32" t="n">
        <f>51501947631</f>
        <v>5.1501947631E10</v>
      </c>
      <c r="W292" s="32" t="n">
        <f>11284011831</f>
        <v>1.1284011831E10</v>
      </c>
      <c r="X292" s="36" t="n">
        <f>19</f>
        <v>19.0</v>
      </c>
    </row>
    <row r="293">
      <c r="A293" s="27" t="s">
        <v>42</v>
      </c>
      <c r="B293" s="27" t="s">
        <v>926</v>
      </c>
      <c r="C293" s="27" t="s">
        <v>927</v>
      </c>
      <c r="D293" s="27" t="s">
        <v>928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476000</f>
        <v>476000.0</v>
      </c>
      <c r="L293" s="34" t="s">
        <v>48</v>
      </c>
      <c r="M293" s="33" t="n">
        <f>507000</f>
        <v>507000.0</v>
      </c>
      <c r="N293" s="34" t="s">
        <v>51</v>
      </c>
      <c r="O293" s="33" t="n">
        <f>468500</f>
        <v>468500.0</v>
      </c>
      <c r="P293" s="34" t="s">
        <v>119</v>
      </c>
      <c r="Q293" s="33" t="n">
        <f>501000</f>
        <v>501000.0</v>
      </c>
      <c r="R293" s="34" t="s">
        <v>51</v>
      </c>
      <c r="S293" s="35" t="n">
        <f>482368.42</f>
        <v>482368.42</v>
      </c>
      <c r="T293" s="32" t="n">
        <f>57437</f>
        <v>57437.0</v>
      </c>
      <c r="U293" s="32" t="n">
        <f>12158</f>
        <v>12158.0</v>
      </c>
      <c r="V293" s="32" t="n">
        <f>27696416868</f>
        <v>2.7696416868E10</v>
      </c>
      <c r="W293" s="32" t="n">
        <f>5861378368</f>
        <v>5.861378368E9</v>
      </c>
      <c r="X293" s="36" t="n">
        <f>19</f>
        <v>19.0</v>
      </c>
    </row>
    <row r="294">
      <c r="A294" s="27" t="s">
        <v>42</v>
      </c>
      <c r="B294" s="27" t="s">
        <v>929</v>
      </c>
      <c r="C294" s="27" t="s">
        <v>930</v>
      </c>
      <c r="D294" s="27" t="s">
        <v>931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153100</f>
        <v>153100.0</v>
      </c>
      <c r="L294" s="34" t="s">
        <v>48</v>
      </c>
      <c r="M294" s="33" t="n">
        <f>161000</f>
        <v>161000.0</v>
      </c>
      <c r="N294" s="34" t="s">
        <v>51</v>
      </c>
      <c r="O294" s="33" t="n">
        <f>149600</f>
        <v>149600.0</v>
      </c>
      <c r="P294" s="34" t="s">
        <v>119</v>
      </c>
      <c r="Q294" s="33" t="n">
        <f>160400</f>
        <v>160400.0</v>
      </c>
      <c r="R294" s="34" t="s">
        <v>51</v>
      </c>
      <c r="S294" s="35" t="n">
        <f>154663.16</f>
        <v>154663.16</v>
      </c>
      <c r="T294" s="32" t="n">
        <f>88544</f>
        <v>88544.0</v>
      </c>
      <c r="U294" s="32" t="n">
        <f>20839</f>
        <v>20839.0</v>
      </c>
      <c r="V294" s="32" t="n">
        <f>13655499592</f>
        <v>1.3655499592E10</v>
      </c>
      <c r="W294" s="32" t="n">
        <f>3215629692</f>
        <v>3.215629692E9</v>
      </c>
      <c r="X294" s="36" t="n">
        <f>19</f>
        <v>19.0</v>
      </c>
    </row>
    <row r="295">
      <c r="A295" s="27" t="s">
        <v>42</v>
      </c>
      <c r="B295" s="27" t="s">
        <v>932</v>
      </c>
      <c r="C295" s="27" t="s">
        <v>933</v>
      </c>
      <c r="D295" s="27" t="s">
        <v>934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205900</f>
        <v>205900.0</v>
      </c>
      <c r="L295" s="34" t="s">
        <v>48</v>
      </c>
      <c r="M295" s="33" t="n">
        <f>214800</f>
        <v>214800.0</v>
      </c>
      <c r="N295" s="34" t="s">
        <v>245</v>
      </c>
      <c r="O295" s="33" t="n">
        <f>202300</f>
        <v>202300.0</v>
      </c>
      <c r="P295" s="34" t="s">
        <v>119</v>
      </c>
      <c r="Q295" s="33" t="n">
        <f>212000</f>
        <v>212000.0</v>
      </c>
      <c r="R295" s="34" t="s">
        <v>51</v>
      </c>
      <c r="S295" s="35" t="n">
        <f>208605.26</f>
        <v>208605.26</v>
      </c>
      <c r="T295" s="32" t="n">
        <f>65128</f>
        <v>65128.0</v>
      </c>
      <c r="U295" s="32" t="n">
        <f>12798</f>
        <v>12798.0</v>
      </c>
      <c r="V295" s="32" t="n">
        <f>13591914021</f>
        <v>1.3591914021E10</v>
      </c>
      <c r="W295" s="32" t="n">
        <f>2666102921</f>
        <v>2.666102921E9</v>
      </c>
      <c r="X295" s="36" t="n">
        <f>19</f>
        <v>19.0</v>
      </c>
    </row>
    <row r="296">
      <c r="A296" s="27" t="s">
        <v>42</v>
      </c>
      <c r="B296" s="27" t="s">
        <v>935</v>
      </c>
      <c r="C296" s="27" t="s">
        <v>936</v>
      </c>
      <c r="D296" s="27" t="s">
        <v>937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140600</f>
        <v>140600.0</v>
      </c>
      <c r="L296" s="34" t="s">
        <v>48</v>
      </c>
      <c r="M296" s="33" t="n">
        <f>145800</f>
        <v>145800.0</v>
      </c>
      <c r="N296" s="34" t="s">
        <v>175</v>
      </c>
      <c r="O296" s="33" t="n">
        <f>135700</f>
        <v>135700.0</v>
      </c>
      <c r="P296" s="34" t="s">
        <v>119</v>
      </c>
      <c r="Q296" s="33" t="n">
        <f>144900</f>
        <v>144900.0</v>
      </c>
      <c r="R296" s="34" t="s">
        <v>51</v>
      </c>
      <c r="S296" s="35" t="n">
        <f>140426.32</f>
        <v>140426.32</v>
      </c>
      <c r="T296" s="32" t="n">
        <f>71685</f>
        <v>71685.0</v>
      </c>
      <c r="U296" s="32" t="n">
        <f>14330</f>
        <v>14330.0</v>
      </c>
      <c r="V296" s="32" t="n">
        <f>10048524010</f>
        <v>1.004852401E10</v>
      </c>
      <c r="W296" s="32" t="n">
        <f>2000589110</f>
        <v>2.00058911E9</v>
      </c>
      <c r="X296" s="36" t="n">
        <f>19</f>
        <v>19.0</v>
      </c>
    </row>
    <row r="297">
      <c r="A297" s="27" t="s">
        <v>42</v>
      </c>
      <c r="B297" s="27" t="s">
        <v>938</v>
      </c>
      <c r="C297" s="27" t="s">
        <v>939</v>
      </c>
      <c r="D297" s="27" t="s">
        <v>940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203600</f>
        <v>203600.0</v>
      </c>
      <c r="L297" s="34" t="s">
        <v>48</v>
      </c>
      <c r="M297" s="33" t="n">
        <f>206200</f>
        <v>206200.0</v>
      </c>
      <c r="N297" s="34" t="s">
        <v>48</v>
      </c>
      <c r="O297" s="33" t="n">
        <f>193000</f>
        <v>193000.0</v>
      </c>
      <c r="P297" s="34" t="s">
        <v>51</v>
      </c>
      <c r="Q297" s="33" t="n">
        <f>194300</f>
        <v>194300.0</v>
      </c>
      <c r="R297" s="34" t="s">
        <v>51</v>
      </c>
      <c r="S297" s="35" t="n">
        <f>200121.05</f>
        <v>200121.05</v>
      </c>
      <c r="T297" s="32" t="n">
        <f>220698</f>
        <v>220698.0</v>
      </c>
      <c r="U297" s="32" t="n">
        <f>50598</f>
        <v>50598.0</v>
      </c>
      <c r="V297" s="32" t="n">
        <f>44076156408</f>
        <v>4.4076156408E10</v>
      </c>
      <c r="W297" s="32" t="n">
        <f>10110863508</f>
        <v>1.0110863508E10</v>
      </c>
      <c r="X297" s="36" t="n">
        <f>19</f>
        <v>19.0</v>
      </c>
    </row>
    <row r="298">
      <c r="A298" s="27" t="s">
        <v>42</v>
      </c>
      <c r="B298" s="27" t="s">
        <v>941</v>
      </c>
      <c r="C298" s="27" t="s">
        <v>942</v>
      </c>
      <c r="D298" s="27" t="s">
        <v>943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194400</f>
        <v>194400.0</v>
      </c>
      <c r="L298" s="34" t="s">
        <v>48</v>
      </c>
      <c r="M298" s="33" t="n">
        <f>198900</f>
        <v>198900.0</v>
      </c>
      <c r="N298" s="34" t="s">
        <v>51</v>
      </c>
      <c r="O298" s="33" t="n">
        <f>191300</f>
        <v>191300.0</v>
      </c>
      <c r="P298" s="34" t="s">
        <v>90</v>
      </c>
      <c r="Q298" s="33" t="n">
        <f>198900</f>
        <v>198900.0</v>
      </c>
      <c r="R298" s="34" t="s">
        <v>51</v>
      </c>
      <c r="S298" s="35" t="n">
        <f>195126.32</f>
        <v>195126.32</v>
      </c>
      <c r="T298" s="32" t="n">
        <f>65376</f>
        <v>65376.0</v>
      </c>
      <c r="U298" s="32" t="n">
        <f>20115</f>
        <v>20115.0</v>
      </c>
      <c r="V298" s="32" t="n">
        <f>12774217237</f>
        <v>1.2774217237E10</v>
      </c>
      <c r="W298" s="32" t="n">
        <f>3931940437</f>
        <v>3.931940437E9</v>
      </c>
      <c r="X298" s="36" t="n">
        <f>19</f>
        <v>19.0</v>
      </c>
    </row>
    <row r="299">
      <c r="A299" s="27" t="s">
        <v>42</v>
      </c>
      <c r="B299" s="27" t="s">
        <v>944</v>
      </c>
      <c r="C299" s="27" t="s">
        <v>945</v>
      </c>
      <c r="D299" s="27" t="s">
        <v>946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61600</f>
        <v>61600.0</v>
      </c>
      <c r="L299" s="34" t="s">
        <v>48</v>
      </c>
      <c r="M299" s="33" t="n">
        <f>62300</f>
        <v>62300.0</v>
      </c>
      <c r="N299" s="34" t="s">
        <v>48</v>
      </c>
      <c r="O299" s="33" t="n">
        <f>52100</f>
        <v>52100.0</v>
      </c>
      <c r="P299" s="34" t="s">
        <v>95</v>
      </c>
      <c r="Q299" s="33" t="n">
        <f>54900</f>
        <v>54900.0</v>
      </c>
      <c r="R299" s="34" t="s">
        <v>51</v>
      </c>
      <c r="S299" s="35" t="n">
        <f>59200</f>
        <v>59200.0</v>
      </c>
      <c r="T299" s="32" t="n">
        <f>1046168</f>
        <v>1046168.0</v>
      </c>
      <c r="U299" s="32" t="n">
        <f>135273</f>
        <v>135273.0</v>
      </c>
      <c r="V299" s="32" t="n">
        <f>60534428163</f>
        <v>6.0534428163E10</v>
      </c>
      <c r="W299" s="32" t="n">
        <f>7903428463</f>
        <v>7.903428463E9</v>
      </c>
      <c r="X299" s="36" t="n">
        <f>19</f>
        <v>19.0</v>
      </c>
    </row>
    <row r="300">
      <c r="A300" s="27" t="s">
        <v>42</v>
      </c>
      <c r="B300" s="27" t="s">
        <v>947</v>
      </c>
      <c r="C300" s="27" t="s">
        <v>948</v>
      </c>
      <c r="D300" s="27" t="s">
        <v>949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455500</f>
        <v>455500.0</v>
      </c>
      <c r="L300" s="34" t="s">
        <v>48</v>
      </c>
      <c r="M300" s="33" t="n">
        <f>460500</f>
        <v>460500.0</v>
      </c>
      <c r="N300" s="34" t="s">
        <v>48</v>
      </c>
      <c r="O300" s="33" t="n">
        <f>446000</f>
        <v>446000.0</v>
      </c>
      <c r="P300" s="34" t="s">
        <v>61</v>
      </c>
      <c r="Q300" s="33" t="n">
        <f>453500</f>
        <v>453500.0</v>
      </c>
      <c r="R300" s="34" t="s">
        <v>51</v>
      </c>
      <c r="S300" s="35" t="n">
        <f>451868.42</f>
        <v>451868.42</v>
      </c>
      <c r="T300" s="32" t="n">
        <f>39084</f>
        <v>39084.0</v>
      </c>
      <c r="U300" s="32" t="n">
        <f>10128</f>
        <v>10128.0</v>
      </c>
      <c r="V300" s="32" t="n">
        <f>17643977173</f>
        <v>1.7643977173E10</v>
      </c>
      <c r="W300" s="32" t="n">
        <f>4570067173</f>
        <v>4.570067173E9</v>
      </c>
      <c r="X300" s="36" t="n">
        <f>19</f>
        <v>19.0</v>
      </c>
    </row>
    <row r="301">
      <c r="A301" s="27" t="s">
        <v>42</v>
      </c>
      <c r="B301" s="27" t="s">
        <v>950</v>
      </c>
      <c r="C301" s="27" t="s">
        <v>951</v>
      </c>
      <c r="D301" s="27" t="s">
        <v>952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135200</f>
        <v>135200.0</v>
      </c>
      <c r="L301" s="34" t="s">
        <v>48</v>
      </c>
      <c r="M301" s="33" t="n">
        <f>147000</f>
        <v>147000.0</v>
      </c>
      <c r="N301" s="34" t="s">
        <v>51</v>
      </c>
      <c r="O301" s="33" t="n">
        <f>131500</f>
        <v>131500.0</v>
      </c>
      <c r="P301" s="34" t="s">
        <v>61</v>
      </c>
      <c r="Q301" s="33" t="n">
        <f>145900</f>
        <v>145900.0</v>
      </c>
      <c r="R301" s="34" t="s">
        <v>51</v>
      </c>
      <c r="S301" s="35" t="n">
        <f>136694.74</f>
        <v>136694.74</v>
      </c>
      <c r="T301" s="32" t="n">
        <f>45098</f>
        <v>45098.0</v>
      </c>
      <c r="U301" s="32" t="n">
        <f>11041</f>
        <v>11041.0</v>
      </c>
      <c r="V301" s="32" t="n">
        <f>6177965267</f>
        <v>6.177965267E9</v>
      </c>
      <c r="W301" s="32" t="n">
        <f>1510247967</f>
        <v>1.510247967E9</v>
      </c>
      <c r="X301" s="36" t="n">
        <f>19</f>
        <v>19.0</v>
      </c>
    </row>
    <row r="302">
      <c r="A302" s="27" t="s">
        <v>42</v>
      </c>
      <c r="B302" s="27" t="s">
        <v>953</v>
      </c>
      <c r="C302" s="27" t="s">
        <v>954</v>
      </c>
      <c r="D302" s="27" t="s">
        <v>955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277100</f>
        <v>277100.0</v>
      </c>
      <c r="L302" s="34" t="s">
        <v>48</v>
      </c>
      <c r="M302" s="33" t="n">
        <f>296600</f>
        <v>296600.0</v>
      </c>
      <c r="N302" s="34" t="s">
        <v>245</v>
      </c>
      <c r="O302" s="33" t="n">
        <f>273000</f>
        <v>273000.0</v>
      </c>
      <c r="P302" s="34" t="s">
        <v>65</v>
      </c>
      <c r="Q302" s="33" t="n">
        <f>293400</f>
        <v>293400.0</v>
      </c>
      <c r="R302" s="34" t="s">
        <v>51</v>
      </c>
      <c r="S302" s="35" t="n">
        <f>282789.47</f>
        <v>282789.47</v>
      </c>
      <c r="T302" s="32" t="n">
        <f>71819</f>
        <v>71819.0</v>
      </c>
      <c r="U302" s="32" t="n">
        <f>15069</f>
        <v>15069.0</v>
      </c>
      <c r="V302" s="32" t="n">
        <f>20368186177</f>
        <v>2.0368186177E10</v>
      </c>
      <c r="W302" s="32" t="n">
        <f>4289848177</f>
        <v>4.289848177E9</v>
      </c>
      <c r="X302" s="36" t="n">
        <f>19</f>
        <v>19.0</v>
      </c>
    </row>
    <row r="303">
      <c r="A303" s="27" t="s">
        <v>42</v>
      </c>
      <c r="B303" s="27" t="s">
        <v>956</v>
      </c>
      <c r="C303" s="27" t="s">
        <v>957</v>
      </c>
      <c r="D303" s="27" t="s">
        <v>958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185400</f>
        <v>185400.0</v>
      </c>
      <c r="L303" s="34" t="s">
        <v>48</v>
      </c>
      <c r="M303" s="33" t="n">
        <f>188500</f>
        <v>188500.0</v>
      </c>
      <c r="N303" s="34" t="s">
        <v>51</v>
      </c>
      <c r="O303" s="33" t="n">
        <f>182600</f>
        <v>182600.0</v>
      </c>
      <c r="P303" s="34" t="s">
        <v>119</v>
      </c>
      <c r="Q303" s="33" t="n">
        <f>187700</f>
        <v>187700.0</v>
      </c>
      <c r="R303" s="34" t="s">
        <v>51</v>
      </c>
      <c r="S303" s="35" t="n">
        <f>186073.68</f>
        <v>186073.68</v>
      </c>
      <c r="T303" s="32" t="n">
        <f>40974</f>
        <v>40974.0</v>
      </c>
      <c r="U303" s="32" t="n">
        <f>9216</f>
        <v>9216.0</v>
      </c>
      <c r="V303" s="32" t="n">
        <f>7619584856</f>
        <v>7.619584856E9</v>
      </c>
      <c r="W303" s="32" t="n">
        <f>1712012856</f>
        <v>1.712012856E9</v>
      </c>
      <c r="X303" s="36" t="n">
        <f>19</f>
        <v>19.0</v>
      </c>
    </row>
    <row r="304">
      <c r="A304" s="27" t="s">
        <v>42</v>
      </c>
      <c r="B304" s="27" t="s">
        <v>959</v>
      </c>
      <c r="C304" s="27" t="s">
        <v>960</v>
      </c>
      <c r="D304" s="27" t="s">
        <v>961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840000</f>
        <v>840000.0</v>
      </c>
      <c r="L304" s="34" t="s">
        <v>48</v>
      </c>
      <c r="M304" s="33" t="n">
        <f>876000</f>
        <v>876000.0</v>
      </c>
      <c r="N304" s="34" t="s">
        <v>51</v>
      </c>
      <c r="O304" s="33" t="n">
        <f>818000</f>
        <v>818000.0</v>
      </c>
      <c r="P304" s="34" t="s">
        <v>119</v>
      </c>
      <c r="Q304" s="33" t="n">
        <f>870000</f>
        <v>870000.0</v>
      </c>
      <c r="R304" s="34" t="s">
        <v>51</v>
      </c>
      <c r="S304" s="35" t="n">
        <f>842421.05</f>
        <v>842421.05</v>
      </c>
      <c r="T304" s="32" t="n">
        <f>34959</f>
        <v>34959.0</v>
      </c>
      <c r="U304" s="32" t="n">
        <f>7479</f>
        <v>7479.0</v>
      </c>
      <c r="V304" s="32" t="n">
        <f>29512971817</f>
        <v>2.9512971817E10</v>
      </c>
      <c r="W304" s="32" t="n">
        <f>6342657817</f>
        <v>6.342657817E9</v>
      </c>
      <c r="X304" s="36" t="n">
        <f>19</f>
        <v>19.0</v>
      </c>
    </row>
    <row r="305">
      <c r="A305" s="27" t="s">
        <v>42</v>
      </c>
      <c r="B305" s="27" t="s">
        <v>962</v>
      </c>
      <c r="C305" s="27" t="s">
        <v>963</v>
      </c>
      <c r="D305" s="27" t="s">
        <v>964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112700</f>
        <v>112700.0</v>
      </c>
      <c r="L305" s="34" t="s">
        <v>48</v>
      </c>
      <c r="M305" s="33" t="n">
        <f>117700</f>
        <v>117700.0</v>
      </c>
      <c r="N305" s="34" t="s">
        <v>51</v>
      </c>
      <c r="O305" s="33" t="n">
        <f>108500</f>
        <v>108500.0</v>
      </c>
      <c r="P305" s="34" t="s">
        <v>61</v>
      </c>
      <c r="Q305" s="33" t="n">
        <f>117300</f>
        <v>117300.0</v>
      </c>
      <c r="R305" s="34" t="s">
        <v>51</v>
      </c>
      <c r="S305" s="35" t="n">
        <f>113515.79</f>
        <v>113515.79</v>
      </c>
      <c r="T305" s="32" t="n">
        <f>115985</f>
        <v>115985.0</v>
      </c>
      <c r="U305" s="32" t="n">
        <f>26123</f>
        <v>26123.0</v>
      </c>
      <c r="V305" s="32" t="n">
        <f>13125457912</f>
        <v>1.3125457912E10</v>
      </c>
      <c r="W305" s="32" t="n">
        <f>2938810212</f>
        <v>2.938810212E9</v>
      </c>
      <c r="X305" s="36" t="n">
        <f>19</f>
        <v>19.0</v>
      </c>
    </row>
    <row r="306">
      <c r="A306" s="27" t="s">
        <v>42</v>
      </c>
      <c r="B306" s="27" t="s">
        <v>965</v>
      </c>
      <c r="C306" s="27" t="s">
        <v>966</v>
      </c>
      <c r="D306" s="27" t="s">
        <v>967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833000</f>
        <v>833000.0</v>
      </c>
      <c r="L306" s="34" t="s">
        <v>48</v>
      </c>
      <c r="M306" s="33" t="n">
        <f>878000</f>
        <v>878000.0</v>
      </c>
      <c r="N306" s="34" t="s">
        <v>51</v>
      </c>
      <c r="O306" s="33" t="n">
        <f>820000</f>
        <v>820000.0</v>
      </c>
      <c r="P306" s="34" t="s">
        <v>65</v>
      </c>
      <c r="Q306" s="33" t="n">
        <f>870000</f>
        <v>870000.0</v>
      </c>
      <c r="R306" s="34" t="s">
        <v>51</v>
      </c>
      <c r="S306" s="35" t="n">
        <f>841842.11</f>
        <v>841842.11</v>
      </c>
      <c r="T306" s="32" t="n">
        <f>26662</f>
        <v>26662.0</v>
      </c>
      <c r="U306" s="32" t="n">
        <f>5766</f>
        <v>5766.0</v>
      </c>
      <c r="V306" s="32" t="n">
        <f>22457805519</f>
        <v>2.2457805519E10</v>
      </c>
      <c r="W306" s="32" t="n">
        <f>4841243519</f>
        <v>4.841243519E9</v>
      </c>
      <c r="X306" s="36" t="n">
        <f>19</f>
        <v>19.0</v>
      </c>
    </row>
    <row r="307">
      <c r="A307" s="27" t="s">
        <v>42</v>
      </c>
      <c r="B307" s="27" t="s">
        <v>968</v>
      </c>
      <c r="C307" s="27" t="s">
        <v>969</v>
      </c>
      <c r="D307" s="27" t="s">
        <v>970</v>
      </c>
      <c r="E307" s="28" t="s">
        <v>46</v>
      </c>
      <c r="F307" s="29" t="s">
        <v>46</v>
      </c>
      <c r="G307" s="30" t="s">
        <v>46</v>
      </c>
      <c r="H307" s="31"/>
      <c r="I307" s="31" t="s">
        <v>634</v>
      </c>
      <c r="J307" s="32" t="n">
        <v>1.0</v>
      </c>
      <c r="K307" s="33" t="n">
        <f>171100</f>
        <v>171100.0</v>
      </c>
      <c r="L307" s="34" t="s">
        <v>48</v>
      </c>
      <c r="M307" s="33" t="n">
        <f>175000</f>
        <v>175000.0</v>
      </c>
      <c r="N307" s="34" t="s">
        <v>51</v>
      </c>
      <c r="O307" s="33" t="n">
        <f>166600</f>
        <v>166600.0</v>
      </c>
      <c r="P307" s="34" t="s">
        <v>86</v>
      </c>
      <c r="Q307" s="33" t="n">
        <f>174400</f>
        <v>174400.0</v>
      </c>
      <c r="R307" s="34" t="s">
        <v>51</v>
      </c>
      <c r="S307" s="35" t="n">
        <f>169863.16</f>
        <v>169863.16</v>
      </c>
      <c r="T307" s="32" t="n">
        <f>45206</f>
        <v>45206.0</v>
      </c>
      <c r="U307" s="32" t="n">
        <f>11676</f>
        <v>11676.0</v>
      </c>
      <c r="V307" s="32" t="n">
        <f>7679021874</f>
        <v>7.679021874E9</v>
      </c>
      <c r="W307" s="32" t="n">
        <f>1981855174</f>
        <v>1.981855174E9</v>
      </c>
      <c r="X307" s="36" t="n">
        <f>19</f>
        <v>19.0</v>
      </c>
    </row>
    <row r="308">
      <c r="A308" s="27" t="s">
        <v>42</v>
      </c>
      <c r="B308" s="27" t="s">
        <v>971</v>
      </c>
      <c r="C308" s="27" t="s">
        <v>972</v>
      </c>
      <c r="D308" s="27" t="s">
        <v>973</v>
      </c>
      <c r="E308" s="28" t="s">
        <v>46</v>
      </c>
      <c r="F308" s="29" t="s">
        <v>46</v>
      </c>
      <c r="G308" s="30" t="s">
        <v>46</v>
      </c>
      <c r="H308" s="31"/>
      <c r="I308" s="31" t="s">
        <v>634</v>
      </c>
      <c r="J308" s="32" t="n">
        <v>1.0</v>
      </c>
      <c r="K308" s="33" t="n">
        <f>201500</f>
        <v>201500.0</v>
      </c>
      <c r="L308" s="34" t="s">
        <v>48</v>
      </c>
      <c r="M308" s="33" t="n">
        <f>210800</f>
        <v>210800.0</v>
      </c>
      <c r="N308" s="34" t="s">
        <v>51</v>
      </c>
      <c r="O308" s="33" t="n">
        <f>198300</f>
        <v>198300.0</v>
      </c>
      <c r="P308" s="34" t="s">
        <v>119</v>
      </c>
      <c r="Q308" s="33" t="n">
        <f>210100</f>
        <v>210100.0</v>
      </c>
      <c r="R308" s="34" t="s">
        <v>51</v>
      </c>
      <c r="S308" s="35" t="n">
        <f>204073.68</f>
        <v>204073.68</v>
      </c>
      <c r="T308" s="32" t="n">
        <f>15089</f>
        <v>15089.0</v>
      </c>
      <c r="U308" s="32" t="n">
        <f>3215</f>
        <v>3215.0</v>
      </c>
      <c r="V308" s="32" t="n">
        <f>3070178783</f>
        <v>3.070178783E9</v>
      </c>
      <c r="W308" s="32" t="n">
        <f>655087983</f>
        <v>6.55087983E8</v>
      </c>
      <c r="X308" s="36" t="n">
        <f>19</f>
        <v>19.0</v>
      </c>
    </row>
    <row r="309">
      <c r="A309" s="27" t="s">
        <v>42</v>
      </c>
      <c r="B309" s="27" t="s">
        <v>974</v>
      </c>
      <c r="C309" s="27" t="s">
        <v>975</v>
      </c>
      <c r="D309" s="27" t="s">
        <v>976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283700</f>
        <v>283700.0</v>
      </c>
      <c r="L309" s="34" t="s">
        <v>48</v>
      </c>
      <c r="M309" s="33" t="n">
        <f>290700</f>
        <v>290700.0</v>
      </c>
      <c r="N309" s="34" t="s">
        <v>51</v>
      </c>
      <c r="O309" s="33" t="n">
        <f>278000</f>
        <v>278000.0</v>
      </c>
      <c r="P309" s="34" t="s">
        <v>119</v>
      </c>
      <c r="Q309" s="33" t="n">
        <f>289500</f>
        <v>289500.0</v>
      </c>
      <c r="R309" s="34" t="s">
        <v>51</v>
      </c>
      <c r="S309" s="35" t="n">
        <f>282047.37</f>
        <v>282047.37</v>
      </c>
      <c r="T309" s="32" t="n">
        <f>98259</f>
        <v>98259.0</v>
      </c>
      <c r="U309" s="32" t="n">
        <f>21880</f>
        <v>21880.0</v>
      </c>
      <c r="V309" s="32" t="n">
        <f>27734473323</f>
        <v>2.7734473323E10</v>
      </c>
      <c r="W309" s="32" t="n">
        <f>6172974823</f>
        <v>6.172974823E9</v>
      </c>
      <c r="X309" s="36" t="n">
        <f>19</f>
        <v>19.0</v>
      </c>
    </row>
    <row r="310">
      <c r="A310" s="27" t="s">
        <v>42</v>
      </c>
      <c r="B310" s="27" t="s">
        <v>977</v>
      </c>
      <c r="C310" s="27" t="s">
        <v>978</v>
      </c>
      <c r="D310" s="27" t="s">
        <v>979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81700</f>
        <v>81700.0</v>
      </c>
      <c r="L310" s="34" t="s">
        <v>48</v>
      </c>
      <c r="M310" s="33" t="n">
        <f>82900</f>
        <v>82900.0</v>
      </c>
      <c r="N310" s="34" t="s">
        <v>48</v>
      </c>
      <c r="O310" s="33" t="n">
        <f>70600</f>
        <v>70600.0</v>
      </c>
      <c r="P310" s="34" t="s">
        <v>95</v>
      </c>
      <c r="Q310" s="33" t="n">
        <f>73100</f>
        <v>73100.0</v>
      </c>
      <c r="R310" s="34" t="s">
        <v>51</v>
      </c>
      <c r="S310" s="35" t="n">
        <f>78689.47</f>
        <v>78689.47</v>
      </c>
      <c r="T310" s="32" t="n">
        <f>711791</f>
        <v>711791.0</v>
      </c>
      <c r="U310" s="32" t="n">
        <f>174827</f>
        <v>174827.0</v>
      </c>
      <c r="V310" s="32" t="n">
        <f>54886587571</f>
        <v>5.4886587571E10</v>
      </c>
      <c r="W310" s="32" t="n">
        <f>13331429671</f>
        <v>1.3331429671E10</v>
      </c>
      <c r="X310" s="36" t="n">
        <f>19</f>
        <v>19.0</v>
      </c>
    </row>
    <row r="311">
      <c r="A311" s="27" t="s">
        <v>42</v>
      </c>
      <c r="B311" s="27" t="s">
        <v>980</v>
      </c>
      <c r="C311" s="27" t="s">
        <v>981</v>
      </c>
      <c r="D311" s="27" t="s">
        <v>982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106500</f>
        <v>106500.0</v>
      </c>
      <c r="L311" s="34" t="s">
        <v>48</v>
      </c>
      <c r="M311" s="33" t="n">
        <f>108500</f>
        <v>108500.0</v>
      </c>
      <c r="N311" s="34" t="s">
        <v>51</v>
      </c>
      <c r="O311" s="33" t="n">
        <f>103200</f>
        <v>103200.0</v>
      </c>
      <c r="P311" s="34" t="s">
        <v>119</v>
      </c>
      <c r="Q311" s="33" t="n">
        <f>107700</f>
        <v>107700.0</v>
      </c>
      <c r="R311" s="34" t="s">
        <v>51</v>
      </c>
      <c r="S311" s="35" t="n">
        <f>105652.63</f>
        <v>105652.63</v>
      </c>
      <c r="T311" s="32" t="n">
        <f>117676</f>
        <v>117676.0</v>
      </c>
      <c r="U311" s="32" t="n">
        <f>27668</f>
        <v>27668.0</v>
      </c>
      <c r="V311" s="32" t="n">
        <f>12429985388</f>
        <v>1.2429985388E10</v>
      </c>
      <c r="W311" s="32" t="n">
        <f>2918522488</f>
        <v>2.918522488E9</v>
      </c>
      <c r="X311" s="36" t="n">
        <f>19</f>
        <v>19.0</v>
      </c>
    </row>
    <row r="312">
      <c r="A312" s="27" t="s">
        <v>42</v>
      </c>
      <c r="B312" s="27" t="s">
        <v>983</v>
      </c>
      <c r="C312" s="27" t="s">
        <v>984</v>
      </c>
      <c r="D312" s="27" t="s">
        <v>985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175800</f>
        <v>175800.0</v>
      </c>
      <c r="L312" s="34" t="s">
        <v>48</v>
      </c>
      <c r="M312" s="33" t="n">
        <f>197200</f>
        <v>197200.0</v>
      </c>
      <c r="N312" s="34" t="s">
        <v>51</v>
      </c>
      <c r="O312" s="33" t="n">
        <f>175800</f>
        <v>175800.0</v>
      </c>
      <c r="P312" s="34" t="s">
        <v>48</v>
      </c>
      <c r="Q312" s="33" t="n">
        <f>196200</f>
        <v>196200.0</v>
      </c>
      <c r="R312" s="34" t="s">
        <v>51</v>
      </c>
      <c r="S312" s="35" t="n">
        <f>185936.84</f>
        <v>185936.84</v>
      </c>
      <c r="T312" s="32" t="n">
        <f>142170</f>
        <v>142170.0</v>
      </c>
      <c r="U312" s="32" t="n">
        <f>31619</f>
        <v>31619.0</v>
      </c>
      <c r="V312" s="32" t="n">
        <f>26419208005</f>
        <v>2.6419208005E10</v>
      </c>
      <c r="W312" s="32" t="n">
        <f>5924273905</f>
        <v>5.924273905E9</v>
      </c>
      <c r="X312" s="36" t="n">
        <f>19</f>
        <v>19.0</v>
      </c>
    </row>
    <row r="313">
      <c r="A313" s="27" t="s">
        <v>42</v>
      </c>
      <c r="B313" s="27" t="s">
        <v>986</v>
      </c>
      <c r="C313" s="27" t="s">
        <v>987</v>
      </c>
      <c r="D313" s="27" t="s">
        <v>988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120100</f>
        <v>120100.0</v>
      </c>
      <c r="L313" s="34" t="s">
        <v>48</v>
      </c>
      <c r="M313" s="33" t="n">
        <f>121000</f>
        <v>121000.0</v>
      </c>
      <c r="N313" s="34" t="s">
        <v>100</v>
      </c>
      <c r="O313" s="33" t="n">
        <f>116500</f>
        <v>116500.0</v>
      </c>
      <c r="P313" s="34" t="s">
        <v>95</v>
      </c>
      <c r="Q313" s="33" t="n">
        <f>119400</f>
        <v>119400.0</v>
      </c>
      <c r="R313" s="34" t="s">
        <v>51</v>
      </c>
      <c r="S313" s="35" t="n">
        <f>119700</f>
        <v>119700.0</v>
      </c>
      <c r="T313" s="32" t="n">
        <f>15002</f>
        <v>15002.0</v>
      </c>
      <c r="U313" s="32" t="n">
        <f>1963</f>
        <v>1963.0</v>
      </c>
      <c r="V313" s="32" t="n">
        <f>1792307218</f>
        <v>1.792307218E9</v>
      </c>
      <c r="W313" s="32" t="n">
        <f>235659018</f>
        <v>2.35659018E8</v>
      </c>
      <c r="X313" s="36" t="n">
        <f>19</f>
        <v>19.0</v>
      </c>
    </row>
    <row r="314">
      <c r="A314" s="27" t="s">
        <v>42</v>
      </c>
      <c r="B314" s="27" t="s">
        <v>989</v>
      </c>
      <c r="C314" s="27" t="s">
        <v>990</v>
      </c>
      <c r="D314" s="27" t="s">
        <v>991</v>
      </c>
      <c r="E314" s="28" t="s">
        <v>46</v>
      </c>
      <c r="F314" s="29" t="s">
        <v>46</v>
      </c>
      <c r="G314" s="30" t="s">
        <v>46</v>
      </c>
      <c r="H314" s="31"/>
      <c r="I314" s="31" t="s">
        <v>634</v>
      </c>
      <c r="J314" s="32" t="n">
        <v>1.0</v>
      </c>
      <c r="K314" s="33" t="n">
        <f>65900</f>
        <v>65900.0</v>
      </c>
      <c r="L314" s="34" t="s">
        <v>48</v>
      </c>
      <c r="M314" s="33" t="n">
        <f>66400</f>
        <v>66400.0</v>
      </c>
      <c r="N314" s="34" t="s">
        <v>65</v>
      </c>
      <c r="O314" s="33" t="n">
        <f>62800</f>
        <v>62800.0</v>
      </c>
      <c r="P314" s="34" t="s">
        <v>95</v>
      </c>
      <c r="Q314" s="33" t="n">
        <f>63700</f>
        <v>63700.0</v>
      </c>
      <c r="R314" s="34" t="s">
        <v>51</v>
      </c>
      <c r="S314" s="35" t="n">
        <f>64694.74</f>
        <v>64694.74</v>
      </c>
      <c r="T314" s="32" t="n">
        <f>3836</f>
        <v>3836.0</v>
      </c>
      <c r="U314" s="32" t="n">
        <f>4</f>
        <v>4.0</v>
      </c>
      <c r="V314" s="32" t="n">
        <f>248431950</f>
        <v>2.4843195E8</v>
      </c>
      <c r="W314" s="32" t="n">
        <f>260150</f>
        <v>260150.0</v>
      </c>
      <c r="X314" s="36" t="n">
        <f>19</f>
        <v>19.0</v>
      </c>
    </row>
    <row r="315">
      <c r="A315" s="27" t="s">
        <v>42</v>
      </c>
      <c r="B315" s="27" t="s">
        <v>992</v>
      </c>
      <c r="C315" s="27" t="s">
        <v>993</v>
      </c>
      <c r="D315" s="27" t="s">
        <v>994</v>
      </c>
      <c r="E315" s="28" t="s">
        <v>46</v>
      </c>
      <c r="F315" s="29" t="s">
        <v>46</v>
      </c>
      <c r="G315" s="30" t="s">
        <v>46</v>
      </c>
      <c r="H315" s="31"/>
      <c r="I315" s="31" t="s">
        <v>634</v>
      </c>
      <c r="J315" s="32" t="n">
        <v>1.0</v>
      </c>
      <c r="K315" s="33" t="n">
        <f>108700</f>
        <v>108700.0</v>
      </c>
      <c r="L315" s="34" t="s">
        <v>48</v>
      </c>
      <c r="M315" s="33" t="n">
        <f>109800</f>
        <v>109800.0</v>
      </c>
      <c r="N315" s="34" t="s">
        <v>90</v>
      </c>
      <c r="O315" s="33" t="n">
        <f>103100</f>
        <v>103100.0</v>
      </c>
      <c r="P315" s="34" t="s">
        <v>50</v>
      </c>
      <c r="Q315" s="33" t="n">
        <f>103500</f>
        <v>103500.0</v>
      </c>
      <c r="R315" s="34" t="s">
        <v>51</v>
      </c>
      <c r="S315" s="35" t="n">
        <f>108047.37</f>
        <v>108047.37</v>
      </c>
      <c r="T315" s="32" t="n">
        <f>17064</f>
        <v>17064.0</v>
      </c>
      <c r="U315" s="32" t="n">
        <f>402</f>
        <v>402.0</v>
      </c>
      <c r="V315" s="32" t="n">
        <f>1835189965</f>
        <v>1.835189965E9</v>
      </c>
      <c r="W315" s="32" t="n">
        <f>43207465</f>
        <v>4.3207465E7</v>
      </c>
      <c r="X315" s="36" t="n">
        <f>19</f>
        <v>19.0</v>
      </c>
    </row>
    <row r="316">
      <c r="A316" s="27" t="s">
        <v>42</v>
      </c>
      <c r="B316" s="27" t="s">
        <v>995</v>
      </c>
      <c r="C316" s="27" t="s">
        <v>996</v>
      </c>
      <c r="D316" s="27" t="s">
        <v>997</v>
      </c>
      <c r="E316" s="28" t="s">
        <v>46</v>
      </c>
      <c r="F316" s="29" t="s">
        <v>46</v>
      </c>
      <c r="G316" s="30" t="s">
        <v>46</v>
      </c>
      <c r="H316" s="31"/>
      <c r="I316" s="31" t="s">
        <v>634</v>
      </c>
      <c r="J316" s="32" t="n">
        <v>1.0</v>
      </c>
      <c r="K316" s="33" t="n">
        <f>119300</f>
        <v>119300.0</v>
      </c>
      <c r="L316" s="34" t="s">
        <v>48</v>
      </c>
      <c r="M316" s="33" t="n">
        <f>120200</f>
        <v>120200.0</v>
      </c>
      <c r="N316" s="34" t="s">
        <v>86</v>
      </c>
      <c r="O316" s="33" t="n">
        <f>114500</f>
        <v>114500.0</v>
      </c>
      <c r="P316" s="34" t="s">
        <v>95</v>
      </c>
      <c r="Q316" s="33" t="n">
        <f>119300</f>
        <v>119300.0</v>
      </c>
      <c r="R316" s="34" t="s">
        <v>51</v>
      </c>
      <c r="S316" s="35" t="n">
        <f>119205.26</f>
        <v>119205.26</v>
      </c>
      <c r="T316" s="32" t="n">
        <f>13862</f>
        <v>13862.0</v>
      </c>
      <c r="U316" s="32" t="n">
        <f>445</f>
        <v>445.0</v>
      </c>
      <c r="V316" s="32" t="n">
        <f>1646483320</f>
        <v>1.64648332E9</v>
      </c>
      <c r="W316" s="32" t="n">
        <f>53358420</f>
        <v>5.335842E7</v>
      </c>
      <c r="X316" s="36" t="n">
        <f>19</f>
        <v>19.0</v>
      </c>
    </row>
    <row r="317">
      <c r="A317" s="27" t="s">
        <v>42</v>
      </c>
      <c r="B317" s="27" t="s">
        <v>998</v>
      </c>
      <c r="C317" s="27" t="s">
        <v>999</v>
      </c>
      <c r="D317" s="27" t="s">
        <v>1000</v>
      </c>
      <c r="E317" s="28" t="s">
        <v>46</v>
      </c>
      <c r="F317" s="29" t="s">
        <v>46</v>
      </c>
      <c r="G317" s="30" t="s">
        <v>46</v>
      </c>
      <c r="H317" s="31"/>
      <c r="I317" s="31" t="s">
        <v>634</v>
      </c>
      <c r="J317" s="32" t="n">
        <v>1.0</v>
      </c>
      <c r="K317" s="33" t="n">
        <f>104600</f>
        <v>104600.0</v>
      </c>
      <c r="L317" s="34" t="s">
        <v>48</v>
      </c>
      <c r="M317" s="33" t="n">
        <f>110000</f>
        <v>110000.0</v>
      </c>
      <c r="N317" s="34" t="s">
        <v>72</v>
      </c>
      <c r="O317" s="33" t="n">
        <f>102100</f>
        <v>102100.0</v>
      </c>
      <c r="P317" s="34" t="s">
        <v>91</v>
      </c>
      <c r="Q317" s="33" t="n">
        <f>104900</f>
        <v>104900.0</v>
      </c>
      <c r="R317" s="34" t="s">
        <v>51</v>
      </c>
      <c r="S317" s="35" t="n">
        <f>106457.89</f>
        <v>106457.89</v>
      </c>
      <c r="T317" s="32" t="n">
        <f>4221</f>
        <v>4221.0</v>
      </c>
      <c r="U317" s="32" t="n">
        <f>3</f>
        <v>3.0</v>
      </c>
      <c r="V317" s="32" t="n">
        <f>448808100</f>
        <v>4.488081E8</v>
      </c>
      <c r="W317" s="32" t="n">
        <f>316500</f>
        <v>316500.0</v>
      </c>
      <c r="X317" s="36" t="n">
        <f>19</f>
        <v>19.0</v>
      </c>
    </row>
    <row r="318">
      <c r="A318" s="27" t="s">
        <v>42</v>
      </c>
      <c r="B318" s="27" t="s">
        <v>1001</v>
      </c>
      <c r="C318" s="27" t="s">
        <v>1002</v>
      </c>
      <c r="D318" s="27" t="s">
        <v>1003</v>
      </c>
      <c r="E318" s="28" t="s">
        <v>46</v>
      </c>
      <c r="F318" s="29" t="s">
        <v>46</v>
      </c>
      <c r="G318" s="30" t="s">
        <v>46</v>
      </c>
      <c r="H318" s="31"/>
      <c r="I318" s="31" t="s">
        <v>634</v>
      </c>
      <c r="J318" s="32" t="n">
        <v>1.0</v>
      </c>
      <c r="K318" s="33" t="n">
        <f>99500</f>
        <v>99500.0</v>
      </c>
      <c r="L318" s="34" t="s">
        <v>48</v>
      </c>
      <c r="M318" s="33" t="n">
        <f>100700</f>
        <v>100700.0</v>
      </c>
      <c r="N318" s="34" t="s">
        <v>72</v>
      </c>
      <c r="O318" s="33" t="n">
        <f>95700</f>
        <v>95700.0</v>
      </c>
      <c r="P318" s="34" t="s">
        <v>95</v>
      </c>
      <c r="Q318" s="33" t="n">
        <f>96800</f>
        <v>96800.0</v>
      </c>
      <c r="R318" s="34" t="s">
        <v>51</v>
      </c>
      <c r="S318" s="35" t="n">
        <f>98373.68</f>
        <v>98373.68</v>
      </c>
      <c r="T318" s="32" t="n">
        <f>6484</f>
        <v>6484.0</v>
      </c>
      <c r="U318" s="32" t="n">
        <f>30</f>
        <v>30.0</v>
      </c>
      <c r="V318" s="32" t="n">
        <f>638792288</f>
        <v>6.38792288E8</v>
      </c>
      <c r="W318" s="32" t="n">
        <f>2936488</f>
        <v>2936488.0</v>
      </c>
      <c r="X318" s="36" t="n">
        <f>19</f>
        <v>19.0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2019-03-19T12:06:25Z</dcterms:modified>
</cp:coreProperties>
</file>